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<sst xmlns="http://schemas.openxmlformats.org/spreadsheetml/2006/main" uniqueCount="3048">
  <si>
    <t>id</t>
  </si>
  <si>
    <t>created_at</t>
  </si>
  <si>
    <t>fav</t>
  </si>
  <si>
    <t>rt</t>
  </si>
  <si>
    <t>text</t>
  </si>
  <si>
    <t>media1</t>
  </si>
  <si>
    <t>media2</t>
  </si>
  <si>
    <t>media3</t>
  </si>
  <si>
    <t>media4</t>
  </si>
  <si>
    <t>compound</t>
  </si>
  <si>
    <t>neg</t>
  </si>
  <si>
    <t>neu</t>
  </si>
  <si>
    <t>pos</t>
  </si>
  <si>
    <t>RT @Nov2018election: VOTE IN YOUR PRIMARY TODAY!
✔️ GEORGIA 
✔️ARKANSAS 
✔️KENTUCKY 
✔️TEXAS RUNOFFS 
#JUSTVOTE #PRIMARYDAY https://t.co/…</t>
  </si>
  <si>
    <t>RT @HDowning113: @Nov2018election Please VOTE TODAY🇺🇸🇺🇸 https://t.co/1H4lgxYdLX</t>
  </si>
  <si>
    <t>RT @LuannKeller: @Nov2018election @VFL2013 Please Don't JUST vote.  Know the issues..not just the headlines.  Know the campaign promises.…</t>
  </si>
  <si>
    <t>RT @SykesforSenate: I am deeply honored to have received General Kendall Penn's endorsement last month and proud to announce the General's…</t>
  </si>
  <si>
    <t>RT @CJheartart: Would someone @dbongino &amp;amp; Joseph diGenova @RadioFreeAllman &amp;amp; @seanhannity &amp;amp; @IngrahamAngle PLEASE look into the Missouri me…</t>
  </si>
  <si>
    <t>RT @readylacy1: @_VachelLindsay_  https://t.co/MH3YTqQHf6</t>
  </si>
  <si>
    <t>RT @Corp125Vet: @Scavino45 SemperFi Sir! Thanks, but VA needs scrapping! Congressional Health Plan for Every Veteran ! Mandatory ✝️🙏🇺🇸We th…</t>
  </si>
  <si>
    <t>RT @SykesforSenate: Great news for #Missouri! #MOSen #MAGA https://t.co/DrFxc3BVtF</t>
  </si>
  <si>
    <t>RT @RealJamesWoods: “There is nothing more dangerous to the welfare of our republic than operatives from three-letter agencies taking sides…</t>
  </si>
  <si>
    <t>RT @CStamper_: Soros-backed prosecutor Kim Gardner’s handling of this case was so unethical and corrupt that a judge has ordered her and he…</t>
  </si>
  <si>
    <t>RT @i_like_sykes: @magathemaga1 @TheBluesMan361 @ResignNowKim @HawleyMO @smart_hillbilly Guilty until proven innocent seems to be the new n…</t>
  </si>
  <si>
    <t>@RealTravisCook @blackwidow07 @Markknight45 @magathemaga1 @VisioDeiFromLA @Avenge_mypeople @grcfay @EricGreitens @TeamGreitens @Rep_TRichardson @joel_capizzi @RSF_LAW @SKOLBLUE1 @EdBigCon @strmsptr @Lautergeist @MOHouseGOP Did .@StaceyNewman 's comrade &amp;amp; NEW ACTIVIST #MsKittySneed let the F-BOMB fly like she did during her FALSE "testimony" before the CORRUPT #Moleg "Investigative" Committee? 
I bet her kids &amp;amp; family are MORTIFIED that she has NO SHAME &amp;amp; has chosen to make $$$ THIS way!!! https://t.co/PogOfV19pV</t>
  </si>
  <si>
    <t>RT @NSFMill: @magathemaga1 @Str8DonLemon @Avenge_mypeople @grcfay @EricGreitens @TeamGreitens @Rep_TRichardson @joel_capizzi @RSF_LAW @SKOL…</t>
  </si>
  <si>
    <t>RT @KMOV: Veterans stop in Wentzville as they ride across the country to honor those who can't https://t.co/tVDhzW6P37 https://t.co/sOSc4EM…</t>
  </si>
  <si>
    <t>@RealMattCouch  https://t.co/PO6Fbedcmm</t>
  </si>
  <si>
    <t>RT @ZeroPointNow: FBI Informant Stefan Halper Paid Over $1 Million By Obama Admin; Spied On Trump Aide After Election   https://t.co/b0Fki7…</t>
  </si>
  <si>
    <t>RT @RealJack: BREAKING UPDATE:
Number of babies killed by Planned Parenthood in the last 7 days: 6,173
Number of people killed by the NRA…</t>
  </si>
  <si>
    <t>RT @mflynnJR: I elected a fighter.  We elected a fighter.  Everyday is battle against the enemies of America.  We must not be complacent.
#…</t>
  </si>
  <si>
    <t>RT @Nov2018election: GA TRACY JORDAN 4 INSURANCE COMMISSIONER 🇺🇸 https://t.co/ljCgqBPNnF</t>
  </si>
  <si>
    <t>RT @Nov2018election: GA DISTRICT 10 BRADLEY GRIFFIN FOR CONGRESS https://t.co/3SwGnjtVkJ</t>
  </si>
  <si>
    <t>RT @Nov2018election: GA HUNTER HILL FOR GOVERNOR ✔️ https://t.co/kjBu5oWymL</t>
  </si>
  <si>
    <t>RT @Nov2018election: GA GEOFF DUNCAN FOR LT GOVERNOR 🇺🇸 https://t.co/rnadZ41cCa</t>
  </si>
  <si>
    <t>RT @HDowning113: @Nov2018election @TracyJordan4GA @Griff4Congress @GeoffDuncanGA @votehunterhill I believe We Conservative
AMERICAN'S SHOUL…</t>
  </si>
  <si>
    <t>RT @Nov2018election: 🇺🇸 GEORGIA BIG DAY MAY 22ND 
I WANT TO WISH THESE GREAT CANDIDATES THE VERY BEST IN TOMORROWS PRIMARY! 
@TracyJordan…</t>
  </si>
  <si>
    <t>RT @Sticknstones4: Hmmm Lots of Legislators took money from 
Low Income Housing Tax Credit Pac
Now they want to Impeach the Governor for s…</t>
  </si>
  <si>
    <t>RT @bridgetp1961: @Sticknstones4 I can't wait to see this list.  Didn't I read Mike Parsons, Jay Barnes, and Kim Gardner all received Pac f…</t>
  </si>
  <si>
    <t>RT @sigi_hill: WE MUST keep pounding and exposing them and ultimately have them also indicted for their corruption and abuse of power. 
MIS…</t>
  </si>
  <si>
    <t>RT @sigi_hill: #Moleg ‘s Moral Turpitude - while taxpayers are getting screwed!
They are fully aware of the majority of Missourians demandi…</t>
  </si>
  <si>
    <t>RT @Str8DonLemon: #GREITENS CASE SP PREJUDGED CASE, MUST RECUSE!
Fact. She presumed guilt of @EricGreitens by calling accuser a "vicitm".…</t>
  </si>
  <si>
    <t>RT @ResignNowKim: @J_Hancock @crystalclear224 @EricGreitens That @jeanpetersbaker would take this #dumpsterfire of a case knowing, ex-ante,…</t>
  </si>
  <si>
    <t>RT @Avenge_mypeople: Here's the new, special prosecutor in the #Greitens case. They don't come any more liberal or biased than this. How mu…</t>
  </si>
  <si>
    <t>RT @DowdEdward: Stefan #Halper was paid $1 million dollars by the US government...it’s game over folks...time to end this charade and lock…</t>
  </si>
  <si>
    <t>RT @STL_Blonde: @Str8DonLemon @NameRedacted7 @Avenge_mypeople @strmsptr @RealTravisCook @blackwidow07 @Neilin1Neil @HennessySTL @Peoples_Pu…</t>
  </si>
  <si>
    <t>RT @CStamper_: This convicted felon who hand delivered $50,000 to a lawyer involved in Soros-backed Kim Gardner’s witch hunt has been evadi…</t>
  </si>
  <si>
    <t>RT @CStamper_: “[L]awmakers say they are hearing from constituents skeptical of the process after a whirlwind felony invasion of privacy ca…</t>
  </si>
  <si>
    <t>RT @johncardillo: .@JohnBrennan isn’t only a traitor, he’s also a coward. 
A coward who threatens @POTUS with cryptic tweets about the ass…</t>
  </si>
  <si>
    <t>RT @dbongino: John Brennan knows his role in the political spying operation on Donald Trump is being exposed. Therefore this disgrace of a…</t>
  </si>
  <si>
    <t>RT @BryanDeanWright: Yes, I worked w/ @JohnBrennan. We viewed him as a political hack w/ the operational mind of an earthworm. (He once sai…</t>
  </si>
  <si>
    <t>RT @awaken_to_maga: Lord,
We pray that you guide &amp;amp; protect @POTUS &amp;amp; all those actively working to restore the Republic &amp;amp; destroy the evil t…</t>
  </si>
  <si>
    <t>RT @realDonaldTrump: “John Brennan is panicking. He has disgraced himself, he has disgraced the Country, he has disgraced the entire Intell…</t>
  </si>
  <si>
    <t>RT @ClintonMSix141: We spend a 115 billion dollars a year on illegals here in the USA.
Imagine how safe our schools could be with that mon…</t>
  </si>
  <si>
    <t>RT @Education4Libs: I wish more people could see that we are in the middle of a civil war in America.
The Democrats &amp;amp; liberal mainstream m…</t>
  </si>
  <si>
    <t>RT @CStamper_: If you’re sick and tired of Dems, RINOs, “special” counsels, Soros-backed prosecutors, special interests, scheming political…</t>
  </si>
  <si>
    <t>RT @Str8DonLemon: INNOCENT MAN FIGHTS BACK
#Missouri Coup is on!
Are U against:
✔Witch Hunts?
✔Prosecutorial Misconduct?
✔Undoing electi…</t>
  </si>
  <si>
    <t>RT @sandy45_46: OMG. It's MS-Pelosi mama of MS-13 https://t.co/4reKHbdLYX</t>
  </si>
  <si>
    <t>RT @DaynaGould: @SKOLBLUE1 @NSFMill @magathemaga1 @EricGreitens @Rep_TRichardson @Eric_Schmitt @Avenge_mypeople @Neilin1Neil @jrosenbaum @b…</t>
  </si>
  <si>
    <t>☆ALERT: AUG 7th☆
Is a VERY IMPORTANT US Senate PRIMARY IN #MISSOURI 
PLEASE VOTE .@SykesforSenate #MOSEN &amp;amp; send this FIERCE Patriot to #UnseatClaire &amp;amp; onto D.C.
to STRONGLY SUPPORT
#Veterans
#NatlSecurity
#2A
#StrongImmigrationPolicy
&amp;amp;
#BuildingTheWall
https://t.co/YHt5Y8gpsS</t>
  </si>
  <si>
    <t>RT @SykesforSenate: No more RINOs. No more Liberals. No more Senate Failures.
WATCH FULL VIDEO HERE:  https://t.co/kygQFWqDTu 
#MAGA #MOSEN…</t>
  </si>
  <si>
    <t>@AlexFreiheit2 @joel_capizzi @SykesforSenate @brannumpants @smart_hillbilly @Change YOU NEED TO STOP TRYING TO PASS OFF #RINO .@AP4Liberty as a Conservative or a Republican. HE IS NEITHER! #MISSOURIANS #MOSEN WON'T BE FOOLED BY THIS FILTHY-MOUTHED #NeverTrump LIBERTARIAN!!! https://t.co/44oQrSRRg0</t>
  </si>
  <si>
    <t>RT @SuperEva93: Tweets like this are the real reason the deep state wants Donald Trump impeached because he's going after them hard and he'…</t>
  </si>
  <si>
    <t>RT @ste51: @deplorablem1ke @FireUpMAGAKAG He is just waiting for the timing to be correct to take out a whole lot of the swamp.
THE SWAMP…</t>
  </si>
  <si>
    <t>RT @QPatriot17: @POTUS and #QAnon want us to ask for a debt jubilee in Gold when the last cabal member is dead or in prison. Don't forget!…</t>
  </si>
  <si>
    <t>RT @KevinMFerrara: Rise to take back OUR country from the #DeepDtate in this #SecondAmericanRevolution. 
#YourVoteIsYourVoice
#RedWaveRis…</t>
  </si>
  <si>
    <t>RT @Dr01d_Er1s: New Q
Trump's Executive Order releasing the documents is now signed?
Fasten your seat belts.
#QAnon https://t.co/ViAppDM2D7</t>
  </si>
  <si>
    <t>RT @YearOfZero: Top 5 reasons KC STAR IS FAKE NEWS  
1. Cuz they are 
2. Cuz they are 
3. Cuz they are 
4. Cuz they are 
5. Cuz they are…</t>
  </si>
  <si>
    <t>RT @grcfay: Is there any Justice in the state of MO? https://t.co/V5dipMTZTg</t>
  </si>
  <si>
    <t>RT @realDonaldTrump: If the FBI or DOJ was infiltrating a campaign for the benefit of another campaign, that is a really big deal. Only the…</t>
  </si>
  <si>
    <t>RT @rising_serpent: Repository of my unrolled threads can be found here. https://t.co/uTx82h3UzU</t>
  </si>
  <si>
    <t>RT @rising_serpent: 15. That suggests that the circle of filth is deep, wide and entrenched in the fabric of American politics. It is multi…</t>
  </si>
  <si>
    <t>RT @pandemoniumpipe: @rising_serpent This ambulatory waddling antithesis of James Bond is the true face of “both sides” of the aisle that l…</t>
  </si>
  <si>
    <t>RT @AtTheLastTrump1: @rising_serpent https://t.co/fxPtx7Fn6r</t>
  </si>
  <si>
    <t>RT @kimboc5: @rising_serpent  https://t.co/4P5mqhyRIR</t>
  </si>
  <si>
    <t>RT @Norasmith1000: @ResignNowKim @SammyPanettiere @AGJoshHawley @HennessySTL @Avenge_mypeople @EdBigCon @RightSideUp313 @Sticknstones4 @SKO…</t>
  </si>
  <si>
    <t>RT @ResignNowKim: (1) Nora: Truth is @HawleyMO sold his soul for his AG election.  The piper came to collect, and these “bombshells” have b…</t>
  </si>
  <si>
    <t>RT @ResignNowKim: (2) he has made a play to take out eg.  Exposing himself as he has, his best option is to double down. And that is what w…</t>
  </si>
  <si>
    <t>RT @ElderLansing: Rapper Meek Mill was set to attend a White House Prison reform conference until thug rapper Jay Z convinced him it would…</t>
  </si>
  <si>
    <t>RT @Lady_Vi_2U: Thought of the day.. https://t.co/KkZYcLSncf</t>
  </si>
  <si>
    <t>RT @REALBASEDBLONDE: Love Don, Jr’s take on everything.  @POTUS has accomplished huge things while distracted!
.@DonaldJTrumpJr on Russia i…</t>
  </si>
  <si>
    <t>RT @Nov2018election: VOTE THEM OUT! NOV 6TH ✔️ WELL HELL... VOTE ALL INCUMBENTS OUT!! EVERY ONE OF THEM IS SWAMP🐍🐍🐍 CROOKED CORRUPT CAREER…</t>
  </si>
  <si>
    <t>RT @joel_capizzi: Re: Hawley and Trump's wall. 
Follow the money. Donors don't write checks for $20K without strings attached and hardcore…</t>
  </si>
  <si>
    <t>RT @BigLeague2020: @SOS_1313 @POTUS Austin Petersen trying to fool #Missouri voters.
A LIBERTARIAN darning a REPUBLICAN cloak this electio…</t>
  </si>
  <si>
    <t>RT @BigLeague2020: @Hope4Hopeless1 @i_like_sykes @SykesforSenate “Make sure you are doing what God wants you to do then do it with all your…</t>
  </si>
  <si>
    <t>@Nov2018election @AP4Liberty @SykesforSenate https://t.co/AEOmKRS3re</t>
  </si>
  <si>
    <t>@i_like_sykes @SykesforSenate Missouri we MUST replace #FireClaire w/ THIS SMART FIERCE
PRO #TrumpAgenda 
PRO #2A
PRO #AmericaFirst
PRO #Veterans
PRO #TermLimits
PRO #ProLIFE
ANTI #ESTABLISHMENT
Patriot .@SykesforSenate who will NEVER back down from FIGHTING to SAVE &amp;amp; REINFORCE Our Constitutional Republic! https://t.co/KSTRHPrDy6</t>
  </si>
  <si>
    <t>RT @ToughGrandpa: @LizCrokin @therealroseanne If you would have told me in '89 that one day the cabal would be brought down by @realDonaldT…</t>
  </si>
  <si>
    <t>RT @kabamur_taygeta: Darkness will come to LIGHT. 
Trust @POTUS - Trust Q - Trust the Plan
#thegreatawakening #qanon #trusttheplan
https…</t>
  </si>
  <si>
    <t>RT @therealroseanne: @kabamur_taygeta pleadians!</t>
  </si>
  <si>
    <t>RT @Jordan_Sather_: The same people that have manipulated religion have also manipulated science.
Understand that, and it all becomes clea…</t>
  </si>
  <si>
    <t>RT @Jordan_Sather_: I hope she knows where the unacknowledged technology projects are buried too
LOTS to uncover from within the CIA.... h…</t>
  </si>
  <si>
    <t>RT @BriEaves1168: @LizCrokin This is exciting. I’ve been hoping she/they are readying GITMO! 💥 🍿</t>
  </si>
  <si>
    <t>RT @jwerty1: @LizCrokin We can only hope</t>
  </si>
  <si>
    <t>RT @LizCrokin: She knows where the bodies are buried. 
Trust the plan. 
#QAnon #Pizzagate #Pedogate #WWG1WGA #TheGreatAwakening 
https://…</t>
  </si>
  <si>
    <t>RT @HumanityIsFree: So the Santa Fe school shooter wore a communist hammer and sickle pin, a gay pride hat, a satanic pentagram and a socia…</t>
  </si>
  <si>
    <t>RT @magathemaga1: What is HR 2?
It does the following:
👉Prevents @EricGreitens team from cross examine witnesses 
👉Prevents #Greitens fr…</t>
  </si>
  <si>
    <t>RT @magathemaga1: HR 2 is basically a fail safe that Jay Barnes and his star chamber concocted because the criminal proceedings turned out…</t>
  </si>
  <si>
    <t>RT @Norasmith1000: @magathemaga1 @EricGreitens @Rep_TRichardson @Eric_Schmitt @SKOLBLUE1 @Avenge_mypeople @Neilin1Neil @jrosenbaum @blackwi…</t>
  </si>
  <si>
    <t>RT @Neilin1Neil: @Norasmith1000 @magathemaga1 @EricGreitens @Rep_TRichardson @Eric_Schmitt @SKOLBLUE1 @Avenge_mypeople @jrosenbaum @blackwi…</t>
  </si>
  <si>
    <t>RT @joel_capizzi: @SykesforSenate https://t.co/pMg9Z22pZj</t>
  </si>
  <si>
    <t>RT @SykesforSenate: Every stop is a campaign event... even lunch at Arby's. #MOSEN #MAGA https://t.co/gWZ5QSsLox</t>
  </si>
  <si>
    <t>RT @smart_hillbilly: LadderBoy for Senate! Check out his campaign slogan. #MOSen #moleg #LeadersNotLadders #MidTerms https://t.co/fKO0gkgGvP</t>
  </si>
  <si>
    <t>RT @wu_ferguson: Who are you standing with currently in the senate race?</t>
  </si>
  <si>
    <t>RT @i_like_sykes: AP thinks Trump supporters are weaklings! Vote for @SykesforSenate and support Trumps America first agenda! #ILikeSykes h…</t>
  </si>
  <si>
    <t>RT @smart_hillbilly: I wonder if he's elected, he'll open every Senate session in song? Lol 😂 #MOSEN #MoGov #NeverPetersen #ClimbHigher #Mi…</t>
  </si>
  <si>
    <t>RT @smart_hillbilly: #LadderBoy thinks he can sellout the duly elected governor of his own party and become senator? #moleg #mosen #NeverHa…</t>
  </si>
  <si>
    <t>RT @Nov2018election: 🛑MISSOURI 🛑 MEET THE REAL AUSTIN PETERSEN @AP4Liberty THIS IS WHAT HE REALLY THINKS OF US😡 AND NOW HE WANTS YOUR VOTE…</t>
  </si>
  <si>
    <t>RT @i_like_sykes: #Vote4Sykes #ILikeSykes  https://t.co/lZ7d7zREtf</t>
  </si>
  <si>
    <t>RT @TomiLahren: Always nice to be lectured by the New York Times on feminism. Guess what, female empowerment isn’t wearing a vagina on your…</t>
  </si>
  <si>
    <t>RT @MarvinStehr: @jaybarnes5 @NickBSchroer #Moleg I will never support nor vote for anyone that supports or votes for #GreitensImpeachment!…</t>
  </si>
  <si>
    <t>RT @SykesforSenate: Proud to be the only senate candidate at the St. Louis courthouse last Wednesday in support of @EricGreitens before the…</t>
  </si>
  <si>
    <t>RT @SykesforSenate: Remember the first time you saw a politician sell out? Here's a front row seat. WATCH HERE: https://t.co/hc694RrBV4
#MO…</t>
  </si>
  <si>
    <t>RT @Nov2018election: @smart_hillbilly @SykesforSenate @AP4Liberty #ILIKESYKES #MOSEN https://t.co/3IYRuUaQmd</t>
  </si>
  <si>
    <t>RT @BigLeague2020: @smart_hillbilly @SykesforSenate @AP4Liberty I Stand Proud For Sykes For Senate
#MOSEN https://t.co/LwBnM5UwrH</t>
  </si>
  <si>
    <t>RT @joel_capizzi: @brannumpants @SykesforSenate @smart_hillbilly @Change Sykes steps up. Sykes was the ONLY candidate to step up for wrongl…</t>
  </si>
  <si>
    <t>RT @smart_hillbilly: @AnthonyBauman5 We'll be adding to the swamp if we elect him #NeverPetersen https://t.co/Z4gDzPa3m1</t>
  </si>
  <si>
    <t>RT @i_like_sykes: Who do you want? 
#MoSen #MoGov #MidTerms</t>
  </si>
  <si>
    <t>RT @TheGunGuy85: @smart_hillbilly @SykesforSenate @AP4Liberty COURTLAND SYKES FOR US SENATE 🇺🇸 #2a #MOSEN https://t.co/QQsiuCtTYE</t>
  </si>
  <si>
    <t>RT @smart_hillbilly: Musical Theatre anyone? Petersen's bachelors degree is in musical theatre. #MOSEN #MoGov @AP4Liberty https://t.co/m0Vr…</t>
  </si>
  <si>
    <t>RT @MAGANinaJo: Congratulations to Gina Haspel as the Senate confirms her to Lead CIA.  One down and more to go.  The time it takes to conf…</t>
  </si>
  <si>
    <t>RT @elenochle: GOOD MORNING Q-ANGEL @therealroseanne !! @aspwired made this for you!! WE ARE ALL ABOARD WITH THE PIRATE QUEEN, ARGH MATEY,…</t>
  </si>
  <si>
    <t>RT @Lady_Vi_2U: Let every nation know, whether it wishes us well or ill, that we shall pay any price, bear any burden, meet any hardship, s…</t>
  </si>
  <si>
    <t>RT @philip_saulter: @ScottCharton Why should Greitens have to do anything? #Moleg no longer has a Constitutional leg to stand on for impeac…</t>
  </si>
  <si>
    <t>RT @JCunninghamMO: Why?  After two prosecutors dropped their cases for lack of evidence, moving forward by the legislature on @EricGreitens…</t>
  </si>
  <si>
    <t>RT @CStamper_: These sham charges are disappearing left and right. It’s good to see that when push comes to shove and facts and evidence ar…</t>
  </si>
  <si>
    <t>RT @smart_hillbilly: 🚨ATTENTION MISSOURI VOTERS! 
Who do you want representing Missouri?
@SykesforSenate 
@AP4liberty 
#MoSen #MoGov #SendS…</t>
  </si>
  <si>
    <t>RT @joel_capizzi: @GovGreitensMO an entire Trump army is with you Governor Greitens to push back against the swampy hordes of hell who are…</t>
  </si>
  <si>
    <t>RT @CStamper_: At a housing project in Cape Girardeau “per apartment unit, (taxpayers paid) $376,000.” Per unit! Governor Greitens put a st…</t>
  </si>
  <si>
    <t>RT @CStamper_: Soros-backed prosecutor Kim Gardner, whose sham charges against Greitens were dropped last week, has received campaign contr…</t>
  </si>
  <si>
    <t>RT @CStamper_: Representative Jay Barnes, who is leading the House Committee trying to impeach Greitens, has also been showered in campaign…</t>
  </si>
  <si>
    <t>RT @CStamper_: Lt. Gov. Parson, who would replace Greitens if he is impeached, has also seen money flow into his campaign account from thes…</t>
  </si>
  <si>
    <t>RT @CStamper_: Only 42% of this taxpayer money actually goes to housing. The remaining 58% is making some people very, very wealthy. Greite…</t>
  </si>
  <si>
    <t>RT @CStamper_: Soros-backed prosecutor Kim Gardner tried to take down Greitens. Now the liberal media, self-interested politicians &amp;amp; schemi…</t>
  </si>
  <si>
    <t>RT @SykesforSenate: Israel discovered, in 1974, that placing guns in schools makes children safer. Why fight proven solutions that can end…</t>
  </si>
  <si>
    <t>RT @SykesforSenate: @JW1057 @GovGreitensMO Signed and posted.</t>
  </si>
  <si>
    <t>RT @sigi_hill: @SykesforSenate @JW1057 @GovGreitensMO Bravo Courtland! Thank You!
Together we will drain the swamp! You have the guts that…</t>
  </si>
  <si>
    <t>RT @SykesforSenate: Missouri House of Representatives: Urgent! Stop the Coup Against Gov. Eric Greitens - Sign the Petition! https://t.co/8…</t>
  </si>
  <si>
    <t>RT @magathemaga1: Find the Funder #MoLeg
We ain’t letting this issue die!
@MattStoneABC @jrosenbaum 
#mogov #greitens #missouri #stl #We…</t>
  </si>
  <si>
    <t>RT @BigLeague2020: @smart_hillbilly @Mizzourah_Mom @magathemaga1 @Hope4Hopeless1 @VisioDeiFromLA @Sticknstones4 @RealTravisCook @joel_capiz…</t>
  </si>
  <si>
    <t>RT @joel_capizzi: @HennessySTL @AP4Liberty This is new blood. This is energized blood. This is 100% MAGA blood @SykesforSenate https://t.co…</t>
  </si>
  <si>
    <t>RT @SykesforSenate: Shadowbanning me on twitter won't save you @SenateMajLdr, my ground base is growing rapidly. #MAGA #MOSen https://t.co/…</t>
  </si>
  <si>
    <t>RT @SykesforSenate: God continues to bless us with support pouring in! #MAGA #Missouri #AmericaFirst #MOSen https://t.co/V0M0XyPHlE</t>
  </si>
  <si>
    <t>RT @smart_hillbilly: @SykesforSenate #ILikeSykes</t>
  </si>
  <si>
    <t>RT @JW1057: @chuckwoolery Please sign and retweet this petition in support of @GovGreitensMO. He is being attacked for his efforts to drain…</t>
  </si>
  <si>
    <t>.@POTUS #Moleg #Mogov #WitchHunt
-Missouri House of Representatives-
 #WeThePeople of #MISSOURI DEMAND that YOU STOP this Coup Against Gov. Eric Greitens .@EricGreitens
PLEASE Sign the Petition! https://t.co/yvr8gVuiWZ via @Change</t>
  </si>
  <si>
    <t>RT @VisioDeiFromLA: Who paid Scott Faughn the money to pay Al Watkins.
We havent forgotten and the issue wont go away.
Guys like Scott Ch…</t>
  </si>
  <si>
    <t>RT @KagVirtues: @2runtherace rebuilding my base, twitter banned my orginal only account, bc i stand for potus and justice. Any help with pa…</t>
  </si>
  <si>
    <t>Please HELP this powerful Patriot @KAGVirtues RESTORE her reach !!! https://t.co/qonlJIV8ZZ</t>
  </si>
  <si>
    <t>RT @RealTravisCook: From my Tuesday radio show--my reflections on the failed #WitchHunt against Governor #Greitens &amp;amp; what is says about the…</t>
  </si>
  <si>
    <t>RT @CStamper_: Sounds like the FBI is investigating the shady $100,000 cash payment that went to one of the witnesses’ attorney in Soros-ba…</t>
  </si>
  <si>
    <t>RT @joel_capizzi: AWOL from the campaign trail, Josh Hawley is too busy framing the governor, pumping iron, buying wine and more.
The Misso…</t>
  </si>
  <si>
    <t>RT @FOX2now: Greitens’ lawyer to file police report against Kim Gardner, investigator https://t.co/6Oq8R8iQCd https://t.co/GKIfjQtNdq</t>
  </si>
  <si>
    <t>@intheMatrixxx @jack @POTUS @Twitter @TwitterSupport #MeToo https://t.co/koRKnoqeSw</t>
  </si>
  <si>
    <t>RT @SykesforSenate: Do we have an explanation from @clairecmc why she's a "no" vote?
#mosen https://t.co/CzNSqGSdBA</t>
  </si>
  <si>
    <t>@RenaeAngelia @Bud_Doggin @NameRedacted7 KITTY SNEED &amp;amp; ALL the rest of THE FILTHY TRASH in #MoGov #MOLEG .@StaceyNewman &amp;amp; .@StLouisCityCA #SloppyKimShady ARE SHAMEFUL &amp;amp; an EMBARRASSMENT 2 #MISSOURI
THE TRUTH WILL BE EXPOSED! 
Hopefully w/the 300+ SEALED Fed Indictments in #MO MANY of their TRAITOROUS ASSES go to Prison https://t.co/GiUBQdEN1b</t>
  </si>
  <si>
    <t>RT @VisioDeiFromLA: #MoLeg #Mogov #Greitens #GreitensTrial #KimShady #STL #StLouis #kcmo https://t.co/wYuck2DUTw</t>
  </si>
  <si>
    <t>RT @sigi_hill: Finally! Great victory Governor @EricGreitens !
Now it's time to expose the corrupt #moleg #InvestigativeCommittee #ScottFau…</t>
  </si>
  <si>
    <t>@intheMatrixxx @POTUS https://t.co/DlD4zVlXAJ</t>
  </si>
  <si>
    <t>@intheMatrixxx @POTUS Today Pompeo used the term "Eyes Wide Open" in an interview, I can't recall if he was discussing NK or Iran. TRUST Kansas!</t>
  </si>
  <si>
    <t>RT @JW1057: @l_hoffer No. It is an extremely high burden to call prosecutor as a witness. Gardner mishandled this case from the beginning w…</t>
  </si>
  <si>
    <t>RT @CStamper_: Soros-backed prosecutor, with no evidence &amp;amp; with her unethical &amp;amp; illegal behavior under scrutiny, waived the white flag.  Ma…</t>
  </si>
  <si>
    <t>RT @MtRushmore2016: The Swamp has seeped into Missouri; The Establishment will fight against Outsiders who intend to upset their corrupt gr…</t>
  </si>
  <si>
    <t>RT @STL_Blonde: The Governor of our state was arrested, marched in front of a camera for a mugshot, and nearly impeached BASED ON EVIDENCE…</t>
  </si>
  <si>
    <t>RT @VisioDeiFromLA: How I know this a COUP?
#MoLeg didn't even wait 2 release statements to try to distract from #Greitens statements
Des…</t>
  </si>
  <si>
    <t>RT @VisioDeiFromLA: It's COUP Time!
Not even an apology 4 dragging #greitens through the mud on false charges! 
Now #MoLeg looks to disre…</t>
  </si>
  <si>
    <t>RT @EricGreitens: Today, the prosecutor dropped the false charges against me.
This was a great victory and a long time coming. I've said f…</t>
  </si>
  <si>
    <t>RT @caesar718: Well well, what do you know?! Complete political witch hunt against @EricGreitens. They should have been in receipt of evide…</t>
  </si>
  <si>
    <t>RT @DeplorableChoir: New Song! Trump is winning YUGE!! Can’t expect the fake news media to report it, so we’re here to enlighten the libera…</t>
  </si>
  <si>
    <t>RT @pinkk9lover: Don’t worry HI unlike the ex- #President that was supposedly born there, our @POTUS cares about you! Molten rock has burst…</t>
  </si>
  <si>
    <t>RT @Sticknstones4: The Special Interest Groups that think they could Run Missouri 
They Paid 120K Cash  to leak a fake sex scandal to try…</t>
  </si>
  <si>
    <t>RT @realDonaldTrump: All of us here today are united by the same timeless values. We believe that our liberty is a gift from our creator, a…</t>
  </si>
  <si>
    <t>@smart_hillbilly @theFORWARDteam @AP4Liberty @POTUS @AGJoshHawley @Judgenap #MISSOURI BEWARE #RINO .@AP4Liberty listen at 1:00 how he SNEAKS in under the CLOAK of being somethin he is NOT in order TO GET ELECTED! Just like how he LIED that he was a Millionaire POLITICIAN w/NET WORTH $1M-5M to CON "dates" on https://t.co/09VcByYNGI
https://t.co/v3ST7Lzvnq</t>
  </si>
  <si>
    <t>RT @smart_hillbilly: @theFORWARDteam @AP4Liberty @POTUS @AGJoshHawley @Judgenap But isn't Austin Petersen a former never trumper that still…</t>
  </si>
  <si>
    <t>RT @StateDept: Watch the arrival of the Presidential Delegation to the opening of #USEmbassyJerusalem. https://t.co/MdSfmHWwin</t>
  </si>
  <si>
    <t>RT @BigLeague2020: @Nov2018election #PA9
#VOTETHEVET
MAY 15
SCOTT UEHLINGER FOR CONGRESS
@Scottforpa https://t.co/SCezaJLjZg</t>
  </si>
  <si>
    <t>RT @JackPosobiec: Flynn indictment falling apart
Avenatti Saudi ties exposed
Kerry secret Iran meeting busted
It’s only Sunday morning</t>
  </si>
  <si>
    <t>RT @RealitySmash: Islam is not programmed to co-exist with other faiths. As a minority it'll play victim, outnumber you, become majority, t…</t>
  </si>
  <si>
    <t>RT @realkareemdream: Black &amp;amp; Latino unemployment @ an all-time low! Taxes cut for all! Due to “Investing in Opportunities Act” $6.1 TRILLIO…</t>
  </si>
  <si>
    <t>RT @Fuctupmind: Twitter verified a "resist bot" https://t.co/DMxh6yjP2w</t>
  </si>
  <si>
    <t>RT @mollyday15: #Vote✅
#GregAbbott spearheaded new laws that help our military veterans get a job and start a business by reducing occupati…</t>
  </si>
  <si>
    <t>RT @Lrihendry: Did you know that Afghanistan was once a Buddhist nation, Pakistan was once Hindu and Lebanon was Christian. All now Muslim…</t>
  </si>
  <si>
    <t>RT @Jamierodr10: #Outrageous! Double Amputee turned away from the VA! We need to get someone in there that can clean this mess up! Democrat…</t>
  </si>
  <si>
    <t>RT @1Romans58: For all those calling Trump stupid, or accuse him of being an idiot.
Trump is a Billionaire, who is married to a super mode…</t>
  </si>
  <si>
    <t>@Corp125Vet @HH_kathy @realDonaldTrump @codeofvets @Cruz_Crew125 @foxandfriends @CHERNOBYL03USMC @VFL2013 @billie4congress @JoinTravisAllen @KatTheHammer1 @DiamondandSilk @RealErinCruz @DallasIrey This is an AMAZING idea!!! Please listen to @SykesforSenate discussing the serious problem with delaying HC pymts to outside Providers to force Veterans to utilize the VA Hospitals. 
https://t.co/L20Em7h4GC</t>
  </si>
  <si>
    <t>RT @Corp125Vet: @HH_kathy @realDonaldTrump @codeofvets @Cruz_Crew125 @foxandfriends Make VA Hospitals , Into Soldiers Home’s, homelessness…</t>
  </si>
  <si>
    <t>RT @gsteck74: The Hypocrisy is unbelievable!  There is no better demonstration than this 👇 👇 https://t.co/3i8RXlksMz</t>
  </si>
  <si>
    <t>RT @dbongino: This tweet is a clear indicator that Nunes is closing in on this explosive scandal. They’re panicking because they know when…</t>
  </si>
  <si>
    <t>RT @girl4_trump: We get it @MeghanMcCain he’s your father, but a hateful, spiteful traitor is how he will be remembered. He destroyed his o…</t>
  </si>
  <si>
    <t>RT @BigLeague2020: @joel_capizzi @TrumpChess @POTUS @GovGreitensMO Hawley didn’t even show up for the @AmericaFirstMO U. S. Senate Candidat…</t>
  </si>
  <si>
    <t>RT @RealEagleWings: Black ppl  get slavery out of your head 
IMO: You’re  a product of your thought life; if you think you are in slavery…</t>
  </si>
  <si>
    <t>RT @paulcurtman: AudienceQ: Support Trumps ban on Terrorist countries?
Sykes: calls for full 36 month halt on all immigration in order to r…</t>
  </si>
  <si>
    <t>RT @RealCandaceO: “I ain’t never been a motherf**king slave”
Tick-tock, Democrats. https://t.co/EswDJEO2rg</t>
  </si>
  <si>
    <t>RT @DelporableMe: https://t.co/aOUaNgjXVb SHARE VIDEO #KEEPAMERICAGREAT https://t.co/8q27If1TFR</t>
  </si>
  <si>
    <t>RT @BigLeague2020: @SykesforSenate just won the
 U. S. Senate Candidate Forum Debate. 
✔️Bold
✔️Decisive
✔️America First
SYKES FOR SENATE…</t>
  </si>
  <si>
    <t>RT @MCresanto: @drawandstrike  https://t.co/aXcpUoTozI</t>
  </si>
  <si>
    <t>RT @DeplorableGoldn: Oh no!  What a WASTE of taxpayers money!  I want a refund NOW!  #MOSen #mogov #MOLeg #staceynewman #kimshady #Greitens…</t>
  </si>
  <si>
    <t>RT @SKOLBLUE1: @ChrisHayesTV This is a disgusting portrayal of the legal profession. Kim Gardner needs to be disbarred and punished ASAP. #…</t>
  </si>
  <si>
    <t>RT @JW1057: @SKOLBLUE1 @ChrisHayesTV I'm attorney, and I have never been so embarrassed to be a part of the profession. We are supposed to…</t>
  </si>
  <si>
    <t>RT @christoferguson: Game, set, match: No images of ex-mistress found on #moGov. Greitens phone.  No images taken on date in question. No i…</t>
  </si>
  <si>
    <t>RT @CStamper_: In Soros-backed prosecutor Kim Gardner’s witch hunt, “Missouri House Democratic leadership were actively conspiring with the…</t>
  </si>
  <si>
    <t>RT @Mizzourah_Mom: EXCLUSIVE – Hantler: The Four Shocking Messages That Reveal The Democrat Witch Hunt Against Republican Gov. Eric Greiten…</t>
  </si>
  <si>
    <t>RT @RealJamesWoods: Whenever a Democrat is interviewed by the liberal press... https://t.co/OHKe8HMiXC</t>
  </si>
  <si>
    <t>RT @DelporableMe: Dear Black People Get Slavery Out Of Your Head !! #KeepAmericaGreat https://t.co/z85tuU9kA2</t>
  </si>
  <si>
    <t>RT @SykesforSenate: Reserve your free tickets to our Campaign Kickoff in Branson, Mo. #FIRECLAIRE #SENDSYKES ---&amp;gt; https://t.co/QDBfKkL8Fx</t>
  </si>
  <si>
    <t>@LaurieSkrivan @EricGreitens https://t.co/zzSDZOuoxB</t>
  </si>
  <si>
    <t>RT @KMOXKilleen: Heather Forbes outside court house where jury selection continues for @EricGreitens invasion of privacy trial. https://t.c…</t>
  </si>
  <si>
    <t>RT @Hope4Hopeless1: @KMOXKilleen @EricGreitens .@POTUS .@EricGreitens #WeThePeople of #MISSOURI STAND AGAINST THE Anti-Constitutional #Esta…</t>
  </si>
  <si>
    <t>@KMOXKilleen @EricGreitens .@POTUS .@EricGreitens #WeThePeople of #MISSOURI STAND AGAINST THE Anti-Constitutional #Establishment #DeepSTATE WITHIN #Mogov #Moleg &amp;amp; THEIR #SOROS funded CORRUPT #GreitensIndictment #WitchHUNT &amp;amp; CORRUPTED #GreitensTrial 
#LockThemUp
#WeStandWithGreitens https://t.co/0wW6XXic4a</t>
  </si>
  <si>
    <t>RT @inittowinit007: ⭐️🇺🇸HONOR OUR VETERANS🇺🇸⭐️
   🇺🇸#MilitaryAppreciationMonth 🇺🇸
         🇺🇸HOME OF THE FREE🇺🇸
     🇺🇸BECAUSE OF THE BRAVE…</t>
  </si>
  <si>
    <t>RT @atanntaylor: Trump Black Support Reaching 'Danger Zone' For Democrats https://t.co/xWziZFrIA5</t>
  </si>
  <si>
    <t>RT @jamesirving2: Retweet to let #POTUS know that we want the #FBI permanently disbanded. Their Nazi like tactics and criminal activity are…</t>
  </si>
  <si>
    <t>RT @FedupWithSwamp: DOZENS of PROOFS THAT Q IS CREDIBLE!! 
Let's give Q some backup! There are many, many Q-proofs so pick some off this t…</t>
  </si>
  <si>
    <t>@ar15m4mid @ROHLL5 @realDonaldTrump @TexasLo4Ever @MammaLon @southerngirl151 @Goz_1911 @USAloveGOD @ARsRcool @gungal45 @hrenee80 @ETrumpgirl https://t.co/QIacksNfFc</t>
  </si>
  <si>
    <t>@FedupWithSwamp @POTUS https://t.co/qtBgVekOGE
I think this explains the brainwashed youth!!!
REMEMBER right after the switchover to DIGITAL &amp;amp; early in Hussein's first term that he practically mandated every single public school student listen to a LIVE BROADCAST of his televised speech?
#Qanon</t>
  </si>
  <si>
    <t>@Jesus_isPeace @POTUS @EricGreitens @BreitbartNews @staceynewman https://t.co/AJuQINgYFA</t>
  </si>
  <si>
    <t>@Capitalist1818 @staceynewman @POTUS @EricGreitens @KimGardnerSTL https://t.co/5SvOAMkbWp</t>
  </si>
  <si>
    <t>@Jesus_isPeace @POTUS @EricGreitens @BreitbartNews @staceynewman https://t.co/7Pa9A4yt6l</t>
  </si>
  <si>
    <t>RT @Hope4Hopeless1: @Jesus_isPeace .@POTUS #MISSOURI #Moleg THERE IS VERY CLEAR EVIDENCE OF COLLUSION TO UNSEAT OUR DULY ELECTED GOVERNOR .…</t>
  </si>
  <si>
    <t>RT @Hope4Hopeless1: @Capitalist1818 @staceynewman .@POTUS .@EricGreitens.
.@StaceyNewman is IN THICK w/ #SOROS funded BLM ACTIVISTS #MOleg…</t>
  </si>
  <si>
    <t>@Capitalist1818 @staceynewman .@POTUS .@EricGreitens.
.@StaceyNewman is IN THICK w/ #SOROS funded BLM ACTIVISTS #MOleg which includes her COMRADE .@KimGardnerSTL
#KimShady who her TEXT msgs reveal that she's collaborated w/ to get THIS CORRUPTED #GreitensTrial
#StopCommunistTAKEOVER  #MoGov 
#LockThemAllUp https://t.co/4S3KdSzqaT</t>
  </si>
  <si>
    <t>@juliematthews50 @Lautergeist @staceynewman @jallman971 https://t.co/5SvOAMkbWp</t>
  </si>
  <si>
    <t>@Capitalist1818 @staceynewman https://t.co/5SvOAMkbWp</t>
  </si>
  <si>
    <t>@Jesus_isPeace .@POTUS #MISSOURI #Moleg THERE IS VERY CLEAR EVIDENCE OF COLLUSION TO UNSEAT OUR DULY ELECTED GOVERNOR .@EricGreitens
.@BreitbartNews CORRECTION!
.@StaceyNewman  introduced Kitty as a NEW ACTIVIST on The HOUSE FLOOR of #MOleg just 10 MONTHS prior to these TEXTS!
#GreitensTrial https://t.co/FlrgRlNDJO</t>
  </si>
  <si>
    <t>RT @Hope4Hopeless1: @mc_randman @STL_Blonde @USAlovesTrumpz @SykesforSenate @POTUS @ChanelRion @MissouriGOP @clairecmc STRONG &amp;amp; DETERMINED…</t>
  </si>
  <si>
    <t>@MaryStewart01 @RealMAGASteve @AP4Liberty @sugardaddymale NO! The ONLY #AmericaFirst Candidate runnining for US Senate in #MISSOURI #MOSen is #USNavalVet .@SykesforSenate 
#MAGA
#StrongGunRights
#StrongImmigration
#StrongVeteransAdvocate
#CourtlandSykes Pledges to Staff w/ only Veterans &amp;amp; LIMIT himself to 2 Terms https://t.co/XtrCVGW3GZ</t>
  </si>
  <si>
    <t>@Buschbeer2015 @RealTravisCook @ResignNowKim @Nanci2GH @VisioDeiFromLA @JW1057 @joelcurrier @HereLiesMoon @SheenaGreitens @EricGreitens @Avenge_mypeople @EdBigCon @SKOLBLUE1 @blackwidow07 @HennessySTL @SpeakerTimJones @Shawtypepelina @AWESOMECQ .@Buschbeer2015 you're embarrassing yourself with that comparison...@EricGreitens LOVELY wife WASN'T STALKING .@HereLiesMoon and SHE didn't lie and take $$$ to bring false charges against #KittySneed FOR FAME, GREED &amp;amp; REVENGE!
#Moleg #MoGov
STOP
YOUR
CORRUPT
#MISSOURI
#WitchHUNT</t>
  </si>
  <si>
    <t>https://t.co/44oQrSRRg0</t>
  </si>
  <si>
    <t>https://t.co/MpnD1BJT8m</t>
  </si>
  <si>
    <t>Is this .@AP4Liberty #AustinPetersen's https://t.co/09VcByYNGI or https://t.co/QhxkDvid10 prof pic he uses to CON #Missouri girls lookin for A RICH #MOSEN CON ARTIST to "date"? 
Or THE #FoulMouthed "F****ing BADA$$ MotherF***ing #LIBERTARIAN #OpenBorder #RINO posing as A Repub? https://t.co/xJ0U44FOIV</t>
  </si>
  <si>
    <t>RT @HeshmatAlavi: #BreakingNews #Exclusive
Iraq's International Federal Police confiscates 31 boxes containing hundreds of thousands of dol…</t>
  </si>
  <si>
    <t>RT @Patrici15767099: Women in senior positions in the Trump administration:
Nikki Haley - UN
Elaine Chao -  Transportation
Betsy DeVosED -…</t>
  </si>
  <si>
    <t>RT @KamVTV: CALIFORNIA REVOLT : Here are all the cities in California that are OPPOSING being a Sanctuary State and is opting OUT of #SB54!…</t>
  </si>
  <si>
    <t>RT @GartrellLinda: RETWEET RETWEET
if you support our patient, sharp &amp;amp; quick-witted @PressSec, Sarah Sanders.
The #FakeNewsMedia reporters…</t>
  </si>
  <si>
    <t>RT @PradRachael: President Trump Buries Obama Rules: Illegals caught Crossing the Border will be charged,  that's another KEY campaign pled…</t>
  </si>
  <si>
    <t>RT @BigLeague2020: @realDonaldTrump Thank you President Trump and Secretary Pompeo. Truly an amazing accomplishment. I feel immense pride i…</t>
  </si>
  <si>
    <t>RT @Norasmith1000: Kim Gardner conspired with lead witness and #moleg Dems to bring down our Governor. Dirty Dems are getting good at this…</t>
  </si>
  <si>
    <t>RT @BigLeague2020: LIBERTARIAN Austin Petersen Wants ‘A World Where Gay Married Couples Can Defend Their Marijuana Fields’
#MISSOURI Don’t…</t>
  </si>
  <si>
    <t>RT @BigLeague2020: @NoMoSocialism75 @realJLogan @Shawtypepelina @magathemaga1 @realDonaldTrump @SykesforSenate @AP4Liberty @POTUS @tpusa_mi…</t>
  </si>
  <si>
    <t>RT @Avenge_mypeople: In case you haven't seen the latest article describing how @staceynewman used Kitty Sneed to attempt to bring down Gov…</t>
  </si>
  <si>
    <t>RT @joel_capizzi: @NeilStruharik @BigLeague2020 @LovesRemo @magathemaga1 @NoMoSocialism75 @realDonaldTrump @SykesforSenate @AP4Liberty @POT…</t>
  </si>
  <si>
    <t>@joel_capizzi @NeilStruharik @BigLeague2020 @LovesRemo @magathemaga1 @NoMoSocialism75 @realDonaldTrump @SykesforSenate @AP4Liberty @POTUS https://t.co/44oQrSRRg0</t>
  </si>
  <si>
    <t>#MISSOURIANS BEWARE!!!
.@AP4Liberty IS A LYING #NeverTRUMP #RINO ADMITTEDLY only SAYING he's "Republican" to CON #MOSEN to vote for him!
WARNING STRONG LANGUAGE!
#AustinPetersen SAYS, "I'm NOT a right-leaning Libertarian"
"I'm a F!#*ING BADA$$
 MOTHER-F!#*ING LIBERTARIAN! https://t.co/pHBIY1RJQY</t>
  </si>
  <si>
    <t>RT @SKOLBLUE1: I see my boss in that meeting, well done! @EricGreitens you are doing a wonderful job! Thank you for your hard work and dedi…</t>
  </si>
  <si>
    <t>RT @VisioDeiFromLA: Only person slut shaming is U
Rest of us view woman as strong &amp;amp; capable of making own sexual decisions. Which would ex…</t>
  </si>
  <si>
    <t>RT @JustinTraver3: @DrMAGA2020 @SHF7 @SaRaAshcraft @ireckonmate @JackPosobiec @cronsell Stay together. Be heard. https://t.co/mNSu80mXhp</t>
  </si>
  <si>
    <t>RT @JamesOKeefeIII: Meet Kathleen Valencia, a history teacher and the President of the Union City Education Association. Within minutes of…</t>
  </si>
  <si>
    <t>RT @SBelle1950: WE the PEOPLE will not be silent any longer. We started speaking when Donald J. Trump was elected and we will continue.…</t>
  </si>
  <si>
    <t>RT @88YahamaKeys: Sobering fact! @repstaceynewman You can Twitter block but you can’t hide from #QAnon. https://t.co/QH8gZpgUg3</t>
  </si>
  <si>
    <t>@BarackObama Hey Hussein, HAHAHA you FAILED in your mission to take down OUR Country &amp;amp; NOW #WeThePeople have a TRUE AMERICAN PATRIOT as .@POTUS .@realDonaldTrump &amp;amp; your TRAITOROUS INDONESIAN ASS is going to #GITMO to FACE #MilitaryJUSTICE https://t.co/pucL7BVxPq</t>
  </si>
  <si>
    <t>RT @TruthTalkerUSA: @BarackObama Yes Barry we all know you're mad your Muslim friends are not going to get Americans money in nuclear weapo…</t>
  </si>
  <si>
    <t>RT @ar15m4mid: @ROHLL5 .@realDonaldTrump is fixing America! Obama's "legacy" will be just a bad memory by the time #Trump gets to his secon…</t>
  </si>
  <si>
    <t>RT @SykesforSenate: There's no substitute for being on the ground. This is how we're winning. #EVERYDAY #MOSen #MAGA https://t.co/eS9priail0</t>
  </si>
  <si>
    <t>RT @CStamper_: Why were #moleg Democratic leaders texting with the lead witness and communicating with Soros-backed prosecutor Kim Gardner…</t>
  </si>
  <si>
    <t>RT @Hope4Hopeless1: @CStamper_ .@POTUS hopefully the 300+ Sealed Federal Indictments here in #Missouri contain THE CORRUPT TRAITOROUS SNAKE…</t>
  </si>
  <si>
    <t>@CStamper_ .@POTUS hopefully the 300+ Sealed Federal Indictments here in #Missouri contain THE CORRUPT TRAITOROUS SNAKES in #MoGov &amp;amp; #MoLeg  https://t.co/5VyPZGzKyX</t>
  </si>
  <si>
    <t>RT @hrtablaze: It's official! Another promise kept. 
President Trump announces that the U.S is withdrawing from the Iran Nuclear deal.  He…</t>
  </si>
  <si>
    <t>RT @ThePatriot142: @hrtablaze John Kerry after hearing this announcement https://t.co/qW8T6pWYq1</t>
  </si>
  <si>
    <t>@magathemaga1 @BillEigel @willscharf @SheenaGreitens @TeamGreitens @TomJEstes @TrumpChess @toadtws @TxSecurityGal @Ijames2018 @chadler_usa @smart_hillbilly @Steffi_Cole @paulcurtman @jallman971 @Markknight45 @MarcCox971 @ninekiller @realJLogan @Pissyjo @melody_grover @AWESOMECQ @joel_capizzi WTH #MOLEG @AGJoshHawley
???
 .@staceynewman PROUD TO INTRODUCE LONG TIME FRIEND &amp;amp; NEW ACTIVIST &amp;amp; COMRADE ON THE HOUSE FLOOR!!!
#Soros
#KimShady
#BLM
#FollowTheMONEY
#MoTaxCREDITS
.@POTUS #DrainTheSWAMP &amp;amp; STOP CORRUPT #GreitensIndictment https://t.co/kj9Mwkwk5E</t>
  </si>
  <si>
    <t>RT @Sticknstones4: Missouri Collusion 
@MOLegDems  @walshgina @GailBeatty @staceyNewman
I Missed this juicy detail in your outraged press…</t>
  </si>
  <si>
    <t>RT @magathemaga1: Good afternoon #MoLeg #MoGov except @Rep_TRichardson 
Based on recent filings, looks like “KS”  coordinated with the MO…</t>
  </si>
  <si>
    <t>@VisioDeiFromLA @SmokeyBear2018 IT'S WASH, RINSE, REPEAT!
THIS SHIT HAS TO STOP!!!
.@POTUS and #WeThePeople
MUST MAKE THIS #SOROS SHIT in #Moleg #Mogov #DC STOP!!!
 #DrainTheSWAMP
#LockThemAllUp
#WeThePeople
STAND
WITH
.@POTUS
.@realDonaldTrump 
&amp;amp;
.@GovGreitensMO 
.@EricGreitens https://t.co/tSWdY8xUBC</t>
  </si>
  <si>
    <t>RT @Str8DonLemon: Good morning #moleg 
Where is Scott Faughn?
Where did his money come from?
FOLLOW THE MONEY
Notice certain people who…</t>
  </si>
  <si>
    <t>RT @ATeamMom1: Let @staceynewman know we the people have had it with her destructive, hateful, Marxist, Alinsky tactics. #RFA #RadioFreeAll…</t>
  </si>
  <si>
    <t>RT @joel_capizzi: AP4 insists his "conversion" from never-Trumper to MAGA candidate is real while maintaining his opposition to a border wa…</t>
  </si>
  <si>
    <t>RT @joel_capizzi: "Judges send message to Missouri AG Josh Hawley: Do your job".
Cut him some slack judge. Can't you see he's busy with hi…</t>
  </si>
  <si>
    <t>RT @JackPosobiec: Trump supporter poll:
Is @GenFlynn an American Hero?</t>
  </si>
  <si>
    <t>Awwww... how PRECIOUS!  This elephant picked up the trash! https://t.co/gfIJy8dBJQ</t>
  </si>
  <si>
    <t>@RonPaulWasOn @On_The_Hook @MNoblitt https://t.co/XUDShMoIBW</t>
  </si>
  <si>
    <t>@TheTrussel @NoMoSocialism75 @LovesRemo @BigLeague2020 @magathemaga1 @realDonaldTrump @SykesforSenate @AP4Liberty @POTUS https://t.co/XUDShMoIBW</t>
  </si>
  <si>
    <t>@TheTrussel @NoMoSocialism75 @LovesRemo @BigLeague2020 @magathemaga1 @realDonaldTrump @SykesforSenate @AP4Liberty @POTUS .@AP4Liberty a TRUE Conservative??? 
OH HELL NO!
In his own words he's "ONE BADASS MOTHER-F!*KING LIBERTARIAN who LIED that he was a PAID Politician w/Net Worth $$$ of 1M-5M to get "dates" on https://t.co/09VcByYNGI
#MO NOW #AustinPetersen is LYING to gain a Senate Seat #MOSEN https://t.co/6YkEWDmlT3</t>
  </si>
  <si>
    <t>RT @HennessySTL: And this crooked MO House committee (they all hang out in Candy Man @ScottFaughn's weird party pad in JC after hours) is a…</t>
  </si>
  <si>
    <t>RT @HennessySTL: Crooked @scottfaughn questioning Gov. Greitens’ authenticity is like me questioning Mother Teresa’s humility.  https://t.c…</t>
  </si>
  <si>
    <t>RT @RyanAFournier: This Army soldier’s flight was delayed. He had to watch the birth of his daughter on FaceTime. I wanted to share this be…</t>
  </si>
  <si>
    <t>RT @joel_capizzi: @AvrilMai91 @RepublicanPeter @AP4Liberty @realDonaldTrump I'll tell you exactly what he stands for: open borders and ille…</t>
  </si>
  <si>
    <t>RT @Nov2018election: @joel_capizzi @AvrilMai91 @RepublicanPeter @AP4Liberty @realDonaldTrump Missouri Meet the real Austin Petersen! https:…</t>
  </si>
  <si>
    <t>RT @RonPaulWasOn: @On_The_Hook @MNoblitt Austin joined https://t.co/ueDQoAIWK1 under an anymous name and got caught. It was so funny. Here…</t>
  </si>
  <si>
    <t>RT @JW1057: @StLCountyRepub @EricGreitens @TeamGreitens @SheenaGreitens 
I am truth and justice and @stlcao and @jaybarnes5 are frauds!…</t>
  </si>
  <si>
    <t>RT @aaron_hedlund: Leadership isn't declaring an outcome before the facts are in. The rush to immediate action has nothing to do with truth…</t>
  </si>
  <si>
    <t>RT @aaron_hedlund: Translation: the liberal media wants Greitens to resign even if he's innocent. There is nothing that could possibly happ…</t>
  </si>
  <si>
    <t>@c19485591 @Thomas1774Paine @EricGreitens is an outsider who's draining the swamp here in MO. he's cut the CORRUPT Repubs and Dems off from their tax credit $$$ SCAM! Soros gave $200K BLM ACTIVIST #KimShady in as Circuit who LIED to get #GreitensIndictment w/NO evidence anon PAID $100K  to "victims" etc etc</t>
  </si>
  <si>
    <t>RT @PeaceLanese: https://t.co/xVqw2Sykqr
NSA
NASA
AT&amp;amp;T
YAHOO
CERN 
AND A BUNCH MORE MAJOR COMPANIES!!!
THIS IS IT!!!
THIS KEYSTONE CLOUD…</t>
  </si>
  <si>
    <t>RT @fleccas: Alcohol is forbidden. You'd think Germany would understand this by now... https://t.co/IcjMHh0RXp</t>
  </si>
  <si>
    <t>RT @VisioDeiFromLA: ODD how "Parson Tax Credit Bots" dont care about due process
If list an issue, should have been the basis for case &amp;amp; i…</t>
  </si>
  <si>
    <t>RT @lgram3: My response to him - Dear Songbird, Most vets and real patriots know the truth about you and will not be "celebrating" your lif…</t>
  </si>
  <si>
    <t>RT @michaeljohns: I received a tsunami of criticism when, on 6/16/15, I said Trump alone held answers to our challenges.
3 years later:
*…</t>
  </si>
  <si>
    <t>RT @ArchKennedy: Will @Rosie be thrown in prison like @DineshDSouza was for doing WORSE⁉️ 
#SundayMorning https://t.co/K2DtdDBIc9</t>
  </si>
  <si>
    <t>@junogsp5 @SiddonsDan  https://t.co/s6CceaJXnO</t>
  </si>
  <si>
    <t>RT @VisioDeiFromLA: Everything I dont like is "Alt-Right" or "Russian" or a "bot"
I call it The emotional child's guide to online politica…</t>
  </si>
  <si>
    <t>RT @diamondgirl2222: @prayingmedic Great thread, Praying Medic! 
#JusticeHasCome https://t.co/8bXmXWS5LB</t>
  </si>
  <si>
    <t>RT @Nov2018election: (1) PLEASE SUPPORT THESE CONSERVATIVE PATRIOTS IN NOVEMBER @SykesforSenate @NewDayForNJ @DannyTarkanian @SaarioBrandon…</t>
  </si>
  <si>
    <t>RT @BigLeague2020: @TonjandHaleg @Vets4AP @StandBsideHer @Hope4Hopeless1 @JoshAlterity @HotlineJosh @AP4Liberty @RLibertyCaucus @SykesforSe…</t>
  </si>
  <si>
    <t>RT @MariaChappelleN: This Scott Faughn saga hits - at least - four birds with one stone. And, they are both Democratic and Republican birdi…</t>
  </si>
  <si>
    <t>RT @Sticknstones4: @MariaChappelleN It’s the Lords Day Preach MCN ! I’m listening to you</t>
  </si>
  <si>
    <t>RT @redsteeze: Trotskyites!</t>
  </si>
  <si>
    <t>RT @BigLeague2020: @redsteeze https://t.co/7lfBUd0xOt</t>
  </si>
  <si>
    <t>RT @BigLeague2020: @redsteeze https://t.co/WufzfHJ0Go</t>
  </si>
  <si>
    <t>RT @BigLeague2020: @redsteeze https://t.co/bGnbQYwJ9B</t>
  </si>
  <si>
    <t>RT @BigLeague2020: @redsteeze https://t.co/ZoD4ThHDRJ</t>
  </si>
  <si>
    <t>RT @leilanitexas: @J_Martinez_WC @redsteeze Even last year's AP was as sketchy as a Tijuana used car salesman, though.He's just moved on to…</t>
  </si>
  <si>
    <t>RT @cl2995: @redsteeze This guy is a #RINO. He doesn't support THE WALL #MAGA</t>
  </si>
  <si>
    <t>RT @RobMarchione: @redsteeze Lmao @AP4Liberty You really have no integrity , do you?</t>
  </si>
  <si>
    <t>RT @JerryDunleavy: @redsteeze Crazy that the guy who tried to be the #NeverTrump presidential candidate is now performing a #MAGA routine.…</t>
  </si>
  <si>
    <t>RT @Zimrico: 5% of Detroit 8th graders are proficient in math, 7% in reading. Who has been running Detroit for 60 years?  Anyone that votes…</t>
  </si>
  <si>
    <t>RT @intheMatrixxx: FBI FIRED. 
@POTUS #QArmy #Qanon #MAGA  #PatriotsFight #PatriotsUnite https://t.co/JMrPbgtZBW</t>
  </si>
  <si>
    <t>RT @ChanelRion: #TEAMSYKES if you support #AMERICAFIRST
 ~ @SykesforSenate @ChanelRion ~
#DraintheSwamp #MoSen #MoGOP #CourtlandSykes #NoRI…</t>
  </si>
  <si>
    <t>RT @TonjandHaleg: @BigLeague2020 @W_C_Patriot @Vets4AP @StandBsideHer @Hope4Hopeless1 @AX99T1 @JoshAlterity @HotlineJosh @AP4Liberty @RLibe…</t>
  </si>
  <si>
    <t>RT @On_The_Hook: @dizzypam He a Fraud, running for Senate as a Republican in Missouri</t>
  </si>
  <si>
    <t>RT @BigLeague2020: @NoMoSocialism75 @magathemaga1 @realDonaldTrump @SykesforSenate @AP4Liberty Happy Cinco de Mayo
#MOSEN
https://t.co/6e…</t>
  </si>
  <si>
    <t>RT @YupThatExist: 120 mph crash illustration... https://t.co/MOGpNZ3DYc</t>
  </si>
  <si>
    <t>@Jordan_Sather_ .@POTUS  THAT Q-PAD IS YUGE!!!</t>
  </si>
  <si>
    <t>RT @bvanhauen1: Grabbed a coffee this morning at Papa’s Coffee Express in Liberty and met this young man! Was very impressed by @SykesforSe…</t>
  </si>
  <si>
    <t>@SykesforSenate @SenateMajLdr https://t.co/PAPiw9vFYg</t>
  </si>
  <si>
    <t>RT @SykesforSenate: You don't say. There are a lot of nervous senators in Washington right now @SenateMajLdr. Shedding light on your little…</t>
  </si>
  <si>
    <t>@magathemaga1 @realDonaldTrump https://t.co/3mqCk0jQYB
Please listen to US Senate Candidate #MOSEN .@SykesforSenate from #MO  
#CourtlandSykes is a smart POWERFUL Patriot who's FIGHTING #DeepState #Establishment HEAD ON!!!
#WeThePeople 
#StandWithGovGreitens 
#Moleg #Mogov
STOP #SOROS LED
#GreitensIndictment</t>
  </si>
  <si>
    <t>RT @RandleRealTruth: #Chemtrails! Mind control spray to make us hate freedom and love communism! #nwo #infowars #qanon #anon #Illuminati #f…</t>
  </si>
  <si>
    <t>RT @jbirdinga: #SupportOurVets 
Patriots support the Companies that Support our Veterans. Where you spend your money is your most powerful…</t>
  </si>
  <si>
    <t>RT @Debradelai: Today, while everybody was running around like headless chickens following the lead of MSM bull stories, a Great American H…</t>
  </si>
  <si>
    <t>RT @PatriotMarie: .Thank you #Iowa‼️ ❤️ You did what the governor of #Ohio @JohnKasich said NO to 👉🏻 He refused to sign the heartbeat law #…</t>
  </si>
  <si>
    <t>RT @Chicago1Ray: " A FREE PEOPLE OUGHT NOT ONLY TO BE ARMED AND DISCIPLINED 
BUT THEY SHOULD HAVE SUFFICIENT ARMS &amp;amp; AMMUNITION TO MAINTAIN…</t>
  </si>
  <si>
    <t>@JoshAlterity @RobertiLax @joel_capizzi @SykesforSenate @AP4Liberty Tabloid "controversy" .@AP4Liberty has NEVER held office &amp;amp; LIED saying he was a Professional Politician making $1.5M yr to trick, fool, con young girls into "dating" thinking he was RICH. 
#MOSEN voters WILL KNOW AP can't be trusted &amp;amp; you'll  see that HONESTY &amp;amp; INTEGRITY MATTERS</t>
  </si>
  <si>
    <t>@JoshAlterity @RobertiLax @joel_capizzi @SykesforSenate @AP4Liberty FALSE accusations of lying won't silence me or quash the inconvenient TRUTH abt @AP4Liberty RIDICULOUS saying #MOSEN voters don't care to know details of his LYING to CON "dates" on https://t.co/09VcByYNGI VERY SERIOUS CHARACTER FLAW in a Candidate seeking a POWERFUL Senate Seat https://t.co/v9dhx6qQRB</t>
  </si>
  <si>
    <t>@JoshAlterity @Vets4AP @joel_capizzi @HotlineJosh @AP4Liberty @Judgenap Look its clear to anyone reading your tweets that you've stooped to trying to shut down any subject you find threatening by using the aggressive tactic of blatantly making a false allegation of lying and then going into some lengthy rebuke as if it actually happened. #Twisted</t>
  </si>
  <si>
    <t>RT @heartlanderUSA: @NSAGov With heartfelt gratitude, Admiral Rogers. https://t.co/TGnQjW4BjI</t>
  </si>
  <si>
    <t>RT @LCCrusader: @NSAGov True American Hero.  Can't wait for All Americans to know your Bravery.  You helped save our Republic.</t>
  </si>
  <si>
    <t>@mpcunningham8 @EarthMurph @SykesforSenate @AGJoshHawley @clairecmc You must be a super low paid troll, you obviously haven't taken the time to educate yourself 
about the MO Candidate that you're attempting to troll. Why don't you take your 60 followers and slither back to NC.</t>
  </si>
  <si>
    <t>RT @SykesforSenate: Step down @AGJoshHawley, you have no idea what you're doing and you have no business bypassing #DueProcess to serve you…</t>
  </si>
  <si>
    <t>RT @joel_capizzi: @Nov2018election @SykesforSenate @kelliwardaz @AjaforCongress @SaarioBrandon @AntonioSabato @Scottforpa @CoreyStewartVA @…</t>
  </si>
  <si>
    <t>RT @NewDayForNJ: @joel_capizzi @Nov2018election @SykesforSenate @kelliwardaz @AjaforCongress @SaarioBrandon @AntonioSabato @Scottforpa @Cor…</t>
  </si>
  <si>
    <t>RT @realDonaldTrump: Because Jobs in the U.S. are doing so well, Americans receiving unemployment aid is the lowest since 1973. Great!</t>
  </si>
  <si>
    <t>RT @NightSKY4409: @howardcomer @SandraTXAS @Riff_Raff45 @Brasilmagic @GemMar333 @StacyLStiles @mikandynothem @jojoh888 @USAloveGOD @RealEag…</t>
  </si>
  <si>
    <t>RT @DeplorableGoldn: RT 🚨
Yes!!!!! As the sun sets on Guantanamo Bay Naval Base and the indictments pile up, take comfort in this quote:…</t>
  </si>
  <si>
    <t>@JoshAlterity @RobertiLax @joel_capizzi @SykesforSenate @AP4Liberty Nice try, but nearly all your tweets show little signs of any engagement. Ha maybe you're seeing a spike in hits on  .@AP4Liberty 's post on https://t.co/09VcByHci8
How many "dates" did LYING about being a "Professional Politician" making $1.5M yr get him?https://t.co/kt8zW20dm8</t>
  </si>
  <si>
    <t>@JoshAlterity @RobertiLax @joel_capizzi @SykesforSenate @AP4Liberty Really? Aren't you embarrassed to have to revert to the SOOO obvious/predictable labeling ppl bots to deflect the MANY GLARING problems w/ your https://t.co/09VcByHci8 con man candidate .@AP4Liberty ???</t>
  </si>
  <si>
    <t>RT @VisioDeiFromLA: @EricGreitens Keep up great work. Real strength is continuing to do the people’s work day to day in spite of EVIL force…</t>
  </si>
  <si>
    <t>@AlabamaPopulist @LylaRTurner @EricGreitens @POTUS @realDonaldTrump @POTUS_Schedule @GovGreitensMO @SykesforSenate Triggered? Haha don't humor yourself...you're pitiful troll ...it took you following 450 accts to get 15 to follow your sorry ass.</t>
  </si>
  <si>
    <t>RT @OliverMcGee: Retweet our pride in our @POTUS as 18 House Republicans nominate @realDonaldTrump for a 2019 #NobelPeacePrize for his lead…</t>
  </si>
  <si>
    <t>RT @TrumpTrainMRA4: Countries That are Weak, 
Raise Soft Men...
💪Masculinity  versus  Liberalism🧚‍♂️ 
The Liberal AntiAmerica AltLeft 
Cont…</t>
  </si>
  <si>
    <t>@LylaRTurner @EricGreitens @POTUS @realDonaldTrump @POTUS_Schedule @GovGreitensMO Nope! I'm one PISSED OFF real FLESH &amp;amp; BLOOD citizen of #MISSOURI, #USA who's voting #AmericaFirst .@SykesforSenate #MOSEN
to #FireClaire &amp;amp; #DrainTheSwamp
.@SykesforSenate #WeThePeople STAND w/ .@POTUS .@realDonaldTrump
&amp;amp; .@GovGreitensMO  @EricGreitens https://t.co/cnlRBdSUQ5</t>
  </si>
  <si>
    <t>@AX99T1 @Vets4AP @Shawtypepelina @Nov2018election @JoshAlterity @HotlineJosh @AP4Liberty @RLibertyCaucus @SykesforSenate .@SykesforSenate is a #USNavalVet who is very active in SUPPORT of Veterans &amp;amp; their families &amp;amp; who pledges to STAFF w/only Veterans.</t>
  </si>
  <si>
    <t>@AX99T1 @Vets4AP @Shawtypepelina @Nov2018election @JoshAlterity @HotlineJosh @AP4Liberty @RLibertyCaucus @SykesforSenate ABSOLUTELY! .@SykesforSenate is the ONLY US Senate Candidate in #MO that's expressed that the US needs at least a 3yr Moratorium on Immigration to get things straightened out before proceeding with caution</t>
  </si>
  <si>
    <t>@EricGreitens Governor.@EricGreitens &amp;amp; .@POTUS .@realDonaldTrump I can't begin to express my admiration &amp;amp; gratitude for your LEADERSHIP &amp;amp; for your STRENGTH &amp;amp; #RESILIENCE AGAINST  #AntiConstitutional #Soros #DeepState #Mogov #Moleg tryin to NULLIFY the WILL of #WeThePeople w/CORRUPT #WitchHunts https://t.co/QX9ch7jM0o</t>
  </si>
  <si>
    <t>RT @DrMartyFox: ATTN: Rudy Gulianni 
#Mueller Does NOT Get To Interview #PresidentTrump (To Set His Perjury Traps) Without Evidence Of Any…</t>
  </si>
  <si>
    <t>@JoshAlterity @joel_capizzi @AX99T1 @Vets4AP @HotlineJosh @AP4Liberty @Judgenap Sadly .@AP4Liberty has MANY #Missourians blocked &amp;amp; unable to see the tweet referenced.
From EVERYTHING I've seen, #AustinPetersen seems unable and/or unwilling to explain HOW his#Libertarian view on#ABORTION reconciles w/his recent claim of being #ProLife
https://t.co/jT2o0JgZEd</t>
  </si>
  <si>
    <t>@RobertiLax @joel_capizzi @SykesforSenate Robert took a pathetic STAB at justifying the murder of the #UNBORN  
.@JoshAlterity is it #Libertarian .@AP4Liberty #ProChoice view that the Right of LIFE &amp;amp; LIBERTY doesn't pertain to the VOICELESS &amp;amp; MOST VULNERABLE in our society IF that LIFE is DEEMED inconvenient to another? https://t.co/dxylDWYSGW</t>
  </si>
  <si>
    <t>@Vets4AP @AX99T1 @Shawtypepelina @Nov2018election @JoshAlterity @HotlineJosh @AP4Liberty @RLibertyCaucus @SykesforSenate But we're not asking you what your views are, we're asking you about the views of the U.S. Senate candidate that you want us to bote for to Represent us.</t>
  </si>
  <si>
    <t>@Vets4AP @Shawtypepelina @Nov2018election @AX99T1 @JoshAlterity @HotlineJosh @AP4Liberty @RLibertyCaucus @SykesforSenate Please disregard the question about the meaning of the term Alterity, but would you mind please answering question #2? I really am trying to understand how .@AP4Liberty #Libertarian ideology reconciles w/ protecting the #UNBORN.
 https://t.co/otdrOgB2HL</t>
  </si>
  <si>
    <t>@JoshAlterity @joel_capizzi @AX99T1 @Vets4AP @HotlineJosh @AP4Liberty @Judgenap .@JoshAlterity 
TWO genuine ?s
1. Is "Alterity" a clever spin on the word Liberty, like an alternative to Liberty? 
2. Could you please elaborate how .@AP4Liberty ALT #Libertarian platform works out for the ABORTED #UNBORN'S right to LIFE, LIBERTY &amp;amp; the Pursuit of HAPPINESS? https://t.co/rZ94TzjtYO</t>
  </si>
  <si>
    <t>@Vets4AP @StandBsideHer @AX99T1 @JoshAlterity @HotlineJosh @AP4Liberty @RLibertyCaucus NO! #OpenBORDERS .@AP4Liberty IS a #NeverTrumper that PREFERS #HillarysCOMMUNIST POLICIES over .@POTUS #BuildTheWall PRO #AmericaFirst Agenda!
#MISSOURIANS #MOSEN WILL NOT BE FOOLED by a #ProCommunistHillary https://t.co/09VcByYNGI #RINO WHO LIES/CONS TO GET WHAT HE WANTS! https://t.co/SOQYKbfqMN</t>
  </si>
  <si>
    <t>@Vets4AP @JoshAlterity @joel_capizzi @AX99T1 @HotlineJosh @AP4Liberty .@vets4AP so it's taken you following 353 Twitter accts to yield you 250 accts-PATHETIC
I think it's obvious why I doubt that of these 250 that there is a high % of  US Veterans supporting #OpenBorders .@AP4Liberty 
HONORABLE VETs DON'T CONDONE LYING on https://t.co/09VcByYNGI</t>
  </si>
  <si>
    <t>RT @Hope4Hopeless1: @JoshAlterity @joel_capizzi @AX99T1 @Vets4AP @HotlineJosh @AP4Liberty .@JoshAlterity your CON MAN Candidate #MOSEN .@AP…</t>
  </si>
  <si>
    <t>@JoshAlterity @joel_capizzi @AX99T1 @Vets4AP @HotlineJosh @AP4Liberty .@JoshAlterity your CON MAN Candidate #MOSEN .@AP4LIBERTY  is CONNING YOU! The GIGS UP #MISSOURI WON'T BE FOOLED! https://t.co/lEnG16o40e</t>
  </si>
  <si>
    <t>RT @joel_capizzi: @BigLeague2020 @Vets4AP @Hope4Hopeless1 @HotlineJosh @AP4Liberty I'm a libertarian. Nope, I'm a Republican. 
Trumpers ar…</t>
  </si>
  <si>
    <t>@AX99T1 @JoshAlterity @Vets4AP @HotlineJosh @AP4Liberty @RLibertyCaucus AGREED!!! #Missourians ESPECIALLY their sons &amp;amp; daughters would be A LOT safer if this ARROGANT #OpenBORDERS https://t.co/09VcByYNGI Scam Artist .@AP4Liberty woukd take his LYING GREEDY ASS back to NYC where he came from. https://t.co/Bd0spZInkX</t>
  </si>
  <si>
    <t>@JoshAlterity @AX99T1 @Vets4AP @HotlineJosh @AP4Liberty @RLibertyCaucus Your CON MAN "candidate" .@AP4Liberty 
is SHADY as HELL! Ask him about lying to girls on the poorly veiled prostitution website https://t.co/09VcByYNGI saying he's a Professional Politician making $1.5M a yr to FOOL them into "dating" him. 
#MISSOURI #MOSEN WON'T BE FOOLED!!!</t>
  </si>
  <si>
    <t>@JoshAlterity @AX99T1 @Vets4AP @HotlineJosh @AP4Liberty @RLibertyCaucus https://t.co/njUHZ3asEj</t>
  </si>
  <si>
    <t>@Vets4AP @AX99T1 @HotlineJosh @AP4Liberty https://t.co/njUHZ3s3vR</t>
  </si>
  <si>
    <t>SERIOUSLY??? You &amp;amp; the https://t.co/09VcByHci8 Con Man .@AP4Liberty are IDIOTS for pointing out that YOU are OPPOSED to joining the GROUP of Senate Patriots that IDENTIFY as #FreedomCaucus &amp;amp; FRANKLY who's Anti #AmericaFirst #OpenBorders AGENDA would NEVER grace their FELLOWSHIP https://t.co/IqhBzm0uMX</t>
  </si>
  <si>
    <t>@JoshAlterity @AX99T1 @Vets4AP @HotlineJosh @AP4Liberty @RLibertyCaucus SERIOUSLY??? You &amp;amp; the https://t.co/09VcByHci8 Con Man .@AP4Liberty are IDIOTS for pointing out that YOU are OPPOSED  to joining the GROUP of Senate Patriots that IDENTIFY as #FreedomCaucus &amp;amp; FRANKLY who's  Anti #AmericaFirst #OpenBorders AGENDA would NEVER grace their FELLOWSHIP</t>
  </si>
  <si>
    <t>@JoshAlterity @AX99T1 @Vets4AP @HotlineJosh @AP4Liberty Courtland .@SykesforSenate  has lived in Mo for close to 3yrs. Some DECEPTIVE "reporter(s)" "used" the date he registered their craftsmen type home construction business &amp;amp; moved up to Indep from Southern MO &amp;amp; #FakeNews outlets have MISLEADINGLY ran with that instead of the truth!</t>
  </si>
  <si>
    <t>@AX99T1 @Vets4AP @HotlineJosh @AP4Liberty https://t.co/AKhGPNa3WC</t>
  </si>
  <si>
    <t>@Vets4AP @HotlineJosh @AP4Liberty OH YES I HAVE!!! You either haven't or you are not TRULY PRO #AmericaFirst
https://t.co/AKhGPNa3WC</t>
  </si>
  <si>
    <t>.@POTUS #Missourians we MUST #FireCommieClaire 
&amp;amp;
PURGE THE
Spineless Establishment's #1 Danforth/McConell RECRUIT, THE
DANGEROUS Globalist in Sheep's Clothing &amp;amp; THE Arrogant OPEN BORDERS/NeverTrump Libertarian #RINOS trying to FOOL us for #MOSEN!
Aug 7th VOTE .@SykesforSenate https://t.co/Y68L2m0u6J</t>
  </si>
  <si>
    <t>RT @BigLeague2020: “During Small Business Week, we celebrate the great, hard-working entreprenueurs across our country who have started and…</t>
  </si>
  <si>
    <t>RT @SykesforSenate: Is there a Constitutional amendment we don't know about making #RodRosenstein king of #America and more powerful than t…</t>
  </si>
  <si>
    <t>RT @SykesforSenate: It's only a matter of time before the people of Iran exchange Islamic law for equality as they stand up for human right…</t>
  </si>
  <si>
    <t>RT @BigLeague2020: @joel_capizzi @Nov2018election ENOUGH IS ENOUGH
SEND PRESIDENT TRUMP THE SUPPORT HE NEEDS
🇺🇸SYKES FOR SENATE🇺🇸
THE RE…</t>
  </si>
  <si>
    <t>RT @joel_capizzi: In his own words: AUSTIN PETERSEN FAVORS ILLEGAL IMMIGRATION. https://t.co/wwb4COtIH9</t>
  </si>
  <si>
    <t>RT @Hope4Hopeless1: @HotlineJosh #Missourians 
BEWARE 
#NeverTrump
LIBERTARIAN
.@AP4Liberty #Mosen 
#ProHillary2016
#AustinPetersen
IS
A…</t>
  </si>
  <si>
    <t>@joel_capizzi https://t.co/NdVnXKGDhD</t>
  </si>
  <si>
    <t>@Steffi_Cole @HotlineJosh @AP4Liberty https://t.co/NdVnXKGDhD</t>
  </si>
  <si>
    <t>@HotlineJosh #Missourians 
BEWARE 
#NeverTrump
LIBERTARIAN
.@AP4Liberty #Mosen 
#ProHillary2016
#AustinPetersen
IS
A
#SnakeInTheGrass
AGAINST #TrumpAgenda
 &amp;amp;
SUPPORTS #OpenBorders</t>
  </si>
  <si>
    <t>@Steffi_Cole @HotlineJosh @AP4Liberty https://t.co/Yni6nGgsSw</t>
  </si>
  <si>
    <t>@JaneDueker .@JaneDueker how about one word... JOKE! You're a JOKE, a laughing stock of MO. You have NO fans not even your fellow libbys can stand you! Jane do you even wonder why your playmates frm Scotty's Play Pen don't claim you in public? Oh &amp;amp; you suck as a propagandist too-SO OBVIOUS!</t>
  </si>
  <si>
    <t>RT @LisaMei62: Wow....how dare he oppose his masters...
“...we also think that sometimes Kanye West talks out of turn and perhaps sometime…</t>
  </si>
  <si>
    <t>@jonesmarkh @EricGreitens Hahaha... YOU displaying the fact that bantering with the ABSURDITY of a brainwashed (prob compromised) LIBERAL w/ a CORRUPT agenda is NOT worth this MAN's time/energy like it's some type of victory trophy-PATHETIC!!!
https://t.co/CxYZD2Wgh0</t>
  </si>
  <si>
    <t>RT @thebradfordfile: America: The debate is over.
President @realDonaldTrump deserves the Nobel Peace Prize. 
Be free. Be MAGA. https://t…</t>
  </si>
  <si>
    <t>RT @Jordan_Sather_: Agreed. @GenFlynn for the win! https://t.co/KqpMn33fFx</t>
  </si>
  <si>
    <t>RT @__TruthSeeker_: 4 turbo engines all fail at the same time? #c130crash #QAnon #C130 #Anon #8Chan 
Get the shovels out,  we have a sh!t m…</t>
  </si>
  <si>
    <t>RT @Redhead4645: Michigan let's be done with democrat Stabenow and put in this fine young Conservative, John James in the senate seat! He i…</t>
  </si>
  <si>
    <t>RT @Norasmith1000: @JaneDueker Integrity, lol? People keep talking about polls, I would love to see the results of a poll conducted on how…</t>
  </si>
  <si>
    <t>RT @VisioDeiFromLA: @jrosenbaum @EricGreitens @Hope4Hopeless1 @Sticknstones4 @SKOLBLUE1 @Eric_Schmitt @GOPMissouri @STLCountyGOP @paulcurtm…</t>
  </si>
  <si>
    <t>RT @Mizzourah_Mom: Here's an article about Sterling Bank's links to the low income tax credits from 2013. Looks like they stand to lose a l…</t>
  </si>
  <si>
    <t>RT @AnnaApp91838450: @TrumpTrainMRA4 @POTUS @realDonaldTrump OMG / WHAT A BAD ASS POST &amp;amp; THE PICTURES IS 
DYANOMITE💥
PATRIOTS RED FRIDAY
SH…</t>
  </si>
  <si>
    <t>RT @TrumpTrainMRA4: Thank You @POTUS Trump @realDonaldTrump 
The Constitutional Republic of America was Under 
Siege by an UnConstitutional…</t>
  </si>
  <si>
    <t>RT @CStamper_: This is what Soros-backed prosecutor Kim Gardner’s witch hunt has come to. #moleg #mogov https://t.co/ZqgR6bOeBF</t>
  </si>
  <si>
    <t>RT @Bad_Brad1234: @LauraLoomer It's all Bull Shit. I'm a weapons manufacturer and a tactical shooter and that damn auto fire was NOT an AR…</t>
  </si>
  <si>
    <t>RT @DonaldJTrumpJr: Very proud to have a President do what what he said he was going to do. For decades now @realdonaldtrump has been signa…</t>
  </si>
  <si>
    <t>RT @gr8tjude: 💥BREAKING: Over A Dozen Lawmakers Nominate Trump For Nobel Peace Prize ↘️
| Daily Wire https://t.co/UdTpsxOV6q</t>
  </si>
  <si>
    <t>RT @KCNewsGuy: Greitens legal counsel: New report does "tremendous disservice" to U.S., Missouri constitutions. #moleg #mogov 
MORE: https…</t>
  </si>
  <si>
    <t>@MariaChappelleN @CDTCivilWar @tonymess @scottfaughn @MissouriTimes @MOEthics Please elaborate! Does this have anything to do with what goes on at Scotty's secret party pad??? https://t.co/S5qZfMS0tV</t>
  </si>
  <si>
    <t>@for_congress @Shawtypepelina @TrumpTrainMRA4 @Sticknstones4 @TrumpChess @realDonaldTrump @HawleyMO @RoyBlunt @EricGreitens @SykesforSenate Courtland has lived in Mo for close to 3yrs. Some deceptive "reporter(s)" grabbed the date he registered their craftsmen type home construction business &amp;amp; him moving up to Indep from southern MO &amp;amp; a whole pack of  MSM outlets have MISLEADINGLY ran with that instead of the truth!</t>
  </si>
  <si>
    <t>RT @TrumpChess: @realDonaldTrump Translation: Witch Hunt = Swamp Fighting Back. 
Just like in #MO the witch hunt = the same as above. It wo…</t>
  </si>
  <si>
    <t>RT @TrumpChess: @Shawtypepelina @realDonaldTrump I'm sorry for cracking up but these #MOlawmakers block me every single day and they're alr…</t>
  </si>
  <si>
    <t>RT @ResignNowKim: @lindsaywise NEW: @scottfaughn and unknown money men engineer a scandal as coup to take out @EricGreitens .  How about us…</t>
  </si>
  <si>
    <t>RT @notabot88: Attention Comrades! Get your #QAnon Pamphlet here: https://t.co/sR4v44Neab Go forth and red pill. #TheGreatAwakening #QArmy</t>
  </si>
  <si>
    <t>RT @CStamper_: Nothing pisses off the media more than when one of their own gets caught red handed acting as bagman in one of the shadiest…</t>
  </si>
  <si>
    <t>RT @SykesforSenate: You are invited! Join us for our kickoff rally to #FIREClaire in beautiful #Branson, MO. #MAGA #MOSEN #SendSykes https:…</t>
  </si>
  <si>
    <t>RT @VolJEM: @SykesforSenate Looking forward to it. Really wanting to back a strong MAGA candidate! 🇺🇸</t>
  </si>
  <si>
    <t>RT @GmanFan45: Framed? Was Nikolas Cruz set up by foster mom to steal his million dollar estate before he turned 18?  Awan involved? #parkl…</t>
  </si>
  <si>
    <t>RT @JeanieSmithKSDK: Today, Governor @EricGreitens authorized the deployment of Missouri Army National Guard troops and resources to the so…</t>
  </si>
  <si>
    <t>RT @KCNewsGuy: #BREAKING: Missouri Gov. Eric Greitens has authorized the Missouri National Guard to assist with border security. #moleg #mo…</t>
  </si>
  <si>
    <t>RT @Norasmith1000: And, NO ONE forced this woman to go to SHEENA's house. She knew EG is married, if she didnt want or expect sex there wou…</t>
  </si>
  <si>
    <t>RT @HennessySTL: I told many people it was something like this. I was right. Missouri Crimes https://t.co/AFMNu14sNW https://t.co/OzahnCnkOK</t>
  </si>
  <si>
    <t>RT @Sticknstones4: How Many #MoLeg members have been to Scott’s 
Hidden Party Pad  ? 
Do Tell !  We want to hear more about the Den of Cor…</t>
  </si>
  <si>
    <t>RT @joel_capizzi: @SykesforSenate is on record for building the wall. 
Austin Petersen, is on record for open borders.
#StopTheCaravan
#…</t>
  </si>
  <si>
    <t>RT @YearOfZero: Like many, I’ve read through both. As a long time LEO, Let me say this: IT IS CONTRADICTORY 
To me, what is most alarming…</t>
  </si>
  <si>
    <t>RT @Sticknstones4: @parkerwbriden @EricGreitens Thank you for sharing , we love our Governor that we elected !</t>
  </si>
  <si>
    <t>RT @parkerwbriden: Great to see a lot of awesome Missourians and @EricGreitens celebrating the freedom of the road and having some fun this…</t>
  </si>
  <si>
    <t>RT @JW1057: @parkerwbriden @EricGreitens We love Governor Greitens. Stand strong against the corruption of Kimberly Gardner and the Missour…</t>
  </si>
  <si>
    <t>RT @Str8DonLemon: Journalists!
If U don't want public 2 mistrust U, dont berate citizens when we ask questions U SHOULD BE ASKING
Eg. KS/…</t>
  </si>
  <si>
    <t>RT @TheNewRight: @HennessySTL @VisioDeiFromLA @scottfaughn  https://t.co/w7c9Y77e3z</t>
  </si>
  <si>
    <t>RT @Sticknstones4: @FOX2now Somebody needs to file some ethics charges on Stacey newman !
She’s in on the greitens witch hunt too 
She kn…</t>
  </si>
  <si>
    <t>RT @TrumpsBIonde: The FBI will be taken down along with most of CIA. Military will handle security. @POTUS has always shown great respect f…</t>
  </si>
  <si>
    <t>RT @memoriadei: What say you #gop #hawley #committee #moleg https://t.co/wVxwnRsbpF
Glad you stood your ground @GovGreitensMO</t>
  </si>
  <si>
    <t>RT @C_3C_3: Why would a POTUS sign the Iran Deal?
Raised by a Marxist: Dunham
Mentored by a Communist: Davis
Groomed by a Terrorist: Ayers…</t>
  </si>
  <si>
    <t>RT @Thomas1774Paine: I'm still trying to figure out how you can legally defame a porn star. #StormyDaniels</t>
  </si>
  <si>
    <t>RT @Conservative_VW: A reporter yelled a question to President Trump on the White House grounds ... “do you think you deserve a Nobel Peace…</t>
  </si>
  <si>
    <t>RT @VisioDeiFromLA: Isn’t it convenient the media and the corrupt @MOHouseGOP they timed the release of the addendum to coincide with the b…</t>
  </si>
  <si>
    <t>RT @VisioDeiFromLA: Hey @Eric_Schmitt @Rep_TRichardson @elijahhaahr 
We see the scam you are pulling!</t>
  </si>
  <si>
    <t>RT @CStamper_: Soros-backed Kim Gardner’s witch hunt was launched when a media member who has been criticizing the governor for years hand…</t>
  </si>
  <si>
    <t>@joel_capizzi https://t.co/EhXHnxMog1</t>
  </si>
  <si>
    <t>RT @alohabrianb: Western Europe. After traveling &amp;amp; meeting countless  people here. 
•Pro-National Independence 
•Pro-National Security 
•Pr…</t>
  </si>
  <si>
    <t>RT @Vlabsllc: Another MOAB from the Trump Administration ! #MAGA
President Trump  signed an executive order Wednesday to start pulling the…</t>
  </si>
  <si>
    <t>RT @RealEagleWings1: @DiamondandSilk Why is it now in this country what used to be WRONG is now RIGHT?  Nobody has the right to censorship…</t>
  </si>
  <si>
    <t>RT @deenie7940: Donald Trump to pull feds out of K-12 education - https://t.co/EbH0rOCEaP - @washtimes</t>
  </si>
  <si>
    <t>RT @magathemaga1: Governor #Greitens with Troopers at the Ft. Leonard Wood Hiring Our Hero’s event today. 
HT: @MSHPRecruiting @EricGreite…</t>
  </si>
  <si>
    <t>@mefbama @marinevet1982  https://t.co/sNGZg7ZWvu</t>
  </si>
  <si>
    <t>@marinevet1982  https://t.co/0j3kZHozU4</t>
  </si>
  <si>
    <t>RT @BryanLowry3: ICYMI the woman at the center of Greitens case wants the MO Supreme Court to reverse judge's order to turn over her phone…</t>
  </si>
  <si>
    <t>RT @Hope4Hopeless1: @BryanLowry3 OF COURSE! #KITTY knows her &amp;amp; her EX #DJMoon's GIG is up! Phones will reveal TRUTH of their SCAM &amp;amp; how the…</t>
  </si>
  <si>
    <t>@BryanLowry3 OF COURSE! #KITTY knows her &amp;amp; her EX #DJMoon's GIG is up! Phones will reveal TRUTH of their SCAM &amp;amp; how they were to split  the "anon" $100K CASH for their CORRUPTED participation in this #Soros #Moleg POLITICALLY &amp;amp; FINANCIALLY MOTIVATED #WitchHUNT to  UNSEAT Gov @EricGreitens</t>
  </si>
  <si>
    <t>RT @DawnofBetrayal: Why do Americans, like Europeans, elect treasonous corruptocrats who serve only foreigners and foreign interests, while…</t>
  </si>
  <si>
    <t>RT @President1Trump: #GetOffTheDemPlantation: The new black panther leader: “We have been pimped like prostitutes by the Democratic Party”!…</t>
  </si>
  <si>
    <t>RT @CStamper_: “A liberal Democrat Prosecutor has weaponized her office to take down a conservative Republican Governor she doesn't like wh…</t>
  </si>
  <si>
    <t>RT @repdottieb4mo: “We are a nation of laws, not of men.” 
John Adams believed that men – all men – are fallible. Men will instinctively he…</t>
  </si>
  <si>
    <t>RT @Hope4Hopeless1: @repdottieb4mo #Moleg #Mogov #GOPMoleg
#WeThePeople 
#StandWithGovGreitens
&amp;amp; 
DEMAND YOU STOP PARTICIPATING IN THIS…</t>
  </si>
  <si>
    <t>@repdottieb4mo #Moleg #Mogov #GOPMoleg
#WeThePeople 
#StandWithGovGreitens
&amp;amp; 
DEMAND YOU STOP PARTICIPATING IN THIS POLITICALLY MOTIVATED #Soros &amp;amp; #Establishment FUNDED #WitchHUNT &amp;amp; CORRUPT AGENDA to UNSEAT OUR GOVERNOR .@EricGreitens https://t.co/9vTmi4Tr24</t>
  </si>
  <si>
    <t>RT @memoriadei: #moleg #greitens @AGJoshHawley If you #gop stand with McCaskill against @GovGreitensMO you wont get my vote. You call butch…</t>
  </si>
  <si>
    <t>RT @repdottieb4mo: Jim Lembke and @robschaaf it breaks my heart that you will side with George Soros over #Missouri..please wake up. Don't…</t>
  </si>
  <si>
    <t>RT @SykesforSenate: Bravo Zulu! Congratulations to all who made this happen. Now we focus on Iran. #MOSen #MAGA https://t.co/xg5QgiH1mI</t>
  </si>
  <si>
    <t>RT @SiddonsDan: “Retweet this video so your friends see how Democrats used to talk about Immigration.
Senator Diane Feinstein sounded just…</t>
  </si>
  <si>
    <t>RT @STL_Blonde: U.S. Senate Candidate @SykesforSenate on Guns &amp;amp; Making America Great - https://t.co/NHigiW01R1 via @AmmoLand 
#2A📜 #MOSEN…</t>
  </si>
  <si>
    <t>RT @STL_Blonde: I'll never vote for Josh Hawley after this stunt he pulled with Greitens. I wouldn't vote for Josh Hawley to be elected dog…</t>
  </si>
  <si>
    <t>RT @DaynaGould: @chriswray3 @STL_Blonde @MissouriGOP Exactly Hawley &amp;amp; His Hillary Dark Money Are Attempting to Divide the GOP Missouri Vote…</t>
  </si>
  <si>
    <t>RT @AbbyLlorico: #BREAKING: Judge rules Al Watkins, atty for ex-husband at center of #GreitensTrial, will have to answer a round of questio…</t>
  </si>
  <si>
    <t>RT @AbbyLlorico: Initially, Watkins announced the money was anonymous. Now his attorneys claim it’s from “a client.” The judge says if a “p…</t>
  </si>
  <si>
    <t>@KathieConway @Shawtypepelina @YearOfZero @RealTravisCook @inthejungle234 @Neilin1Neil @Norasmith1000 @sdieckhaus @EricGreitens @AGJoshHawley .@KathieConway maybe we could all three meet and I could bring a lot of my friends that would love the chance to discuss this issue with you.  https://t.co/3Pe04YdSCD</t>
  </si>
  <si>
    <t>RT @Hope4Hopeless1: @Shawtypepelina @YearOfZero @KathieConway @RealTravisCook @inthejungle234 @Neilin1Neil @Norasmith1000 @sdieckhaus @Eric…</t>
  </si>
  <si>
    <t>@Shawtypepelina @YearOfZero @KathieConway @RealTravisCook @inthejungle234 @Neilin1Neil @Norasmith1000 @sdieckhaus @EricGreitens @AGJoshHawley .@POTUS .@KathieConway #MeToo I'm another REAL LIVE citizen of #Missouri &amp;amp; one of MANY that SEES EXACTLY what's happening w/this CORRUPT AGENDA #WitchHUNT to UNSEAT our Gov#Greitens 
YOU &amp;amp; your COMRADES in  #Moleg #Mogov BEST KNOW
#WeThePeople are MAD AS HELL &amp;amp; WON'T BACK DOWN! https://t.co/levE7bfMPK</t>
  </si>
  <si>
    <t>RT @VisioDeiFromLA: Hug your president.
The media will never show this side of @realDonaldTrump 
@parscale @DanScavino @DonaldJTrumpJr @E…</t>
  </si>
  <si>
    <t>RT @TrumpsBlonde: Shaun King getting ready to lecture blacks about Kanye👌🏻
 https://t.co/LrZzq2eaHc</t>
  </si>
  <si>
    <t>RT @RealMattCouch: We've turned over evidence, now we wait. 
Thank you for your prayers and thoughts as we pursue Justice in the murder of…</t>
  </si>
  <si>
    <t>RT @Mizzourah_Mom: OPINION: It's Time for Us to Rally to Defend Missouri
#Greitens
#GreitensIndictment
#moleg
https://t.co/PnoeXFzGZ5</t>
  </si>
  <si>
    <t>RT @Sticknstones4: @Mizzourah_Mom A really well written article !</t>
  </si>
  <si>
    <t>RT @Mizzourah_Mom: @Sticknstones4 Very! I don't know the author, but he spelled out the #witchhunt perfectly. If only we had a fair media t…</t>
  </si>
  <si>
    <t>RT @Norasmith1000: @Mizzourah_Mom I am going to retweet this every day, great article.  Everyone I talk to, outside of liberal twitter of c…</t>
  </si>
  <si>
    <t>RT @Mizzourah_Mom: @Norasmith1000 I agree - it completely spells out what is going on. I can not believe what a circus this has become. Abs…</t>
  </si>
  <si>
    <t>RT @jamesirving2: 🇺🇸🇺🇸🇺🇸Our President is attacked by the most corrupted-blackmailed-insider trading-treasonous #Congress #Senate ever!!! We…</t>
  </si>
  <si>
    <t>RT @Nick_Falco: The last two weeks were a reminder that Comey is a Sanctimonious Malignant Narcissist. A grandstanding Liar and admitted Le…</t>
  </si>
  <si>
    <t>RT @keenertaylor: My parents have been married for 34 years. My mom is in the final stages of young onset dementia (diagnosed 5 years ago a…</t>
  </si>
  <si>
    <t>RT @RealSaavedra: #BREAKING: The Broward Sheriff's Office Deputies Association says they are going to Gov. Rick Scott to remove Sheriff Sco…</t>
  </si>
  <si>
    <t>@SKOLBLUE1 .@SKOLBLUE1 #donnybrookstl
 This is wayyy cool!!!
 Persistence TRUMPS Resistence! https://t.co/VR8JujraCz</t>
  </si>
  <si>
    <t>RT @blackwidow07: @magathemaga1 @StevenDialTV @EricGreitens @41actionnews @HotPokerPrinces @SKOLBLUE1 @Sticknstones4 @MOHouseGOP @strmsptr…</t>
  </si>
  <si>
    <t>RT @KatTheHammer1: "When you open your heart to patriotism, there is no room for prejudice." 
 ~@realDonaldTrump https://t.co/RoaI20hltX</t>
  </si>
  <si>
    <t>@Shawtypepelina @POTUS @EricGreitens #TonyMessenger is a HACK PROPAGANDIST willing to LIE &amp;amp; MISREPRESENT FACTS to further THEIR CORRUPT AGENDA in this #GreitensIndictment #Moleg #WitchHUNT
 as a "last resort" is LAUGHABLE! @SykesforSenate &amp;amp; @GovGreitensMO are BOTH POWERFUL #ProTrumpAgenda #BadAss Patriots #WARRIORS https://t.co/Qcp4eFvZVN</t>
  </si>
  <si>
    <t>@inthejungle234 @Rep_TRichardson @mikeparson https://t.co/3zA7eUDAuf</t>
  </si>
  <si>
    <t>RT @VisioDeiFromLA: @Shawtypepelina @for_congress @JW1057 @StoryoftheYear @EricGreitens @Eric_Schmitt Have IRS look at both KS &amp;amp; PS financi…</t>
  </si>
  <si>
    <t>@inthejungle234 @Rep_TRichardson @mikeparson .@Rep_TRichardson YOU &amp;amp; EVERY SINGLE person in #Moleg #Mogov better think TWICE before participating in THIS CORRUPT politically &amp;amp; financially motivated #Soros FUNDED #GreitensIndictment #WitchHUNT by voting to UNSEAT #Missouri's ELECTED Governor!!!
#WeStandWithGovGreitens https://t.co/BXF4hFhGCp</t>
  </si>
  <si>
    <t>RT @inthejungle234: Looks like @Rep_TRichardson  one of @mikeparson boys and wants to screw over missourians and undo an election.
#moleg…</t>
  </si>
  <si>
    <t>RT @joel_capizzi: 103 days until the Missouri primary and while Courtland Sykes does this... https://t.co/blCBmQvQ31</t>
  </si>
  <si>
    <t>RT @joel_capizzi: Josh Hawley does this... https://t.co/3jkQggDRAh</t>
  </si>
  <si>
    <t>RT @TrumpsBlonde: #QAnon
#GreatAwakenening 
180 Pages of Government Archives 
Like to know who the FBI / CIA 👀 assassinated? Here is a smal…</t>
  </si>
  <si>
    <t>RT @SiddonsDan: “The so-called ‘Right to Abortion’ destroys the most basic bonds of love and asserts that the strong can kill the weak if t…</t>
  </si>
  <si>
    <t>RT @Mizzourah_Mom: Well, well - Tisaby (lead investigator in the #Greitens #witchhunt showed up for the deposition today, but pleaded the 5…</t>
  </si>
  <si>
    <t>RT @Forbespaula: @Real_Gaz @Cloclo2165 Psst Republicans can't let her lose, she is the gift that keeps on giving. With Democrats like pelos…</t>
  </si>
  <si>
    <t>RT @fanatic_bama: Recent Immigrants In A Household Recieving FoodStamps 2007:4.3%  To 2017:12.7% Medicaid Used By Immigrants 2007:5.9% To 2…</t>
  </si>
  <si>
    <t>RT @Mizzourah_Mom: #Kimshady banked on Tisaby to bring the charge against #Greitens. Looks like she made a big mistake. Anyone remember #Ni…</t>
  </si>
  <si>
    <t>@Scottie_Boy12 @TruthMatters13 @Southernfor45 @moasaad1 @2TermDonnie @HarvesterofSo10 @DavidMusic_04 @VicCervantes3 @pcal4HIM @SKOLBLUE1 @dalekenny @JustOneVoice3 @BabyDoll_95 @AllSidesRWrong @RealRonHaines @jmkphd @dweaver6 I WANT ONE!!! BAD!!!</t>
  </si>
  <si>
    <t>RT @Scottie_Boy12: @TruthMatters13 @Southernfor45 @moasaad1 @2TermDonnie @HarvesterofSo10 @DavidMusic_04 @VicCervantes3 @pcal4HIM @Hope4Hop…</t>
  </si>
  <si>
    <t>RT @sigi_hill: How is hired FBI-disgraced investigator #WilliamDonTisaby with a record of lying under oath be allowed to take the 5th🤪🤬
#Gr…</t>
  </si>
  <si>
    <t>RT @USFreedomArmy: Michelle is always good for a quote &amp;amp; this one is right on. Our patriot army awaits your enlistment at https://t.co/oSPe…</t>
  </si>
  <si>
    <t>RT @MrEdTrain: This should be posted in every #Congress &amp;amp; #Senate office on #CapitolHill 🇺🇸 anyone else agree ? @GOP @DNC @WhiteHouse https…</t>
  </si>
  <si>
    <t>RT @GOPPollAnalyst: Democrats are claiming that Kanye West has lost millions of followers. 
Fact check: ❌
April 18th – 12.8 million
19th –…</t>
  </si>
  <si>
    <t>RT @StacyLStiles: “Obama isn’t Obama. Soros is Obama. Ayers is Obama. Jarrett is Obama. Obama is a socialist meat puppet.” @RealJamesWoods…</t>
  </si>
  <si>
    <t>RT @Hope4Hopeless1: @sarahfelts You ABSOLUTELY know Kitty's NOT A VICTIM! Is she your fellow Activist &amp;amp; Comrade? Are you lying to further a…</t>
  </si>
  <si>
    <t>RT @GartrellLinda: Just a reminder of why #Zuck wasn't even put under oath.
FACEBOOK Gave LARGE SUMS Of Money To 85% Of House Members Who Q…</t>
  </si>
  <si>
    <t>@sarahfelts You ABSOLUTELY know Kitty's NOT A VICTIM! Is she your fellow Activist &amp;amp; Comrade? Are you lying to further an agenda?
Ha, RUMOR has it that these 300+ Sealed Fed Indictments in MO are ACTIVE investigations of GOV CORRUPTION,TRAFFICKING &amp;amp; TREASON &amp;amp; these FOOLS just hung themselves! https://t.co/5rcMzH6Z0U</t>
  </si>
  <si>
    <t>RT @USMC_CPD296: @TheRoot It looks to me that @kanyewest has shown strength of charater by stepping outside the celebrity bubble and speaki…</t>
  </si>
  <si>
    <t>RT @atensnut: On this morning, 40 years ago, my life changed forever. On 4-25-78, I was brutally raped by Ark AG, Bill Clinton. I have spen…</t>
  </si>
  <si>
    <t>RT @HabuTroy7777777: Here is a to the bone truth. The majority has no idea the sacrifices the 2% make. But we wish you did! https://t.co/KR…</t>
  </si>
  <si>
    <t>RT @VisioDeiFromLA: I've spent years working with people like U
I've seen:
-The lies.
-The bias
-The coordinated stories 
-The lack of con…</t>
  </si>
  <si>
    <t>@Shawtypepelina @Sticknstones4 @YearOfZero @EricGreitens @mikeparson @SKOLBLUE1 @toadtws @RightSideUp313 @PriscillasView @PatriotessWings She's making the Commie fist.</t>
  </si>
  <si>
    <t>RT @kanyewest: my MAGA hat is signed 🔥🔥🔥🔥🔥🔥🔥🔥🔥🔥🔥🔥🔥🔥🔥🔥🔥🔥🔥🔥🔥🔥🔥🔥🔥🔥🔥🔥🔥🔥 https://t.co/DrDHJybS8V</t>
  </si>
  <si>
    <t>RT @kanyewest: https://t.co/tB8SlAjIfV</t>
  </si>
  <si>
    <t>RT @BigLeague2020: “The Constitution is the guide which I never will abandon.” ~ George Washington
🇺🇸COURTLAND SYKES FOR SENATE🇺🇸
♦️BOLD🔹…</t>
  </si>
  <si>
    <t>RT @MarkDice: Instead of backing down like most other celebrities who've voiced support for Trump and triggered the liberal lynch mobs, @Ka…</t>
  </si>
  <si>
    <t>RT @AndyHortin18: Donald Trump donated million of dollars &amp;amp; a building rent free on Wall Street to the Rainbow Push Coalition to help minor…</t>
  </si>
  <si>
    <t>RT @magathemaga1: As details came out, #greitens case only got stranger: private investigator had been found 2 have violated Alabama law by…</t>
  </si>
  <si>
    <t>RT @Hope4Hopeless1: @magathemaga1 @RightSideUp313 @MSTLGA @SKOLBLUE1 @Avenge_mypeople @HotPokerPrinces @Rep_TRichardson @MissouriGOP @Eric_…</t>
  </si>
  <si>
    <t>@magathemaga1 @RightSideUp313 @MSTLGA @SKOLBLUE1 @Avenge_mypeople @HotPokerPrinces @Rep_TRichardson @MissouriGOP @Eric_Schmitt @johncombest @elijahhaahr #NoNotesTisaby
■Fired from FBI 4 LYING
■HIRED as HIGH $$$ PI by #KimShady
■ PERJURED in #Greitens case
■NO SHOW for ORDERED Deposition
■HIRED "victims" Ex's LAWYER who rcvd 2 $50K PYMTS/CASH from ANON POL OPERATIVE(s)
■CLAIMS a NO SHOW due 2 Natl Sec
https://t.co/B4tFkupVsv</t>
  </si>
  <si>
    <t>RT @CStamper_: When even the liberal @stltoday editorial board is referring to Soros-backed Kim Gardner’s political witch hunt as a “circus…</t>
  </si>
  <si>
    <t>RT @Hope4Hopeless1: @CStamper_ @Sticknstones4 @stltoday .@POTUS #WeStandWithGreitens
https://t.co/B4tFkupVsv</t>
  </si>
  <si>
    <t>@CStamper_ @Sticknstones4 @stltoday .@POTUS #WeStandWithGreitens
https://t.co/B4tFkupVsv</t>
  </si>
  <si>
    <t>RT @blesamerica: @SykesforSenate @DeeDon5123 @realDonaldTrump Mitch McConnell sold America to Communist China. A Congress Member cannot be…</t>
  </si>
  <si>
    <t>RT @blesamerica: @SykesforSenate @DeeDon5123 @realDonaldTrump McConnell sold 🇺🇸to Communist 🇨🇳. A Congress Member cannot be Beholden to a F…</t>
  </si>
  <si>
    <t>RT @RedpillCherokee: @SykesforSenate @W_C_Patriot @realDonaldTrump When you say RINO, you mean satanists, right?
#BushCrimeFamily are Satan…</t>
  </si>
  <si>
    <t>RT @SykesforSenate: Mitch McConnell is out to DESTROY the #MAGA &amp;amp; #AmericaFirst Movement using RINOs like Jeb Bush, Luther Strange, and Jos…</t>
  </si>
  <si>
    <t>RT @Sticknstones4: Clownish St. Louis Prosecutors 🤡Turn Greitens Case Into Farce 
#moleg #greitens #kimshady #moneybagsAl 
https://t.co/C…</t>
  </si>
  <si>
    <t>RT @Hope4Hopeless1: @Ontheotherhand @DeplorableGoldn @magathemaga1 @EricGreitens @Eric_Schmitt @Sticknstones4 @SKOLBLUE1 @MOHouseGOP @Speak…</t>
  </si>
  <si>
    <t>@Ontheotherhand @DeplorableGoldn @magathemaga1 @EricGreitens @Eric_Schmitt @Sticknstones4 @SKOLBLUE1 @MOHouseGOP @SpeakerTimJones @MissouriGOP @Avenge_mypeople @RightSideUp313 With ALL these $50,000 BAGS of "ANONYMOUS" $$$ being delivered, I'm sure .@staceynewman s FELLOW  Activist/Comrade Ms #Kitty the #PoliticiansBeautician made BANK for her "ACTIVISM"
#WeStandWithGreitens
AGAINST THIS POLITICALLY MOTIVATED  #Soros #Moleg #GreitensIndictment SCAM! https://t.co/wUPqeFWkUD</t>
  </si>
  <si>
    <t>@Ontheotherhand @DeplorableGoldn @magathemaga1 @EricGreitens @Eric_Schmitt @Sticknstones4 @SKOLBLUE1 @MOHouseGOP @SpeakerTimJones @MissouriGOP @Avenge_mypeople @RightSideUp313 @staceynewman  https://t.co/gZx7RKVOz0</t>
  </si>
  <si>
    <t>@Ontheotherhand @DeplorableGoldn @magathemaga1 @EricGreitens @Eric_Schmitt @Sticknstones4 @SKOLBLUE1 @MOHouseGOP @SpeakerTimJones @MissouriGOP @Avenge_mypeople @RightSideUp313 #Moleg .@Staceynewman 's FELLOW Activist/Comrade, #Kitty the #PoliticiansBeautician WASN'T ASSAULTED by #Greitens! She was FULLY GAME!
Reading Court Transcripts/SWORN Depositions THIS is CLEAR! KS ADMITS she was turned on &amp;amp; she
returned same afternoon &amp;amp; had MORE Consensual SEX! https://t.co/692mrJMsvd</t>
  </si>
  <si>
    <t>RT @magathemaga1: @GovGreitensMO Signs Executive Order Expanding Homeland Security Advisory Council 
“We’re working every day to keep Miss…</t>
  </si>
  <si>
    <t>RT @sigi_hill: @JaneDueker Every failing lawyer goes in2 politics #Dirty &amp;amp; 2gather at least few votes sell themselves 2the devil. When expo…</t>
  </si>
  <si>
    <t>RT @magathemaga1: "I can tell you, the people of Missouri stand with you," Gov. Eric Greitens said 2 annual memorial prayer breakfast of ST…</t>
  </si>
  <si>
    <t>RT @SKOLBLUE1: #22ADAY #VA #Veterans #USMC #SUICIDE National Suicide Prevention Hotline 1-800-273-TALK(8255) or text HOME to 741741. https:…</t>
  </si>
  <si>
    <t>RT @magathemaga1: #Greitens pays tribute 2 fallen police officers at event today in St. Charles
His speech paid tribute 2 police killed in…</t>
  </si>
  <si>
    <t>RT @vickibazter: SHHHH
GLOBAL CASTE SYSTEM https://t.co/eTc0T5i4Vn</t>
  </si>
  <si>
    <t>RT @Mike_Press19: Former Black Lives Matter member reveals George Soros are behind all &amp;lt; America Fans https://t.co/6sSZsTNQGf via @Mike_Pre…</t>
  </si>
  <si>
    <t>RT @kanyewest: I said express love more because we have love but we don't express it.  My friend Tmills will always say "I love you" and it…</t>
  </si>
  <si>
    <t>RT @JTM_YVA: @kanyewest KANYE, BREAK THE AFRICAN-AMERICAN COMMUNITY AWAY FROM THE DEMOCRATS WHO WERE THE FOUNDERS OF THE KKK, AND USE THE B…</t>
  </si>
  <si>
    <t>@WayneDupreeShow https://t.co/5W77rmUXx2</t>
  </si>
  <si>
    <t>@WayneDupreeShow @PatriciaBride https://t.co/5W77rmUXx2</t>
  </si>
  <si>
    <t>@WayneDupreeShow @PatriciaBride These Communists/Globalists want to ban guns because THEY know that #WeThePeople are ARMED and DANGEROUS and WILL NEVER let them have OUR Country!!! https://t.co/v3myVmS36j</t>
  </si>
  <si>
    <t>@CStamper_ https://t.co/5DwSkFJ9Ss</t>
  </si>
  <si>
    <t>RT @CStamper_: The so-called “Clean Missouri” initiative is designed to “flip our state legislature from Republican Red to a deep and dirty…</t>
  </si>
  <si>
    <t>RT @veteranhank: Despite the fact that it is a crime for aliens to vote in federal elections, noncitizens and illegal aliens are counted wh…</t>
  </si>
  <si>
    <t>RT @vickibazter: EXPOSED FOR THE WORLD TO SEE https://t.co/LnWCBfJDP0</t>
  </si>
  <si>
    <t>RT @letters4trump45: 🚨This is a message to all Patriots that have sent @GenFlynn letters thru @letters4trump45 
Life is good when you wake…</t>
  </si>
  <si>
    <t>RT @kanyewest: if you wanna see the true character of person watch the way they treat someone who can't do anything for them.</t>
  </si>
  <si>
    <t>RT @pahubb43: Mike Brown's momma is talking of running for city council of Ferguson Missouri. This THE same woman that we have on tape tell…</t>
  </si>
  <si>
    <t>RT @mikandynothem: 😎RETWEET😎 if are thankful for a First Lady with class after 8 years of...well, you know. 
@FLOTUS was the talk of France…</t>
  </si>
  <si>
    <t>RT @BigLeague2020: COURTLAND SYKES
MAGA’S BOLDEST REPUBLICAN WARRIOR
YOU KNOW WHERE HE STANDS ON THE ISSUES
#MOSEN #MISSOURI @SykesforSe…</t>
  </si>
  <si>
    <t>RT @Education4Libs: Net worth BEFORE holding public office....
The Obamas — $3 Million
The Clintons — $500,000
The Trumps — $4.5 Billion…</t>
  </si>
  <si>
    <t>RT @bfraser747: If anyone is wondering why I have returned or answered replies I’ve been sick &amp;amp; sleeping allot and every other minute I e b…</t>
  </si>
  <si>
    <t>RT @sigi_hill: MISSOURIANS RIGHT 4 ANSWERS #WatkinSubpoena
@AGJoshHawley 
@Rep_TRichardson 
@jaybarnes5 
@Mikelkehoe 
@robschaaf
@RonFRicha…</t>
  </si>
  <si>
    <t>RT @Norasmith1000: @SheWho_Resists @VisioDeiFromLA @Rep_TRichardson @elijahhaahr @MOHouseGOP @Eric_Schmitt @paulcurtman @971FMTalk @gateway…</t>
  </si>
  <si>
    <t>RT @StandBsideHer: WHERE’S HAWLEY❓
While Jefferson City Burns, Josh Hawley Works Out In Columbia.
Is this how he’s going to take down Cla…</t>
  </si>
  <si>
    <t>RT @StandBsideHer: @joel_capizzi @SykesforSenate Fitness Matters😂💪😂
How the Senior Missouri GOP Leaders must regret endorsing Hawley.
COU…</t>
  </si>
  <si>
    <t>@VforVictory1 @AntonioFrench @TinaMarie88888 .VforVictory1 YOU are an EMPTY "looking" woman, devoid of spirit. And look at "those" eyes they're kinda not tracking together, you obviously have  issues w/ mental clarity &amp;amp; FOCUS and your hair CLEARLY REVEALS that you use toxic box BLEACH &amp;amp; don't CARE about anyone or anything! https://t.co/1akNVdTPPW</t>
  </si>
  <si>
    <t>@JaneDueker How does the fact that I support #Greitens &amp;amp; oppose Hawley have anything to do w/ my tweet, where I'm basically calling you out as a LIAR? It doesn't! It's just a pathetic attempt at deflection! 
Oh &amp;amp; EVERYONE'S laughing at your STUPID #HT that ONLY you use, cuz it's SOO STUPID!</t>
  </si>
  <si>
    <t>RT @nflcars28: @GeorgWebb @DonaldJTrumpJr @realDonaldTrump Awan Brother's blackmailed Democrats with tax payer's money @JudicialWatch @Thom…</t>
  </si>
  <si>
    <t>RT @King2Scorpions: Without a doubt Huma, Hillary, and Wasserman should HANG!
Read email from Huma. She was working with Muslim Brotherhood…</t>
  </si>
  <si>
    <t>@JaneDueker Jane, you're a seemingly intelligent woman &amp;amp; therefore I assume you would have educated yourself w/the FACTS of #Greitens case, which means you've read ALL sworn Depositions &amp;amp; Court Transcripts, SOOO the COMPLETE FICTION you just wrote CANNOT be your uneducated guess, IT'S A LIE!</t>
  </si>
  <si>
    <t>RT @MilitaryEarth: Happy Angel Birthday to Navy SEAL Michael McGreevy who selflessly sacrificed his life during Operation Red Wings. Please…</t>
  </si>
  <si>
    <t>@MrEdTrain @FLOTUS @WhiteHouse @NancyPelosi @chuckschumer https://t.co/gUbve4jdeP</t>
  </si>
  <si>
    <t>RT @Hope4Hopeless1: @ScottCharton @EricGreitens #Missourians especially HERE in Rural Missouri HATE us a FRIGGIN group of #Soros funded Com…</t>
  </si>
  <si>
    <t>RT @Hope4Hopeless1: @SKOLBLUE1 @EricGreitens .@POTUS .@GovGreitensMo
.@EricGreitens
#WeStandWithGovGreitens 
#Missourians SEE that there…</t>
  </si>
  <si>
    <t>@SKOLBLUE1 @EricGreitens .@POTUS .@GovGreitensMo
.@EricGreitens
#WeStandWithGovGreitens 
#Missourians SEE that there are Anti-Constitutional
factions within OUR #JusticeSystem #Mogov, #Moleg  that are HELL-BENT on destroying our Constitutional Republic!
#WeThePeople
WILL
NEVER
BACK
DOWN!
NEVER!!! https://t.co/JdlwgSxJXd</t>
  </si>
  <si>
    <t>RT @melody_grover: Luck has nothing to do with it. Voters don't take kindly to rogue prosecutors corrupt PIs &amp;amp; overly ambitious politicians…</t>
  </si>
  <si>
    <t>RT @RealTravisCook: Today at 2:00 CST on https://t.co/LqVNagt9Kx we examine the #GreitensIndictment here in #Missouri. Or "What happens whe…</t>
  </si>
  <si>
    <t>https://t.co/CZaov1p9O1</t>
  </si>
  <si>
    <t>RT @President1Trump: #STUNNING: Our Beautiful @FLOTUS has done it again! The state dinner hosted by the first family for the first family o…</t>
  </si>
  <si>
    <t>RT @55true4u: Rest in peace Mr. President (JFK), through your wisdom and strength, since your tragic death, Patriots have planned, installe…</t>
  </si>
  <si>
    <t>RT @Jamierodr10: WTH? @jeffsessions Awards Broward County Sheriff with $1 Million dollars for the response to Parkland shooting. Is this fo…</t>
  </si>
  <si>
    <t>RT @KamVTV: The Inland Empire California REVOLT BEGINS! 
City of Upland, California  (San Bernardino County) VOTED NO last night to Sanctu…</t>
  </si>
  <si>
    <t>THIS is a President and First Lady who are PROUD AMERICANS that represent OUR Republic WELL!   https://t.co/mnHbuDLByC</t>
  </si>
  <si>
    <t>RT @CStamper_: Missouri is under attack. “Under the guise of ethics &amp;amp; lobbying reform, George Soros &amp;amp; other progressive groups are using th…</t>
  </si>
  <si>
    <t>RT @CStamper_: The scheming political operatives, self-interested politicians and untrustworthy media behind this whole scheme won’t like t…</t>
  </si>
  <si>
    <t>RT @TrumpChess: @HashtagGriswold Nice phrase "running a smear without the facts" considering 2 #WitchHunt cases by dems whose goal=remove a…</t>
  </si>
  <si>
    <t>RT @magathemaga1: 🚨 #MoneyBagsAl UPDATE 🚨 
#MoLeg issued subpoena 2 Watkins in #Greitens case about anonymous 100k 
Watkins, who publiciz…</t>
  </si>
  <si>
    <t>RT @jrosenbaum: A bit of audio from the Watkins gaggle outside the courtroom re: the $100K payment from an unknown source to deal with @Eri…</t>
  </si>
  <si>
    <t>RT @thefirstTessa: @jrosenbaum @EricGreitens Watkins needs to be charged with obstruction of justice and Gardner needs to be investigated.…</t>
  </si>
  <si>
    <t>RT @Sticknstones4: “we have actively solicited as much money as possible from as many sources as possible “
Who drops off 2 bags of anonym…</t>
  </si>
  <si>
    <t>RT @JPRadioMofo: @RealTravisCook @dakooney It’s looking like Phil possibly got paid around $100,000 for his role to undermine @EricGreitens…</t>
  </si>
  <si>
    <t>RT @RealTravisCook: @dakooney What "victims" are there in this case other than #Greitens and his family? Kitty Sneed, cheated on her husban…</t>
  </si>
  <si>
    <t>@ScottCharton @EricGreitens #Missourians especially HERE in Rural Missouri HATE us a FRIGGIN group of #Soros funded Commies(#KimGardner, #Newman, #Nasheed etc) &amp;amp; Corrupt Estab (#RinoRecruitHawley #Moleg etc) trying to destroy OUR Republic &amp;amp; UNSEAT OUR
duly ELECTED @GovGreitensMO 
#LadderBoy $$$  #KimShady https://t.co/zRFPP06eZR</t>
  </si>
  <si>
    <t>RT @philip_saulter: @ScottCharton @EricGreitens Except you know, the majority of Missourians still back and support Eric Greitens through t…</t>
  </si>
  <si>
    <t>RT @Sticknstones4: This is Just Amazing 
2 Bags💰💰 of anonymous cash 💵💵 100K delivered by courier to Attorney Al Watkins office…</t>
  </si>
  <si>
    <t>RT @therealroseanne: autists r now in full control-autists know that Goodness will win.</t>
  </si>
  <si>
    <t>RT @Belle4DJT: I Believe With All Of My Heart This Man Is Fighting For “We The People” With Everything He Has, His Stedfast Dedication Is C…</t>
  </si>
  <si>
    <t>RT @RealCandaceO: 500 million dollars of tax payer dollars go to slaughtering 800 black babies per a day. 
Not a SINGLE WORD from Black Liv…</t>
  </si>
  <si>
    <t>RT @YearOfZero: MONEY MAN Dropped Off $100,000 to STL ATTORNEY to Launch Greitens Witchhunt
Ex-husband confirmed the payment,  Greitens is…</t>
  </si>
  <si>
    <t>RT @CStamper_: A political operative drops off $100k in cash to pay a lawyer to represent the guy seeking revenge against our Republican Go…</t>
  </si>
  <si>
    <t>RT @VisioDeiFromLA: de·flec·tion
dəˈflekSH(ə)n
noun
“the action or process of deflecting or being deflected”
Did Scott Simpson get paid,…</t>
  </si>
  <si>
    <t>RT @JW1057: Who is paying Katrina "Kitty" Sneed's attorney, Scott Simpson?
#moleg #mogov #greitens #KimShady #IStandWithGreitens</t>
  </si>
  <si>
    <t>RT @Margare03880660: Wow!!Looks like lots of good activity happening which might quash the prosecution’s case!#WitchHunt#IStandWithGovGreit…</t>
  </si>
  <si>
    <t>@internalmonolo2 Is it called Sister Christian's Courier Service??? Up on her high-horse, happy to do ANYTHING to further THE UNRIGHTEOUS CAUSE of helping the ppl she supports usurp POWER?</t>
  </si>
  <si>
    <t>RT @Lady_Vi_2U: @Hope4Hopeless1 https://t.co/ce8WbZnC2X</t>
  </si>
  <si>
    <t>@donnabrazile Donna did you make peace with him at one of your guys' Spirit Cooking Child Eatfests??? With you being that far up that filthy twisted bitch's ass for that many years, .@donnabrazile YOU WERE IN THAT CLUB &amp;amp; NOBODY'S buying this good church woman act!!!</t>
  </si>
  <si>
    <t>RT @JerieQuinty: #Qanon Keith Raniere memo.
 https://t.co/mnhY6Db3SM</t>
  </si>
  <si>
    <t>RT @SykesforSenate: I wonder if the money was laundered through #MoLeg Republican party leadership... https://t.co/uwutOy1VMa</t>
  </si>
  <si>
    <t>RT @YearOfZero: @SykesforSenate Thanks for standing strong in this courtland. I think many of us just wanted a fair trial but we suspects t…</t>
  </si>
  <si>
    <t>RT @SykesforSenate: @YearOfZero We'll know soon. Thankfully, some St. Louis lawyers drink and talk too much.</t>
  </si>
  <si>
    <t>RT @LloydMack16: Sounds like another Soros hit job.
“The attorney representing the man who accused Governor Eric Greitens of having an aff…</t>
  </si>
  <si>
    <t>RT @gatewaypundit: BREAKING: MONEY MAN Dropped Off $100,000 to STL ATTORNEY to Launch Governor Greitens SEX SCANDAL https://t.co/7lfIOrKgoq</t>
  </si>
  <si>
    <t>RT @Mizzourah_Mom: @gatewaypundit @VisioDeiFromLA And they want us to believe it's not a complete witch hunt?</t>
  </si>
  <si>
    <t>RT @totaljoyk: @CStamper_ But, how does Soros think he can win with prosecutors who are dumber than rocks!
They can barely tie their shoes.</t>
  </si>
  <si>
    <t>RT @CStamper_: In case anyone needed any more evidence that this was a politically-motivated witch hunt... Follow the money. Who issued the…</t>
  </si>
  <si>
    <t>RT @media_nc: Q IS dropping like it’s HOT Today! 
DOWN SHE GOES! 
#Qanon #MOAB #TarmacMeeting #LockHerUp #TheGreatAwakeing #MAGA #MondayM…</t>
  </si>
  <si>
    <t>@Stephaniefishm4 @RighteousBabe4 @Redrum_of_Crows @ItIsIMack @ThomasS4217 @KiernanKathleen I smell DESPERATION! You CAN'T ACCEPT the FACT Killery LOST &amp;amp; that ALL you &amp;amp; your COMRADES #Moleg attempts to UNSEAT our duly ELECTED @POTUS &amp;amp; @GovGreitensMO  are FAILING!!! 
WTH? Faulting a Jewish Gov for supporting a Supreme Court Decision in favor of a Christian Organization!</t>
  </si>
  <si>
    <t>RT @strmsptr: Whisky Tango Foxtrot!!! I told y’all this is a set up. @jallman971 @KMOV @stltoday @SpeakerTimJones #MAGA #moleg #deepstate h…</t>
  </si>
  <si>
    <t>@rxpatrick ■?WTH?■ 
Atty 4 EX husband who's A PAID FALSE WITNE$$ in #Soros #Moleg #GreitensIndictment 
RCVD $100,000 frm 2 "POLITICAL OPERATIVES" 
&amp;amp;
NOW wants our TAX $$$ to DEFEND  this COMMIE #SOROS "Investigator" who's perjured himself to UNSEAT @GovGreitensMO
https://t.co/NrXYjlfpb2</t>
  </si>
  <si>
    <t>RT @ChrisDavisMMJ: The Defense also stated today in court, they hear from a reliable source, that Attorney Al Watkins received $100,000 fro…</t>
  </si>
  <si>
    <t>RT @Markknight45: @StevenDialTV @VisioDeiFromLA @41actionnews Where are the Feds?? Who is buying Kim Gardner, Al Watkins and the judge off?…</t>
  </si>
  <si>
    <t>RT @Ptsbrian: Attorney Al Watkins has been a very highly visible figure in the allegations against @EricGreitens #GreitensIndictment. Today…</t>
  </si>
  <si>
    <t>RT @ChanelRion: Our freedoms and our very existence are made possible by the grace of God and by those who serve in uniform. I would not be…</t>
  </si>
  <si>
    <t>@ChrisDavisMMJ https://t.co/RHWHMjOkci</t>
  </si>
  <si>
    <t>RT @Hope4Hopeless1: @EricGreitens .@EricGreitens, we  appreciate you STANDING STRONG &amp;amp; staying the course of #DrainingTheSwamp &amp;amp; serving th…</t>
  </si>
  <si>
    <t>RT @SiddonsDan: “I think there's some kind of parallel here that you're not allowed to be a conservative [@ShaniaTwain] if you're in the mu…</t>
  </si>
  <si>
    <t>Great! Gov @EricGreitens LEGAL TEAM are being allowed the opportunity to FOLLOW SOME OF $$$ that's going to these two FALSE WITNESSES for their SERVICES to this #Soros #Moleg #GreitensIndictment #WitchHUNT
@POTUS #WeSupportGovGreitens
https://t.co/aP3rwbB3Lc</t>
  </si>
  <si>
    <t>RT @ChrisDavisMMJ: BREAKING: Eric Greitens’ alleged mistress, along with her ex-husband, have been ordered by the judge to have their phone…</t>
  </si>
  <si>
    <t>RT @ChrisDavisMMJ: ALSO BREAKING: Judge rules that Al Watkins MAY NOT represent William Tisaby, citing a conflict of interest that he also…</t>
  </si>
  <si>
    <t>RT @ChrisDavisMMJ: The Judge has also ordered William Tisaby testify via disposition by this Thursday. His former counsel said he was busy…</t>
  </si>
  <si>
    <t>RT @MoGovWatch: @GovGreitensMO Announces Additional Funding for Veterans Homes - https://t.co/HyvfdKovB0 #MO #MOGov #MOLeg</t>
  </si>
  <si>
    <t>RT @RealTravisCook: Same here--i'm a Missouri citizen (and voter), and I, too, am distressed about this #WitchHunt against the Governor wit…</t>
  </si>
  <si>
    <t>RT @magathemaga1: @NewsTribune @EricGreitens Really they should be
#KimShady
#NoNotesTiasby 
#moleg 
#mogov
#stl
#StLouis 
#greitens https…</t>
  </si>
  <si>
    <t>RT @thebradfordfile: maga people hearing @kanyewest is red pilled. https://t.co/H6Ag6H0ZWw</t>
  </si>
  <si>
    <t>RT @Hope4Hopeless1: @thebradfordfile @sonofthunder20 @kanyewest  https://t.co/6plamBaxH4</t>
  </si>
  <si>
    <t>@thebradfordfile @sonofthunder20 @kanyewest  https://t.co/6plamBaxH4</t>
  </si>
  <si>
    <t>RT @CStamper_: He’s popular everywhere except blue territory and RINO country. Real conservatives aren’t buying what a Soros-backed prosecu…</t>
  </si>
  <si>
    <t>RT @CStamper_: Soros-backed prosecutor’s private investigator perjured himself repeatedly &amp;amp; withheld evidence, and created false evidence.…</t>
  </si>
  <si>
    <t>RT @LizCrokin: In light of Avicii's death, let's remember Prodigy who also mysteriously died after exposing elites pedophiles on Twitter! #…</t>
  </si>
  <si>
    <t>RT @DeplorableGoldn: RT 🚨
The only bondage going on is  the holding of the passed bills
@RonFRichard is a sadist legislator 
He should st…</t>
  </si>
  <si>
    <t>RT @RealJamesWoods: This guy has done to beautiful London what centuries of invaders failed to do... https://t.co/cD1vRgy5Dn</t>
  </si>
  <si>
    <t>RT @EricGreitens: Fantastic weekend in Hickory and Texas counties talking about the conservative reforms we’ve fought for, the results we’v…</t>
  </si>
  <si>
    <t>RT @Sticknstones4: 🚨breaking non news of irrelevancy 
Any reporter that states my account is a paid greitens bot is Fake News 
#fakenews…</t>
  </si>
  <si>
    <t>RT @gaye_gallops: SEDITION...is overt conduct such as speech and organization that tends toward insurrection against established order.WAKE…</t>
  </si>
  <si>
    <t>RT @JudicialWatch: ICYMI: JW found evidence showing that the Obama Administration sent U.S. taxpayer funds overseas to an org backed by bil…</t>
  </si>
  <si>
    <t>RT @lucigosling: This is my friend's daughter's cat.  His name is Frank. And basically I think he should be trending. #humancat https://t.c…</t>
  </si>
  <si>
    <t>RT @President1Trump: Reporter asked Ben Carson, which do you think Hillary Clinton‘s actions are the most satanic? He replies, “her willing…</t>
  </si>
  <si>
    <t>RT @BigLeague2020: @Infidel_Yvonne Let’s be forthright instead of sly and cunning.
Did you know Amy was the former GOP Chair for Nevada?…</t>
  </si>
  <si>
    <t>RT @Stump_for_Trump: Democrats won't confirm Mike Pompeo for Sec of State because they know he will be instrumental in denuclearization and…</t>
  </si>
  <si>
    <t>RT @therealroseanne: I want to call @kanyewest</t>
  </si>
  <si>
    <t>RT @kanyewest: there was a time when slavery was the trend and apparently that time is still upon us. But now it's a mentality.</t>
  </si>
  <si>
    <t>RT @MazurikL: @alpha1dawg Libs are offended by everything! #LiberalismIsAMentalDisorder https://t.co/9Z7JDF1nKG</t>
  </si>
  <si>
    <t>RT @KressFCambers: Remember the November election is coming up. Missouri, look and the list. #MO5 #DeThroneCleaver #MAGA https://t.co/SwJgS…</t>
  </si>
  <si>
    <t>RT @MiltonWolfMD: WHOA: @RepCleaver hid employment of now-indicted Imran Awan behind phony hiring of an unqualified McDonald's worker.
Som…</t>
  </si>
  <si>
    <t>RT @chuckwoolery: Was Mark Zuckerberg aware that Facebook was censoring conservatives? Click now and get the Truth with guest Kress Cambers…</t>
  </si>
  <si>
    <t>RT @BigLeague2020: @IamRemoWilliams @TrumpChess @magathemaga1 @RonFRichard @EricGreitens @Rep_TRichardson @Eric_Schmitt @Hope4Hopeless1 @SK…</t>
  </si>
  <si>
    <t>RT @EdBigCon: @LaurenTrager @Sticknstones4 @EricGreitens @KMOV You're not getting an #Emmy for this #FakeNews story! Will you go back to wo…</t>
  </si>
  <si>
    <t>RT @TrumpChess: @magathemaga1 @RonFRichard @EricGreitens @Rep_TRichardson @Eric_Schmitt @Hope4Hopeless1 @SKOLBLUE1 @philip_saulter @ohsynes…</t>
  </si>
  <si>
    <t>RT @Sticknstones4: Take Note📝 @HawleyMO 
Your name on the ballot isn’t a slam dunk 🏀
You lost your base when you threw @EricGreitens unde…</t>
  </si>
  <si>
    <t>RT @magathemaga1: 🚨 Attack on Missouri! 🚨 
@RonFRichard decided he would rather be petty &amp;amp; attack Missouri voters than work with @EricGrei…</t>
  </si>
  <si>
    <t>RT @Hope4Hopeless1: @KMOXKilleen @EricGreitens #KimShady IS a #Soros FUNDED #Activist who rcvd at least $200,000 to  get HER in POWER!!!
N…</t>
  </si>
  <si>
    <t>RT @jamesirving2: Just how many #Democrats sit in office right now due to voter fraud? https://t.co/rcN5Qyl5Oq</t>
  </si>
  <si>
    <t>RT @my2006bmw: Ok Utah, put your hands together for Dr. Mike Kennedy seeking the senate seat in Utah. He may not wear the expensive suits t…</t>
  </si>
  <si>
    <t>RT @MiriamG216: @sarah_grossman Don’t let yourselves be used as pawns kids, this is more important than you think! Demand armed security fo…</t>
  </si>
  <si>
    <t>RT @Campbell2976: #MOAB
#MAGA 
@realDonaldTrump 
#GreatAwakening 
#Qanon https://t.co/Q4WZ47ZNH9</t>
  </si>
  <si>
    <t>RT @VisioDeiFromLA: It’s not a witch hunt
It’s not a witch hunt
It’s not a witch hunt
It’s not a witch hunt
It’s not a witch hunt
It’s not…</t>
  </si>
  <si>
    <t>RT @EdBigCon: Dirty Soros-Backed St. Louis Circuit Attorney Withheld Major Evidence in Governor Greitens' Case - Must Resign Immediately ht…</t>
  </si>
  <si>
    <t>RT @Norasmith1000: @YearOfZero @RoyBluntMO @EricGreitens Exactly right! Roy Blunt respects MO voters, #moleg should do the same. Glad he be…</t>
  </si>
  <si>
    <t>RT @VisioDeiFromLA: #utpol #KennedyForUtah 
@KennedyForUtah 
Find out more about Dr. Kennedy here: https://t.co/mpOZZAJAy9 https://t.co/f…</t>
  </si>
  <si>
    <t>@TheReal_Crayon  https://t.co/R7bep16ytQ</t>
  </si>
  <si>
    <t>RT @ScottPresler: Today is November 7th, 2018. 
The democrats took the House &amp;amp; Nancy Pelosi will become Speaker. Her first order of busine…</t>
  </si>
  <si>
    <t>RT @RealMattCouch: Bye Bye Yeti.... @YETICoolers 
This will be your downfall.. Hunters, Fishers, Conservatives, Construction Workers, The…</t>
  </si>
  <si>
    <t>RT @RealJamesWoods: With regard to the Utah primary, make of this what you will... https://t.co/ACxDnifYrm</t>
  </si>
  <si>
    <t>RT @LouisTabor3: Sleepy eyes Chunk Todd of Fake News NBC/DNC has finally met his match. He does look sleepy doesn't he? Some people think i…</t>
  </si>
  <si>
    <t>RT @SGTreport: New post EX CHIEF ADVISER FOR THE UN’S CHILD LABOUR PROGRAM ARRESTED FOR... PEDOPHILIA has been published on SGT Report - ht…</t>
  </si>
  <si>
    <t>RT @SykesforSenate: Great night in Dent County! What a great experience to travel the state in this effort to protect the Constitution and…</t>
  </si>
  <si>
    <t>RT @ohsynesthesia: @VisioDeiFromLA @JenEnnenbach @Sticknstones4 @EricGreitens @MissouriGOP @SKOLBLUE1 @Avenge_mypeople @MOHouseGOP @Hope4Ho…</t>
  </si>
  <si>
    <t>RT @James90972633: We The People must overturn Roe vs Wade #AbolishRoe @POTUS https://t.co/DmCJCd6se8</t>
  </si>
  <si>
    <t>RT @girl4_trump: Hearing Reports @realDonaldTrump Won The Popular Vote.
Trump. 70,125,263
Hillary. 57,177,958
7 Million #Trump votes flippe…</t>
  </si>
  <si>
    <t>RT @SykesforSenate: We're saving money on bumper stickers, but we still need donations. If you believe in the America First movement like I…</t>
  </si>
  <si>
    <t>#GRASSROOTS https://t.co/aG1kxNhBb9</t>
  </si>
  <si>
    <t>@Sticknstones4 @JenEnnenbach SOO it looks like it's A LOT MORE than .@JenEnnenbach feeling it's her duty to enforce her moral "standards"
Jen, GIRL you're in DEEP!!!
https://t.co/oN5NDX4aRm</t>
  </si>
  <si>
    <t>@Sticknstones4 @JenEnnenbach "Christian"Jen, "Self Righteous" MUCH?
You PRIDE yourself in being a BIG MOUTH calling out our Governor because he doesn't meet YOUR moral "standards" 
HOW'S your GoFundMe SCAM going? Are you managing to dupe a lot of good ppl falling for your act?
Church Lady, YOU'RE NASTY!!! https://t.co/r8Zm89c5ua</t>
  </si>
  <si>
    <t>@Sticknstones4 @scottfaughn  https://t.co/gloN92DjQs</t>
  </si>
  <si>
    <t>RT @intheMatrixxx: 22.  What did Obama say? 
@POTUS #MAGA #QAnon #Q #WWG1WGA #KAG #GreatAwakening #DeepState #Q https://t.co/Z7nQzqRp9o</t>
  </si>
  <si>
    <t>RT @RealCandaceO: I’m freaking out. @kanyewest ....please take a meeting with me. I tell every single person that everything that I have be…</t>
  </si>
  <si>
    <t>RT @Luis_Savery: So I wake up to @kanyewest acknowledging @RealCandaceO on the way she thinks. 
This is a great opportunity for the world…</t>
  </si>
  <si>
    <t>RT @sigi_hill: What kind of sham-attorney agrees with PROSECUTORIAL MALFEASANCE and the 'court of opinion' instead of upholding DUE PROCESS…</t>
  </si>
  <si>
    <t>RT @CraigRSawyer: There’s good reason Trump’s Dec 21 Executive Order specifically cited seizing the assets of &amp;amp; prosecuting crimes of child…</t>
  </si>
  <si>
    <t>RT @joel_capizzi: This is what you can expect if you elect Austin Petersen. 
Democratic Sen. Heidi Heitkamp has to pick up Rand Paul's sla…</t>
  </si>
  <si>
    <t>RT @joel_capizzi: @alvinator2u If you live in Missouri, @SykesforSenate needs mandatory nothing to do the right thing and neither should an…</t>
  </si>
  <si>
    <t>@gocrazy4cards @KathieConway @cjillian0709 @staceynewman Did she go back and have sexual relations with him that same afternoon? YES!
Having sexual relations/engaging in sex=having sex.</t>
  </si>
  <si>
    <t>RT @kanyewest: be fearless. Express what you feel not what you've been programmed to think.</t>
  </si>
  <si>
    <t>RT @pinfante97: @kanyewest Direct shot at loser dems... #Kayne2024 https://t.co/F8Rq2BkbJh</t>
  </si>
  <si>
    <t>RT @alejandrodlrs05: @kanyewest weren't you under that MK ultra👀</t>
  </si>
  <si>
    <t>RT @Imaginer77: @alejandrodlrs05 @kanyewest He’s being freed like many others. #GreatAwakening</t>
  </si>
  <si>
    <t>RT @SonofLiberty357: North Dakota airman's surprise homecoming brings 8-year-old son to tears 
 https://t.co/KZTWWmWRVN</t>
  </si>
  <si>
    <t>RT @MrEdTrain: Bring them up #Right #Parents &amp;amp; #Grandparents or they'll turn out like this ! #PJNET #TCOT #CCOT #marchforbabies #AllLivesMa…</t>
  </si>
  <si>
    <t>RT @S_Cooper0404: Remember that caravan that the mainstream media — and Mexican officials — said was no longer heading to the U.S.-Mexico b…</t>
  </si>
  <si>
    <t>@KathieConway @cjillian0709 @staceynewman The ACTUAL transcript of KS's Deposition not the ridiculously inaccurate/incomplete "report" #Moleg recklessly issued!!!
#Soros
#KimShady
#GreitensIndictment
#witchHUNT
#WeStandWithGreitens https://t.co/C6dsGQMJeX</t>
  </si>
  <si>
    <t>RT @AlwaysActions: #LilWayne Calls Out
#BlackLivesMatter
Terrorist Group 🚨🚨 https://t.co/OrkuM7QJbc</t>
  </si>
  <si>
    <t>RT @SorosInSTL: I agree racism is bad.
We should also call on Nadal to resign for her threats against POTUS and Bruce Frank's Jr for his d…</t>
  </si>
  <si>
    <t>RT @Hope4Hopeless1: @FN4AP @magathemaga1 @catdeeann @inthejungle234 @RonFRichard @AP4Liberty @SykesforSenate @ChanelRion @AvrilMai91 @MOHou…</t>
  </si>
  <si>
    <t>@cjillian0709 You need to READ the transcripts of  Deposition where KS the ACTIVIST friend of #Moleg @staceynewman states that she wasn't afraid to leave!
She was there to have sex with a married man and THAT'S what she did!!!
She ALSO went back the same afternoon and had sex with him AGAIN! https://t.co/UuOp4dyzEp</t>
  </si>
  <si>
    <t>RT @sigi_hill: @cjillian0709 When innocent girls &amp;amp; women are raped justice must be done.When a hussy hairdresser sleeps w/high-profile poli…</t>
  </si>
  <si>
    <t>RT @sigi_hill: In spite PROSECUTORIAL MALFEASANCE @StLouisCityCA #KimGardner can't find anything, her and @AGJoshHawley manufacture claims…</t>
  </si>
  <si>
    <t>RT @Str8DonLemon: I'm calling on Bruce Frank's Jr 2 resign his position immediately from #MoLeg 
"...Franks rapped about shooting &amp;amp; stabbi…</t>
  </si>
  <si>
    <t>RT @Str8DonLemon: I'm calling on Bruce Frank's Jr 2 resign his position immediately from #MoLeg 
"In series of videos, some as recent as 2…</t>
  </si>
  <si>
    <t>RT @CStamper_: Good to see a Republican who actually believes in the importance of the legal process. Too many are quick to join Claire McC…</t>
  </si>
  <si>
    <t>RT @chrisregniertv: Senator Roy Blunt tells Fox 2 he is not calling for Gov. Greitens to resign in wake of new charge against him. Rather,…</t>
  </si>
  <si>
    <t>RT @AnthonyBauman5: @chrisregniertv @FOX2now This will be Hawleys Downfall. Roy keeps my vote. Hawley lost it. #America</t>
  </si>
  <si>
    <t>RT @MarkMue51703310: @chrisregniertv @FOX2now Wait. Innocent until PROVEN guilty...? This seems to go against the actions of the socialists.</t>
  </si>
  <si>
    <t>RT @DeplorableGoldn: Damn!  She is right! #moleg #hawley https://t.co/xfCCkljaqe</t>
  </si>
  <si>
    <t>RT @SKOLBLUE1: We had Another crisis with a Veteran that asked for the number. If you are a Veteran in need please reach out! We are here t…</t>
  </si>
  <si>
    <t>RT @Lautergeist: You created your own worst nightmare @staceynewman ~ getting @jallman971 off air 
#JamieAllman is unleashed &amp;amp; he's going…</t>
  </si>
  <si>
    <t>RT @therealcornett: 🚨BREAKING: According to FBI sources the DNC servers were never confiscated and examined because Comey himself overruled…</t>
  </si>
  <si>
    <t>RT @StephenMilIer: The Obama Administration was so incompetent that they couldn't even execute a coup without falling all over themselves.</t>
  </si>
  <si>
    <t>RT @VisioDeiFromLA: @EricGreitens Keep fighting. We are absolutely against Witch Hunts and this is one! 
#MoLeg #MoGov #Greitens #Missouri…</t>
  </si>
  <si>
    <t>RT @BryanLowry3: Greitens’ attorney has also issued a statement. More info at https://t.co/dOlpIcJGPk #moleg #Greitens https://t.co/rXRDpVQ…</t>
  </si>
  <si>
    <t>RT @magathemaga1: Dear #MoLeg Swamp dwellers @Rep_TRichardson @elijahhaahr
@EricGreitens gets his day in court. Until then, back off &amp;amp; let…</t>
  </si>
  <si>
    <t>@paul_serran Paul, this really grabbed at my heart! You work so hard finding things that offer us, Americans, so much hope &amp;amp; then you find just two letters WW "World Wide" that offers you tremendous hope for your beloved Country &amp;amp; people's future. Thank Sir, we must Pray for ALL to be FREE!</t>
  </si>
  <si>
    <t>@MissouriTimes @EricGreitens #Soros ACTIVIST #KimShady BOTCHED the fatally/CRIMINALLY flawed #GreitensIndictment 
&amp;amp;
Cucked #McConnell BOY #Hawley came through for the Establishment w/ plan B for politically motivated #WitchHUNT #Moleg to take down OUR duly elected Governor! 
https://t.co/MDQ5CgkmYc</t>
  </si>
  <si>
    <t>RT @magathemaga1: #MoLeg
WitchHunt continues &amp;amp; desire 4 lawmakers 2 oust an outsider continues
Wonder why they waited till the last minut…</t>
  </si>
  <si>
    <t>RT @JW1057: We see the corruption in MO. Don't think about resigning @EricGreitens. @HawleyMO you are on the ballot and your career is over…</t>
  </si>
  <si>
    <t>RT @Meonly1218: 🇺🇸💯 https://t.co/86n4pThmE1</t>
  </si>
  <si>
    <t>RT @JosephJFlynn1: I want to send a note of gratitude to all of you who have supported 
https://t.co/KbbSDR1207.
We greatly appreciate yo…</t>
  </si>
  <si>
    <t>@88YahamaKeys @TrumpChess @Sticknstones4 @EricGreitens @POTUS @staceynewman According to @StaceyNewman 's post her NEW ACTIVIST is a longtime friend and comrade!</t>
  </si>
  <si>
    <t>@dandeliondrunk https://t.co/MDQ5CgkmYc</t>
  </si>
  <si>
    <t>@dandeliondrunk https://t.co/yzjozPusNC</t>
  </si>
  <si>
    <t>RT @brinaanne1776: https://t.co/EAwopeuNnU 
Corrupt Kim Gardner &amp;amp; William Tisaby Broke the Law to Withhold Evidence In Sham Case Against Go…</t>
  </si>
  <si>
    <t>RT @Sticknstones4: @DLoesch @Hope4Hopeless1 Nasheed is playing games on twitter, she’s so crooked with her welfare &amp;amp; tax credits that line…</t>
  </si>
  <si>
    <t>RT @SKOLBLUE1: @ChristopherAve @joelcurrier @rxpatrick Can we expect you to be on Fox2 on Sunday again where you can voice your opinions an…</t>
  </si>
  <si>
    <t>RT @DLoesch: Our MO State Senator, Jamilah Nasheed: http://t.co/wDyRT63GGo (she deleted without apology)</t>
  </si>
  <si>
    <t>RT @DLoesch: IRONY: gun control advocate and MO State Sen Jamilah Nasheed arrested with 9mm, suspected of being drunk.  http://t.co/kzUkjhG…</t>
  </si>
  <si>
    <t>RT @ARnews1936: Racist MO State Senator Jamilah Nasheed Sits During Pledge of Allegiance https://t.co/DOaZTX7qjP</t>
  </si>
  <si>
    <t>RT @GartrellLinda: This is the MO State Senator Nasheed who sits during the Pledge of Allegiance https://t.co/I0QbehjNVs</t>
  </si>
  <si>
    <t>RT @Sticknstones4: Bingo !  @senatornasheed takes a ton of campaign contributions from Mo tax credit developers.  She’s been outspoken agai…</t>
  </si>
  <si>
    <t>RT @TrumpChess: @Sticknstones4 MO lawmaker Chappelle-Nasheed's staffer arrested for weed posession! She FB posted wanting @POTUS assassinat…</t>
  </si>
  <si>
    <t>RT @DLoesch: IF MO State Sen Nasheed WAS intoxicated, surely she knows MO law: can't drink and carry!  http://t.co/kzUkjhGo3c</t>
  </si>
  <si>
    <t>RT @Sticknstones4: @TrumpChess @magathemaga1 @RonFRichard @AP4Liberty @SykesforSenate @ChanelRion @AvrilMai91 @FN4AP @MOHouseGOP @Hope4Hope…</t>
  </si>
  <si>
    <t>RT @AnnaApp91838450: https://t.co/SfNgUhbiod
PATRIOTS WE MUST STAND 
UNITED 💯/ DIVIDED WE FALL
FOR LOVE OF GOD FIGHT FOR AMERICA AND YOUR C…</t>
  </si>
  <si>
    <t>RT @SheriffClarke: Read many accounts on what happened in that Philly Starbucks. I formed this conclusion. Race baiters called it “sitting…</t>
  </si>
  <si>
    <t>RT @Hope4Hopeless1: Those that never thought she was going to lose are BRAZENLY misusing their State Office to keep their FILTHY CRIMES hid…</t>
  </si>
  <si>
    <t>@FoxNews @mcsorianoaz Was this "POLL" conducted in English???</t>
  </si>
  <si>
    <t>RT @KatTheHammer1: Helen and Charles Flynn on their honeymoon 1947
This lovely couple had the rare honor of having 2 sons that served our…</t>
  </si>
  <si>
    <t>RT @JosephJFlynn1: @KatTheHammer1 @GenFlynn Miss them every single day</t>
  </si>
  <si>
    <t>RT @Sticknstones4: @CStamper_ When life intimates art , wonder if 2 more will pop up like the movie 3 billboards outside ebbing  MO 
Whoeve…</t>
  </si>
  <si>
    <t>@FN4AP @magathemaga1 @catdeeann @inthejungle234 @RonFRichard @AP4Liberty @SykesforSenate @ChanelRion @AvrilMai91 @MOHouseGOP @Sticknstones4 @SKOLBLUE1 @philip_saulter @Monetti4Senate @HawleyMO @SykesforSenate would love to do  another 3 Way Debate!
I'm sorry to say, but AP is not a viable #MOSEN candidate
We need someone who is STRONG BORDERS &amp;amp; we especially need someone that has a strong history of honesty &amp;amp; integrity! 
SADLY, @AP4Liberty does not qualify! https://t.co/0ELmpBxf8T</t>
  </si>
  <si>
    <t>@catdeeann @magathemaga1 @inthejungle234 @RonFRichard @AP4Liberty @SykesforSenate @ChanelRion @AvrilMai91 @FN4AP @MOHouseGOP @Sticknstones4 @SKOLBLUE1 @philip_saulter https://t.co/rPZ3NYbNQk</t>
  </si>
  <si>
    <t>@catdeeann @magathemaga1 @inthejungle234 @RonFRichard @AP4Liberty @SykesforSenate @ChanelRion @AvrilMai91 @FN4AP @MOHouseGOP @Sticknstones4 @SKOLBLUE1 @philip_saulter I can't support #Monetti he is NOT #AmericaFirst! @Monetti4Senate HAS HIRED this Globalist Brit to run his Campaign from the UK using Digital Analytics to BLOCK &amp;amp; manipulate #Missouri VOTERS!!! Look at @Monetti4Senate DONORS he's NOT #Grassroots!!! https://t.co/0QphhERZQT</t>
  </si>
  <si>
    <t>RT @TrumpChess: @Sticknstones4 @88YahamaKeys @EricGreitens I wonder if Stacey  Newman has ever heard of #QAnon bcuz they have EVERY email a…</t>
  </si>
  <si>
    <t>RT @Hope4Hopeless1: @TrumpChess @Sticknstones4 @88YahamaKeys @EricGreitens @POTUS Yep #Moleg #Mogov they have it ALL!
They KNOW how many pi…</t>
  </si>
  <si>
    <t>@TrumpChess @Sticknstones4 @88YahamaKeys @EricGreitens @POTUS Yep #Moleg #Mogov they have it ALL!
They KNOW how many pizzas @staceynewman &amp;amp; her COMRADES have orderd from PI Pizza there in St Louis. They KNOW that the owner was flown in to make "pizzas" for Obama in the WH &amp;amp; that Obama started his own PI Pizza in DC. #UnsealTheIndictments https://t.co/AgUD3eHUIl</t>
  </si>
  <si>
    <t>RT @Sticknstones4: @88YahamaKeys @EricGreitens I wish the #Moleg house comittee would investigate Stacey Newman , how is it that Stacey kne…</t>
  </si>
  <si>
    <t>RT @Liberty4Al1: @CraigRSawyer I’m so excited that the house of cards is now collapsing on their corrupt heads. Let the truth shine on all…</t>
  </si>
  <si>
    <t>RT @CraigRSawyer: @09hamilton Can’t wait to see these deep-state subversives FINALLY held to account for their crimes &amp;amp; the American public…</t>
  </si>
  <si>
    <t>RT @magathemaga1: When U begin 2 realize stakes of #MOSEN 2018 race, U will realize importance &amp;amp; why it is #RedDawn2018
Dems want:
✔#gun c…</t>
  </si>
  <si>
    <t>RT @intheMatrixxx: @LizCrokin Prayers. 
@POTUS #MAGA #PedoGate https://t.co/85CvszHqlf</t>
  </si>
  <si>
    <t>RT @Racer1961: Tweet and retweet this is a George Soros puppet https://t.co/JR5mGntpWT</t>
  </si>
  <si>
    <t>RT @1Romans58: Lawsuit is officially filed, Well done.  We wish you good luck in defending our rights, https://t.co/YcxYaHg3YN</t>
  </si>
  <si>
    <t>RT @ConservJean: @tonymess @EricGreitens @stltoday We know the Greitens case was a consensual affair. We know the Democrat prosecutor fabri…</t>
  </si>
  <si>
    <t>RT @RealJamesWoods: Turns out she was a fortune-teller... https://t.co/yMQlsmCvMR</t>
  </si>
  <si>
    <t>RT @RealTravisCook: What we've learned from #Democrats: If you're a #GOP candidate, and if you've ever slept with or touched any woman othe…</t>
  </si>
  <si>
    <t>RT @MarshaBlackburn: Let me tell you something right now, @DiamondandSilk is not terrorism. https://t.co/L0UeF4SPY8</t>
  </si>
  <si>
    <t>@TT45Pac Got the ropes, let's roll...</t>
  </si>
  <si>
    <t>RT @its7just2me: The Progressive Socialists in USA are donating Huge amounts of money to GOP Candidates to SPLIT the TICKET and give the Wi…</t>
  </si>
  <si>
    <t>RT @girl4_trump: Everything leads back to #Obama, the most evil &amp;amp; corrupt illegal president ever to be in the people's house! 
#FBILiesMatt…</t>
  </si>
  <si>
    <t>RT @magathemaga1: Good morning 2 everybody but @RonFRichard
I have been getting lot of questions about #LadderBoy 
✔Mitch's Boy?
✔Is he #…</t>
  </si>
  <si>
    <t>RT @Hope4Hopeless1: @sigi_hill @Joe_Cool_1 @staceynewman #MeTOO. I guess as my State Rep @staceynewman thinks it's OK to be publically call…</t>
  </si>
  <si>
    <t>RT @RealTravisCook: How can we be assured that #JoshHawley will stand up for President #Trump in the Senate when he won't even stand behind…</t>
  </si>
  <si>
    <t>RT @RT_com: 'After all they are leaders, elected by their people &amp;amp; are responsible for their peace' - Lavrov https://t.co/2YG95EFf4L</t>
  </si>
  <si>
    <t>RT @codeofvets: Grassroots Candidates+Us=The solution to DC/corrupt politicians! Courtland Sykes-MO Senate candidate-Navy Veteran https://t…</t>
  </si>
  <si>
    <t>RT @bigleaguepol: It's an election year, in a red state. Of course she's changing her tune. https://t.co/xmVSiW1gi5</t>
  </si>
  <si>
    <t>RT @trustrestored: GEORGE SOROS transferred $18 BILLION to Open Societies Org to use to fund domestic terror and anti-American activities a…</t>
  </si>
  <si>
    <t>RT @ORGANlCROBOT: #qanon https://t.co/sBeBwfekEk</t>
  </si>
  <si>
    <t>RT @antischool_ftw: Trump: Human trafficking 'worse than it's ever been in the history of the world' https://t.co/kBtouexwKA</t>
  </si>
  <si>
    <t>RT @antischool_ftw: https://t.co/kI9Ae4lGAj</t>
  </si>
  <si>
    <t>RT @antischool_ftw: https://t.co/sjZ2b53KPh
Giuliani hopes to end Russia Probe in a “week or two”</t>
  </si>
  <si>
    <t>RT @JackPosobiec: Tick Tock https://t.co/hHeXwvAA6M</t>
  </si>
  <si>
    <t>RT @DeplorableGoldn: RT 🚨
OUR Governor .@EricGreitens IS STANDING STRONG &amp;amp; staying the course of #DrainingTheSwamp &amp;amp; serving the people of…</t>
  </si>
  <si>
    <t>RT @Trey_VonDinkis: #RINOwatch #RINOsedition #RINO=Leftist
.
.
.◾️MORE RINO SEDITION - McCONNELL KILLS SPENDING CUTS :
Mitch McConnell Ki…</t>
  </si>
  <si>
    <t>RT @DeplorableGoldn: RT 🚨 https://t.co/5nNfGeZTFx</t>
  </si>
  <si>
    <t>RT @CraigRSawyer: What a burst of pure justice sunlight ☀️ that #CrookedComey got called out in front of MILLIONS, right in the middle of h…</t>
  </si>
  <si>
    <t>RT @ClintonMSix14: I taught at Columbia for 46 years. I taught every significant politician that ever studied at Columbia. They all had to…</t>
  </si>
  <si>
    <t>RT @op_hawkeye: Learn about the great work @CraigRSawyer and other Vets are doing here in fight against trafficking of children
 🔗 https:/…</t>
  </si>
  <si>
    <t>RT @CraigRSawyer: This is the happy dance American citizens do when the DOJ decides to finally #FeedTheGITMO ‼️🇺🇸 https://t.co/qbSpvX1jiM</t>
  </si>
  <si>
    <t>Those that never thought she was going to lose are BRAZENLY misusing their State Office to keep their FILTHY CRIMES hidden! .@SenatorNasheed just know @MSHPTrooperGHQ will be there to help round up seditious traitors in #Mogov who are in the 300+ sealed FEDERAL indictments in #MO https://t.co/U9ErgaQwvn</t>
  </si>
  <si>
    <t>@SenatorNasheed @MSHPTrooperGHQ Those that never thought she was going to lose are BRAZENLY misusing their State Office to keep their FILTHY CRIMES hidden!
@MSHPTrooperGHQ will be there to help round up seditious traitors in #Mogov who are in the 300+ sealed FEDERAL indictments in #MO!
https://t.co/fv6QrC0zCX</t>
  </si>
  <si>
    <t>RT @graphixpro1: @SenatorNasheed @MSHPTrooperGHQ You got arrested for being drunk in possession of a loaded firearm and you're trying to sa…</t>
  </si>
  <si>
    <t>RT @blackwidow07: @SenatorNasheed @MSHPTrooperGHQ You have lost your mind. You dealt with more danger when you were in juvenile jail. You c…</t>
  </si>
  <si>
    <t>RT @magathemaga1: #GreitensIndictment explained:
-No evidence
-Consensual affair 
-Shady #KimShady
-No probable cause
-Ex husband out 4 re…</t>
  </si>
  <si>
    <t>RT @SorosInSTL: #donnybrookstl
😂😂😂😂🤣🤣🤣🤣
What did I tell you. I told you the media wouldn't cover this story fairly!
The bad guys will wi…</t>
  </si>
  <si>
    <t>RT @magathemaga1: U find it funny #donnybrookSTL  alleged victim of the #GreitensIndictment friends w/S. Newman but also “longtime family h…</t>
  </si>
  <si>
    <t>RT @magathemaga1: When U put UR ear 2 the ground &amp;amp; listen 2 what's going on in MoLeg, it becomes even more clear swamp wants #Greitens out…</t>
  </si>
  <si>
    <t>RT @SKOLBLUE1: #donnybrookstl shady stuff you have going on! You won't take any calls about @EricGreitens or publish any positive tweets re…</t>
  </si>
  <si>
    <t>@SenatorNasheed OUR Governor .@EricGreitens IS STANDING STRONG &amp;amp; staying the course of #DrainingTheSwamp &amp;amp; serving the people of #Missouri! 
#Moleg needs to realize that he has the EXTREME SUPPORT from Pro-Constitutional #Missourians that SEE CLEARLY what these CORRUPT  forces are trying to do! https://t.co/qqJOYOjOY5</t>
  </si>
  <si>
    <t>RT @Thomas1774Paine: Embattled Missouri governor won’t step down amid growing pressure https://t.co/ZGNGuGVGrq</t>
  </si>
  <si>
    <t>RT @Hope4Hopeless1: @Thomas1774Paine @HazGoneFishing OUR Governor @EricGreitens IS STANDING STRONG &amp;amp; staying the course of #DrainingTheSwam…</t>
  </si>
  <si>
    <t>@Thomas1774Paine @HazGoneFishing OUR Governor @EricGreitens IS STANDING STRONG &amp;amp; staying the course of #DrainingTheSwamp &amp;amp; serving the people of #Missouri! 
#Moleg needs to realize that he has the EXTREME SUPPORT from Pro-Constitutional #Missourians that SEE CLEARLY what these CORRUPT  forces are trying to do! https://t.co/SoNJviOm3F</t>
  </si>
  <si>
    <t>RT @vachilly64: Patriots, it's time to be wide awake. Even Rino rats are jumping ship. This does not bode well. The liberals will buy, chea…</t>
  </si>
  <si>
    <t>RT @therealroseanne: pray against evil.</t>
  </si>
  <si>
    <t>RT @melody_grover: How do you conduct an impartial investigation of somebody you've called on to resign? Yes, they're two separate matters,…</t>
  </si>
  <si>
    <t>RT @JCunninghamMO: The words “in office” are important.The Missouri Constitution states executive officials can be impeached "for crimes, m…</t>
  </si>
  <si>
    <t>RT @JCunninghamMO: “Not so fast buckaroos.” My favorite quote from former Chief Justice of the Missouri Supreme Court Michael Wolfe on the…</t>
  </si>
  <si>
    <t>RT @JCunninghamMO: I don’t see that as bad. A not guilty finding by a jury would end the move to impeach where throwing out the case becaus…</t>
  </si>
  <si>
    <t>RT @Hope4Hopeless1: @NCogneetoCon @EricGreitens #GreitensIndictment
is a HORRIFYING misuse &amp;amp; abuse of power &amp;amp; it puts us all at risk!
ACT…</t>
  </si>
  <si>
    <t>RT @sigi_hill: @JaneDueker @AGJoshHawley What kind of sham-attorney agrees with PROSECUTORIAL MALFEASANCE and the 'court of opinion' instea…</t>
  </si>
  <si>
    <t>RT @realDonaldTrump: It was my great honor to host my friend @JPN_PMO @AbeShinzo and his delegation at Mar-a-Lago for the past two days. Lo…</t>
  </si>
  <si>
    <t>RT @mike_Zollo: Donald Trump will go down as the greatest President in American history. He literally has everyone against him and he’s sti…</t>
  </si>
  <si>
    <t>RT @sigi_hill: I lost all confidence in those slimy backstabbing legislators. Every one of them involved in this heinous attack on our due…</t>
  </si>
  <si>
    <t>RT @USAMilitaryUSA: Army vet Earl Granville carried a woman across the finish line of the Boston Marathon with one leg 💪🏼 https://t.co/IpBh…</t>
  </si>
  <si>
    <t>RT @EricGreitens: I will not be resigning the Governor's office. In three weeks, this matter will go to a court of law—where it belongs and…</t>
  </si>
  <si>
    <t>RT @EricGreitens: Circuit Attorney Kim Gardner hid a video that she knew directly contradicted allegations in the House report, and she all…</t>
  </si>
  <si>
    <t>RT @lindsaywise: “Hawley should keep his pledge not to become a ladder-climbing politician, he should not be running for the U.S. Senate at…</t>
  </si>
  <si>
    <t>RT @Hope4Hopeless1: @KCTV5 We appreciate that .@EricGreitens is STANDING STRONG &amp;amp; staying the course of #DrainingTheSwamp &amp;amp; serving the peo…</t>
  </si>
  <si>
    <t>RT @JohnLamping: The Jeff City swamp wants to nullify an election, Missouri voters (esp GOP) won’t soon forget.....</t>
  </si>
  <si>
    <t>RT @JW1057: @proudmomom @MOHouseGOP @MissouriGOP @AGJoshHawley Due process is vital in every case. I would, however, suggest that is even m…</t>
  </si>
  <si>
    <t>RT @President1Trump: #BREAKING: DHS reveals 140+ MS 13 gang members were released on the streets of America! They need to arrest every offi…</t>
  </si>
  <si>
    <t>RT @TheLastRefuge2: Stunning state of U.S. politics where Democrats want to block Mike Pompeo because they view peace, or denuclearization,…</t>
  </si>
  <si>
    <t>RT @GrizzleMeister: Meet American Badass &amp;amp; 1st female Navy pilot to fly a tactical aircraft, #TammieJoShults who was the hero pilot that su…</t>
  </si>
  <si>
    <t>RT @YearOfZero: Isn’t justice more important than partisanship?
The prosecution lied about evidence, was there evidence in the first place…</t>
  </si>
  <si>
    <t>RT @Sticknstones4: Is @senatornasheed for reals?
I mean this is coming from a woman who #2A carries a loaded 9mm 🔫 in her pocket 
I think…</t>
  </si>
  <si>
    <t>RT @cfsho444: How honorable of Judge Burlison, to allow charges against a decorated war hero, Rhodes Scholar, and sitting governor to conti…</t>
  </si>
  <si>
    <t>RT @phil200269: The Democratic Party of Slavery and Jim Crow Facebook Platform Now Banning Black Conservatives Who Disagree With Democratic…</t>
  </si>
  <si>
    <t>RT @betsy_mess: I just listened to great interview by @codeofvets and @SykesforSenate . Sykes a vet that is super smart and wants to drain…</t>
  </si>
  <si>
    <t>@tonymess .@tonymess @POTUS #Moleg &amp;amp; #Missourians who elected Gov .@EricGreitens might be curious to know that Rep .@staceynewman who's been a staunch opponent of @GovGreitensMO published the name &amp;amp; picture of HER LONGTIME HAIRDRESSER &amp;amp;  introduced her as a NEW ACTIVIST on the House floor! https://t.co/FK1P7Ezlm1</t>
  </si>
  <si>
    <t>RT @VisioDeiFromLA: @YblackGOP @MOHouseGOP @Rep_TRichardson @elijahhaahr @MOGOP_Chairman @AP4Liberty @Monetti4Senate @SykesforSenate But un…</t>
  </si>
  <si>
    <t>RT @VisioDeiFromLA: @YblackGOP @Markknight45 @MOHouseGOP @Rep_TRichardson @elijahhaahr @MOGOP_Chairman @AP4Liberty @Monetti4Senate @Sykesfo…</t>
  </si>
  <si>
    <t>RT @amysuds: @EricGreitens Do not resign</t>
  </si>
  <si>
    <t>RT @memoriadei: Appalled like never before at #MOLEG for bullying.  Unprofessional!  Not once have I ever seen such disgusting behavior and…</t>
  </si>
  <si>
    <t>@KCTV5 We appreciate that .@EricGreitens is STANDING STRONG &amp;amp; staying the course of #DrainingTheSwamp &amp;amp; serving the people of #Missouri! 
#Moleg needs to realize that he has EXTREME SUPPORT from Pro-Constitutional #Missourians that SEE CLEARLY what these CORRUPT forces are trying to do! https://t.co/xhZIOoWR0T</t>
  </si>
  <si>
    <t>RT @VisioDeiFromLA: Right. You will be just giving a giant middle finger to the voters.
Doing anything before Eric has his day to prove wh…</t>
  </si>
  <si>
    <t>RT @TrumpTrainMRA4: Donald J. Trump
Melania Trump 
&amp;amp; 
Barron Trump 
Left Their Beautiful Life to Make America Great Again 
Please Get Off Y…</t>
  </si>
  <si>
    <t>RT @JacobAWohl: @JohnBalfe https://t.co/JugxEekiqi</t>
  </si>
  <si>
    <t>RT @KatTheHammer1: This is why we stand for our anthem. 👇🇺🇸 https://t.co/O0bqKQvx9J</t>
  </si>
  <si>
    <t>RT @sigi_hill: @grcfay @magathemaga1 @ohsynesthesia @MOHouseGOP @MissouriGOP @Avenge_mypeople @Blackboxhalo @Rep_TRichardson @elijahhaahr @…</t>
  </si>
  <si>
    <t>RT @sigi_hill: @Hope4Hopeless1 @JW1057 @JCunninghamMO @lfshumake @CheriMO44 @SpeakerTimJones @MOGOP_Chairman @Rep_TRichardson @rossgarber @…</t>
  </si>
  <si>
    <t>RT @Hope4Hopeless1: @sigi_hill @JW1057 @JCunninghamMO @lfshumake @CheriMO44 @SpeakerTimJones @MOGOP_Chairman @Rep_TRichardson @rossgarber @…</t>
  </si>
  <si>
    <t>@sigi_hill @JW1057 @JCunninghamMO @lfshumake @CheriMO44 @SpeakerTimJones @MOGOP_Chairman @Rep_TRichardson @rossgarber @MarkReardonKMOX It's not really too hard to find because they've been and still are so brazen because they never thought she was going to lose and are still in complete denial that she did. I'm convinced that #SloppyKimShady was SOOOO SLOPPY because they still thought they were above the  law!</t>
  </si>
  <si>
    <t>@VisioDeiFromLA @KenPrier @thatsbuckaroo2u @Mizzourah_Mom @EricGreitens @MissouriGOP @MOHouseGOP @Avenge_mypeople @strmsptr @elijahhaahr @Rep_TRichardson @SKOLBLUE1 @ohsynesthesia Vis don't take it personally, I dont think bleeding "heart" Liberals like brown people that won't vote for them.</t>
  </si>
  <si>
    <t>@philip_saulter @EdBigCon @sarahfelts Oh the irony...
#Molegs
@staceynewman &amp;amp; her longtime friend &amp;amp; hairdresser who was #Greitens mistress attending an ACTIVIST EVENT for...
"comrades who care about JUSTICE  EQUALITY and MORALITY"! https://t.co/Ob7hjxhuph</t>
  </si>
  <si>
    <t>@sarahfelts #SOROS backed #KimShady witheld EVIDENCE in discovery &amp;amp; it MAGICALLY appeared 1hr after #Moleg's "report" &amp;amp; SHOWS when Kitty returned to #Greitens house that same afternoon, they engaged in consensual sex.
HMM? Do rape victims return to the house of their rapists for round #2? https://t.co/mFz1mOtrX0</t>
  </si>
  <si>
    <t>@MIZCRB @EdBigCon @sarahfelts That's .@staceynewman's FACEBOOK pg(before she scrubbed yhe evidence you mind washed Liberal TROLL!</t>
  </si>
  <si>
    <t>RT @EdBigCon: @sarahfelts Is it weird how Kitty the mistress hung around all the Democratic circles?  She cut Koster’s hair too! #moleg htt…</t>
  </si>
  <si>
    <t>@JC4MAGA @HDowning113 @TheTrumpParty @BigLeague2020 @AP4Liberty @POTUS @RandPaul @TonyMonetti @SykesforSenate James @AP4Liberty's a CON, he's lived mostly out of MO up in NY w/ Fox News &amp;amp; frankly, our daughters would be safer if he would have stayed out of our State. 
NO MORAL/ETHICAL CODE admitting to  DECIEVING young girls on  https://t.co/09VcByYNGI sayin he's Prof $1.5M/yr Politician https://t.co/wPRi5ANqeA</t>
  </si>
  <si>
    <t>@VisioDeiFromLA @Mizzourah_Cuck @thatsbuckaroo2u @Mizzourah_Mom @EricGreitens @MissouriGOP @MOHouseGOP @Avenge_mypeople @strmsptr @elijahhaahr @Rep_TRichardson @SKOLBLUE1 @ohsynesthesia You know it's the LAST card in their hand, when they try to play it in response to a NON Racist argument!</t>
  </si>
  <si>
    <t>@grcfay @safetravels7 @sigi_hill @magathemaga1 @ohsynesthesia @MOHouseGOP @MissouriGOP @Avenge_mypeople @Blackboxhalo @Rep_TRichardson @elijahhaahr @strmsptr @Sticknstones4 @AGJoshHawley Why is that Catherine?</t>
  </si>
  <si>
    <t>RT @safetravels7: @sigi_hill @grcfay @magathemaga1 @ohsynesthesia @MOHouseGOP @MissouriGOP @Avenge_mypeople @Blackboxhalo @Rep_TRichardson…</t>
  </si>
  <si>
    <t>RT @magathemaga1: If innocence is brought 2 bar &amp;amp; condemned, perhaps 2 die, then citizens will say, “whether I do good or evil is immateria…</t>
  </si>
  <si>
    <t>RT @grcfay: @magathemaga1 @ohsynesthesia @MOHouseGOP @MissouriGOP @Avenge_mypeople @Blackboxhalo @Rep_TRichardson @elijahhaahr @strmsptr @S…</t>
  </si>
  <si>
    <t>RT @EricGreitens: Great talking with @MissouriChamber’s next generation of leaders about how to bring more quality jobs to Missouri today.…</t>
  </si>
  <si>
    <t>RT @debi23489794: @Hope4Hopeless1 @SiddonsDan @EricGreitens Matthew 10:26
But don't be afraid of those who threaten you. For the time is co…</t>
  </si>
  <si>
    <t>RT @Hope4Hopeless1: @supportelijah Apparently State Rep @staceynewman thinks it's OK to be publically calling for impeachment of OUR duly e…</t>
  </si>
  <si>
    <t>RT @sigi_hill: @magathemaga1 @ohsynesthesia @MOHouseGOP @MissouriGOP @Avenge_mypeople @Blackboxhalo @Rep_TRichardson @elijahhaahr @strmsptr…</t>
  </si>
  <si>
    <t>RT @TrumpTrainMRA4: Yom Ha’atzmaut 
🇺🇸🇮🇱🇺🇸Happy Independence Day Israel🇺🇸🇮🇱🇺🇸
Thank You @netanyahu BeBe &amp;amp; @POTUS Trump 
✡️✝️Making Gods Bro…</t>
  </si>
  <si>
    <t>RT @magathemaga1: @Avenge_mypeople @YearOfZero @SheenaGreitens @Hope4Hopeless1 @DaynaGould @paulcurtman @SKOLBLUE1 @Sticknstones4 @SpeakerT…</t>
  </si>
  <si>
    <t>RT @Hope4Hopeless1: @thesearcher998 @magathemaga1 @Avenge_mypeople @YearOfZero @SheenaGreitens @DaynaGould @paulcurtman @SKOLBLUE1 @Stickns…</t>
  </si>
  <si>
    <t>@thesearcher998 @magathemaga1 @Avenge_mypeople @YearOfZero @SheenaGreitens @DaynaGould @paulcurtman @SKOLBLUE1 @Sticknstones4 @SpeakerTimJones @Blackboxhalo @MOHouseGOP @FN4AP @JW1057 But if I were your wife, I would run out and check your golf clubs because you're obviously worried about them. 
Haha, I think when Eric's GENIUS Legal Team finishes their Forensic Accounting &amp;amp; following ALL this $$$ little Ms Holier- than-Thou, Jen might just be pissing dirty.</t>
  </si>
  <si>
    <t>@thatsbuckaroo2u @EricGreitens And I take that back, I don't know if KimShady is your comrade.</t>
  </si>
  <si>
    <t>@thatsbuckaroo2u @EricGreitens Well thank you. You're actually a very kind troll. I REALLY appreciate that. Really seriously I do.</t>
  </si>
  <si>
    <t>@thatsbuckaroo2u @EricGreitens Ask your comrade #Soros backed SLOPPY #KimShady that question. You might  wanna hurry up because I'm pretty sure her criminal commie ass is fixin to to be locked up!</t>
  </si>
  <si>
    <t>RT @EricGreitens: This team is getting great results for the people of Missouri. Met with cabinet leaders today to discuss their achievemen…</t>
  </si>
  <si>
    <t>@EricGreitens .@EricGreitens, we  appreciate you STANDING STRONG &amp;amp; staying the course of #DrainingTheSwamp &amp;amp; serving the people of #Missouri! 
#Moleg needs to realize you have the EXTREME SUPPORT from Pro-Constitutional #Missourians that SEE CLEARLY what these CORRUPT  forces are trying to do! https://t.co/VURoAbrQMF</t>
  </si>
  <si>
    <t>@Miduswell @timmy2handz @VisioDeiFromLA @EricGreitens .@Miduswell #Peter #PS #DJMoon &amp;amp; washed up rock"star" is that you? Projecting much? How's that revenge working out? I can't imagine any amt of HATE or $$$ to make me willing to cause EMBARRASSMENT &amp;amp; HUMILIATION for my children, but that's just me. https://t.co/wUgL5VJBD9</t>
  </si>
  <si>
    <t>@timmy2handz @VisioDeiFromLA @EricGreitens SOROS backed #KimShady witheld EVIDENCE in discovery &amp;amp; it MAGICALLY appeared 1hr after #Moleg's "report" &amp;amp; SHOWS when Kitty returned to #Greitens house that same afternoon, they engaged in consensual sex.
HMM? Do rape victims return to the house of their rapists for round #2 https://t.co/Nlzqrhj0aQ</t>
  </si>
  <si>
    <t>@YearOfZero https://t.co/Uzas10HRyD</t>
  </si>
  <si>
    <t>@YearOfZero #SOROS backed #KimShady witheld EVIDENCE in discovery &amp;amp; it MAGICALLY appeared 1hr after #Moleg's "report" &amp;amp; SHOWS when Kitty returned to #Greitens house that same afternoon, they engaged in consensual sex.
HMM? Do rape victims return to the house of their rapists for round #2? https://t.co/V2pFKtfZhs</t>
  </si>
  <si>
    <t>@jlzdan @VABVOX I support Americans NOT having our Justice System being weaponized and used criminally by political operatives.</t>
  </si>
  <si>
    <t>RT @YearOfZero: This actually isn’t true. This was a consensual fling and it only became “assault” when Eric cut the #Taxcredits which need…</t>
  </si>
  <si>
    <t>RT @DelporableMe: https://t.co/SDvqe2sw1S 2nd Amendment rally ,Madison Wisconsin , 🇺🇸🇺🇸Check out video #KEEPAMERICAGREAT</t>
  </si>
  <si>
    <t>RT @YearOfZero: Good thing trump doesn’t decide. Missouri voters do and we are saying loud and clear:
Do not resign @EricGreitens 
#moleg…</t>
  </si>
  <si>
    <t>@supportelijah Apparently State Rep @staceynewman thinks it's OK to be publically calling for impeachment of OUR duly elected Gov @EricGreitens but unavailable for #MO constituent's ???s 
Pls ask #Moleg, Is there ANY connection w/the #GreitensIndictment&amp;amp; Stacey's LONGTIME FRIEND &amp;amp; NEW ACTIVIST? https://t.co/jGLjhHZHUj</t>
  </si>
  <si>
    <t>@WielandNow @RobVescovo @daveschatz @calebrowden @peggsOTB Apparently State Rep @staceynewman thinks it's OK to be publically calling for impeachment of OUR duly elected Gov @EricGreitens but unavailable for #MO constituent's ???s 
Pls ask #Moleg, Is there ANY connection w/the #GreitensIndictment&amp;amp; Stacey's LONGTIME FRIEND &amp;amp; NEW ACTIVIST? https://t.co/Hjd1bLJDFs</t>
  </si>
  <si>
    <t>@Rep_TRichardson @MOHouseGOP @RobVescovo Apparently State Rep @staceynewman thinks it's OK to be publically calling for impeachment of OUR duly elected Gov @EricGreitens but unavailable for #MO constituent's ???s 
Pls ask #Moleg, Is there ANY connection w/the #GreitensIndictment&amp;amp; Stacey's LONGTIME FRIEND &amp;amp; NEW ACTIVIST? https://t.co/muB9likyyH</t>
  </si>
  <si>
    <t>@MarriedManTalk @stltoday @staceynewman #Hawley is an ESTABLISHMENT #RINO CUCK &amp;amp; here's the face of his comrade who's KNOWN SOROS backed ACTIVIST!  
This commie bitch #KimShady's just SLOPPY #LockHerUp 
#LockThemAllUp https://t.co/lrusyETjia</t>
  </si>
  <si>
    <t>@VABVOX #SOROS backed #KimShady witheld EVIDENCE in discovery &amp;amp; it MAGICALLY appeared 1hr after #Moleg's "report" &amp;amp; SHOWS when Kitty returned to #Greitens house that same afternoon, they engaged in consensual sex.
HMM? Do rape victims return to the house of their rapists for round #2? https://t.co/wLzcpPiOh6</t>
  </si>
  <si>
    <t>@VABVOX #SOROS backed #KimShady witheld EVIDENCE in discovery &amp;amp; it MAGICALLY appeared 1hr after #Moleg's "report" &amp;amp; SHOWS when Kitty returned to #Greitens house that same afternoon, they engaged in consensual sex.
HMM? Do rape victims return to the house of their rapists for round #2? https://t.co/QJEzrM5mmD</t>
  </si>
  <si>
    <t>RT @joel_capizzi: I/2
@realDonaldTrump 
Mr President, please reconsider your endorsement of Josh Hawley and endorse @SykesforSenate instea…</t>
  </si>
  <si>
    <t>RT @joel_capizzi: 2/2
He sidestepped questions about your "behavior toward women".
Should you be in the crosshairs of the next Gov Greiten…</t>
  </si>
  <si>
    <t>RT @Norasmith1000: @Hope4Hopeless1 @sigi_hill @Joe_Cool_1 @staceynewman @EricGreitens Yes thats what I want to know. Stacy Newman is close…</t>
  </si>
  <si>
    <t>RT @JCunninghamMO: I’m with Representatives Lindell Shumake, @lfshumake and Cheri Toalson Reisch, @CheriMO44. Allow the complete process to…</t>
  </si>
  <si>
    <t>RT @Hope4Hopeless1: @JCunninghamMO @lfshumake @CheriMO44 Thank you all soo much! This whole #GreitensIndictment &amp;amp; the BLIND RUSH to call fo…</t>
  </si>
  <si>
    <t>@JCunninghamMO @lfshumake @CheriMO44 Thank you all soo much! This whole #GreitensIndictment &amp;amp; the BLIND RUSH to call for Gov @EricGreitens resignation &amp;amp; impeachment is a TRAVESTY of JUSTICE! It's comforting to see your wise &amp;amp; responsible response, THANK YOU!</t>
  </si>
  <si>
    <t>@JW1057 @JCunninghamMO @lfshumake @CheriMO44 @SpeakerTimJones @MOGOP_Chairman @Rep_TRichardson @rossgarber @MarkReardonKMOX https://t.co/dodgh33VtZ</t>
  </si>
  <si>
    <t>@Norasmith1000 @sigi_hill @Joe_Cool_1 @staceynewman @EricGreitens https://t.co/dodgh33VtZ</t>
  </si>
  <si>
    <t>RT @Hope4Hopeless1: @SenatorNasheed All you #SOROS &amp;amp; #Establishment backed OPERATIVES in #MoGOV #Moleg especially #KimShady &amp;amp; @staceynewman…</t>
  </si>
  <si>
    <t>@SenatorNasheed All you #SOROS &amp;amp; #Establishment backed OPERATIVES in #MoGOV #Moleg especially #KimShady &amp;amp; @staceynewman have some explaining to do with YOUR #GreitensIndictment #witchunt &amp;amp; calls for IMPEACHMENT 
https://t.co/SWbKEMIU1d</t>
  </si>
  <si>
    <t>@stltoday Is ANYONE reporting ALL the ABSURDITIES &amp;amp; BRAZEN #SOROS #Moleg #MoGov ACTIVISM &amp;amp; #CriminalProsecutorialMisconduct going on w/ this #GreitensIndictment #witchhunt??? @staceynewman especially HAS SOME EXPLAININ TO DO! https://t.co/SWbKEMIU1d</t>
  </si>
  <si>
    <t>@sigi_hill @Joe_Cool_1 @staceynewman #MeTOO. I guess as my State Rep @staceynewman thinks it's OK to be publically calling for impeachment of OUR duly elected Gov @EricGreitens but unavailable for #MO constituent's ???s like
Is there ANY connection w/ the #GreitensIndictment&amp;amp; Stacey's LONGTIME FRIEND &amp;amp; NEW ACTIVIST? https://t.co/NU8kpHHBC6</t>
  </si>
  <si>
    <t>RT @YearOfZero: @kitkat232455 @VABVOX @madameshawshank Oh please she kept seeing the man. Notice how nobody is talking about it now? Do you…</t>
  </si>
  <si>
    <t>@JunkieJoePol @VisioDeiFromLA @jymetcalf @cwallace504 @magathemaga1 @timmy2handz @EricGreitens @Eric_Schmitt @ChanelRion @Sticknstones4 @MOHouseGOP @JohnLamping @Avenge_mypeople @Blackboxhalo @CornejoForMO There IS NO WAY you can believe this woman's absured &amp;amp; inconsistent statesments! I hope that someday you have the experience of being falsely accused and it threatens to ruin your life!!!  https://t.co/VUoG8kTpVD</t>
  </si>
  <si>
    <t>RT @VisioDeiFromLA: @RealTravisCook @CryptoMatt06 @EricGreitens @blackwidow07 @Hope4Hopeless1 @SKOLBLUE1 @YearOfZero @DRUDGE @joelpollak @S…</t>
  </si>
  <si>
    <t>@ChristopherAve @JenEnnenbach @stltoday https://t.co/5tvakLNxjt</t>
  </si>
  <si>
    <t>RT @Hope4Hopeless1: @JenEnnenbach @GovGreitensMO MO Patriots elected a strong outsider in Gov @EricGreitens &amp;amp; our confidence in the man has…</t>
  </si>
  <si>
    <t>@JenEnnenbach @GovGreitensMO MO Patriots elected a strong outsider in Gov @EricGreitens &amp;amp; our confidence in the man has only strengthened seeing the extent Soros &amp;amp; cucked estab politicians have stooped to unseat him. As a married Christian woman he hasn't met "your" moral standards but how high are those Jen https://t.co/hmmoumEgJO</t>
  </si>
  <si>
    <t>@EdBigCon @VisioDeiFromLA @Str8DonLemon @Huntr4myCountry @JeremyXKingsley @jymetcalf @cwallace504 @magathemaga1 @timmy2handz @EricGreitens @Eric_Schmitt @ChanelRion @Sticknstones4 @MOHouseGOP @JohnLamping @Avenge_mypeople @Blackboxhalo @CornejoForMO @missioncontinue So Angry Troll(AT) digs black cars. I dig that black car. Does AT dig that black car? I bet AT doesn't dig that he cant fit in that black car. Does AT dig all black cars? Does AT dig other color cars? AT got somethin against white cars? So what about presumption of innocence, AT? https://t.co/5wlDfJ0Z0E</t>
  </si>
  <si>
    <t>@EdBigCon @VisioDeiFromLA @Str8DonLemon @Huntr4myCountry @JeremyXKingsley @jymetcalf @cwallace504 @magathemaga1 @timmy2handz @EricGreitens @Eric_Schmitt @ChanelRion @Sticknstones4 @MOHouseGOP @JohnLamping @Avenge_mypeople @Blackboxhalo @CornejoForMO @missioncontinue So Angry Troll(AT) digs black cars. I dig that black car. Does AT dig that black car? I bet AT doesn't dig that he cant fit in that black car. Does AT dig all black cars? Does AT dig other color cars? AT got somethin against white cars? So what about presumption of innocence, AT?</t>
  </si>
  <si>
    <t>@JeremyXKingsley @VisioDeiFromLA @Huntr4myCountry @jymetcalf @cwallace504 @magathemaga1 @timmy2handz @EricGreitens @Eric_Schmitt @ChanelRion @Sticknstones4 @MOHouseGOP @JohnLamping @Avenge_mypeople @Blackboxhalo @CornejoForMO @missioncontinue And you're an angry troll who's caustic crap NOBODY likes or cares to retweet!!! Here I'll click a "like" just so you can see what one of those hearts looks like lit up.</t>
  </si>
  <si>
    <t>RT @Hope4Hopeless1: @JunkieJoePol @VisioDeiFromLA @jymetcalf @cwallace504 @magathemaga1 @timmy2handz @EricGreitens @Eric_Schmitt @ChanelRio…</t>
  </si>
  <si>
    <t>@JunkieJoePol @VisioDeiFromLA @jymetcalf @cwallace504 @magathemaga1 @timmy2handz @EricGreitens @Eric_Schmitt @ChanelRion @Sticknstones4 @MOHouseGOP @JohnLamping @Avenge_mypeople @Blackboxhalo @CornejoForMO #Soros
$200,000 #Communist #Puppet #KimShady's
#ProsecutorialMisconduct
&amp;amp;
#Moleg's
#Reckless
&amp;amp;
#Inaccurate
#Report
IS
#SLOPPY
NOW 
#SOROS
#CuckedPOLITICIANS
#DISREGARD
#TheConstitution
&amp;amp;
#RUSHtoUNSEAT
#Our
#Elected
#Governor
who's
#INNOCENT 
UNTIL
#ProvenGuilty
#InACourtofLAW</t>
  </si>
  <si>
    <t>RT @JW1057: @EricGreitens You don't need to "prove your innocence." The law decrees you as innocent until the prosecution proves your guilt…</t>
  </si>
  <si>
    <t>RT @RealTravisCook: @VisioDeiFromLA @CryptoMatt06 @EricGreitens @blackwidow07 @Hope4Hopeless1 @SKOLBLUE1 @YearOfZero @DRUDGE @joelpollak @S…</t>
  </si>
  <si>
    <t>GOOD for you, Sir! We ELECTED a STRONG LEADER who can stand up to POWERFUL Anti-Constitutional FORCES tryin to DESTROY our Republic! Thank you, Gov.@EricGreitens YOU HAVE the Pro-Constitutional Missourians standing w/you Bless you &amp;amp; your beautiful Family. #WeThePeople are PRAYING https://t.co/1yXJBzye2T</t>
  </si>
  <si>
    <t>RT @magathemaga1: This.
We the voters DO NOT CARE WHAT the “cool kids” club of #MoLeg thinks. 
We voted for Trump because he was a fighte…</t>
  </si>
  <si>
    <t>RT @Hope4Hopeless1: @EricGreitens GOOD for you, Sir! We ELECTED a STRONG LEADER who can stand up to POWERFUL Anti-Constitutional FORCES try…</t>
  </si>
  <si>
    <t>@EricGreitens GOOD for you, Sir! We ELECTED a STRONG LEADER who can stand up to POWERFUL Anti-Constitutional FORCES tryin to DESTROY our Republic! Thank you, Gov.@EricGreitens YOU HAVE the Pro-Constitutional Missourians standing w/you. Bless you &amp;amp; your beautiful Family. WeThePeople are PRAYING</t>
  </si>
  <si>
    <t>@StevenDialTV @EricGreitens @41actionnews GOOD for you, Sir! We ELECTED a STRONG LEADER who can stand up to POWERFUL Anti-Constitutional FORCES tryin to DESTROY our Republic! Thank you, Gov.@EricGreitens YOU HAVE the Pro-Constitutional Missourians standing w/you. Bless you &amp;amp; your beautiful Family. WeThePeople are PRAYING</t>
  </si>
  <si>
    <t>RT @StevenDialTV: NEW statement on behalf of Gov. @EricGreitens 
""I will not be resigning the Governor's office. In three weeks, this matt…</t>
  </si>
  <si>
    <t>@JenEnnenbach My mom takes them and they really help, but you have to be careful they can cause Meniere’s which is like Botox on steroids.</t>
  </si>
  <si>
    <t>RT @TeamGreitens: @stevekraske @EricGreitens Your source lied. That's nothing new for #fakenews. Here's a "source" you can see: https://t.c…</t>
  </si>
  <si>
    <t>RT @sigi_hill: Called #ProsecutorialMalfeasance by @StLouisCityCA Kim Gardner 
👉BLM supporter 👉Soros-paid 👉DemocRAT
#MOreps-Swamp adds witc…</t>
  </si>
  <si>
    <t>RT @joel_capizzi: Hawley has the plan B to take down Greitens. Mark it down. Given how slick Josh sidestepped questions about Trump's own r…</t>
  </si>
  <si>
    <t>RT @Sticknstones4: @ZekeMelchizedek https://t.co/If3p6FFXtD</t>
  </si>
  <si>
    <t>RT @melody_grover: A partial list of what @JaneDueker has thrown out the window:
Due process
Presumption of innocence
The rule of law
Her…</t>
  </si>
  <si>
    <t>@TheTrumpParty @AP4Liberty https://t.co/qsgzIJZiiS</t>
  </si>
  <si>
    <t>RT @TheTrumpParty: Libertarians are Anarchists who attempt to abuse the U.S. Constitution! Some of these idiots want to legalize heroin! @A…</t>
  </si>
  <si>
    <t>RT @BigLeague2020: @TheTrumpParty @AP4Liberty .@AP4Liberty refers to #MAGA @POTUS TRUMP Supporters
Sheep🔴Fools🔴Fearmongers
#Missouri DON’…</t>
  </si>
  <si>
    <t>@FN4AP @magathemaga1 @ChanelRion @AvrilMai91 @971FMTalk @parscale @Blackboxhalo @CStamper_ @strmsptr @jallman971 @Eric_Schmitt @EricGreitens @MOHouseGOP @TomJEstes @DaynaGould @Steffi_Cole @JohnLamping @MissouriGOP @GOPChairwoman @GOP Really? As always? The source is strait from @AP4Liberty himself. He's been very vocal about all of these REVEALING positions on his Social Media Platforms, especially when he's ranted on Periscope all vaped up. Him trying to scrub the evidence has been extremely unsuccessful!</t>
  </si>
  <si>
    <t>@magathemaga1 @ChanelRion @AvrilMai91 @FN4AP @971FMTalk @parscale @Blackboxhalo @CStamper_ @strmsptr @jallman971 @Eric_Schmitt @EricGreitens @MOHouseGOP @TomJEstes @DaynaGould @Steffi_Cole @JohnLamping @MissouriGOP @GOPChairwoman @GOP https://t.co/5J9jvQPjO0</t>
  </si>
  <si>
    <t>RT @EJ_Atwood: @AGJoshHawley should be removed from office, disbarred and sent home as the disgrace he is.  The 1st made up story didn't wo…</t>
  </si>
  <si>
    <t>RT @JW1057: @stlcao Self-interested Josh Hawley and corrupt Kim Gardner a match made in hell. 
#moleg #mogov #greitens #GreitensIndictment…</t>
  </si>
  <si>
    <t>RT @JW1057: @EricGreitens @SheenaGreitens @TeamGreitens @StLCountyRepub @MissouriGOP @CStamper_ @MOGOP_Chairman @VisioDeiFromLA @melody_gro…</t>
  </si>
  <si>
    <t>RT @Avenge_mypeople: @HawleyMO is looking more and more like one of "them." Since the #GreitensIndictment doesn't look like it's gonna pan…</t>
  </si>
  <si>
    <t>RT @Avenge_mypeople: So, #KimShadey hired an outsider ( with taxpayer money) to dig up dirt on #greitens and then perjured himself on the s…</t>
  </si>
  <si>
    <t>RT @SykesforSenate: "Trump’s decision to fire Comey being proven correct... Jim Comey is acknowledging that he took into account politics i…</t>
  </si>
  <si>
    <t>RT @1Craftikittti: NO MORE RHINOS in government! We the People have had enough Fake Conservatives &amp;amp; Chameleon Republicans. NO #RepubloCON p…</t>
  </si>
  <si>
    <t>RT @Hope4Hopeless1: #KimShady witheld EVIDENCE in discovery and it MAGICALLY appeared 1hr after #Moleg's "report"  that SHOWS that when Kit…</t>
  </si>
  <si>
    <t>RT @Hope4Hopeless1: #Missouri will NOT BE FOOLED by this "RepubliCON" #RINO @AP4Liberty #MOSEN! 
 As a RABID NeverTrumper he preferred Hil…</t>
  </si>
  <si>
    <t>@wrap02 @ws_missouri Do you even realize what an absolutely ABSURD statement you just made? They had a 4mos LONG affair, she is not a victim and there is no crime except those of the CORRUPT PROSECUTOR'$ Office, anyone PAID to make FALSE ALLEGATIONS &amp;amp; those in #Moleg that are associated with this!</t>
  </si>
  <si>
    <t>RT @JW1057: @JamesMNHarris @HawleyMO I support the impeachment of @HawleyMO @AGJoshHawley  who appears to not understand the presumption of…</t>
  </si>
  <si>
    <t>RT @codeofvets: We have the power to fix DC! VOTE IN OUR HEROES! Watch #Periscope: Courtland Sykes-MO Senate candidate-Navy Veteran https:/…</t>
  </si>
  <si>
    <t>RT @JJDJ1187: So let me get this straight under Obama:
IRS:Weaponized
FBI:Weaponized
CIA:Weaponized
DOJ:Weaponized
NSA:Weaponized
FISC:Wea…</t>
  </si>
  <si>
    <t>@tararollins62 @AP4Liberty @POTUS Either we are a Sovereign Nation WITH BORDERS or we are NOT!  Don't tout the Constitution and say you're voting for an Open Borders Con @AP4Liberty that will be working either knowingly or unknowingly to destroy it!</t>
  </si>
  <si>
    <t>@SiddonsDan3 @deneenborelli This "Show" Coo-Coo Crooked Comey has taken on the road is what you see when a COMPLETELY DELUDED CRIMINAL is FREE to make the Circuit EXPOSING his FILTHY SELF &amp;amp; selling his "Memoirs!"
I'm just waiting for this TRAITOROUS PERVERTED FREAK to show up on set dressed as Howdy Doody!</t>
  </si>
  <si>
    <t>RT @SiddonsDan3: How low can James Comey go? 
Lying, leaking, and scheming at the FBI
Comey is attempting to rewrite the history of his de…</t>
  </si>
  <si>
    <t>RT @realtrumpster01: Vote against!!!! https://t.co/sqG0zSD1eD</t>
  </si>
  <si>
    <t>https://t.co/QumOV0VaIB</t>
  </si>
  <si>
    <t>RT @RealErinCruz: .@johnmyers of the .@latimes...
I caution you and others. @POTUS has 4.5 Million voters in Cali, many more who are fed u…</t>
  </si>
  <si>
    <t>RT @RealErinCruz: Pro America
Pro Life
Pro Second Amendment
Pro Free Speech
Pro Military
Pro Law Enforcement
Pro Small Business
Pro Border…</t>
  </si>
  <si>
    <t>@melody_grover @AP4Liberty @Monetti4Senate @HawleyMO Melody you failed mention @SykesforSenate the only TRUE #AmericaFirst US Senate Candidate #Mosen that's Anti-Illegal Immigration PRO STRONG Borders EXTREMELY SUPPORTIVE of Trump's Agenda to #BuildThatWall  
https://t.co/5J9jvQPjO0</t>
  </si>
  <si>
    <t>@AvrilMai91 @realJLogan What's his position on Illegal Immigration and building the wall?</t>
  </si>
  <si>
    <t>RT @SHEEPDOG7320: @Hope4Hopeless1 @AP4Liberty @realDonaldTrump Exactly! @AP4Liberty is complete Trash! Wouldn’t piss on him if he was on fi…</t>
  </si>
  <si>
    <t>RT @memoriadei: Shame on #MOLEG for the lynch mob of bullies.  Dems and RINOS https://t.co/zjHg59Zgsk</t>
  </si>
  <si>
    <t>RT @EricGreitens: I was honored to participate in the Purple Heart ceremony for Dewayne “Preacher” Cunningham today in Mt. Vernon. He was w…</t>
  </si>
  <si>
    <t>RT @memoriadei: Shaming is now a #MOLEG norm by some.  I do not vote for bullies.  #Greitens needs to stand his ground</t>
  </si>
  <si>
    <t>RT @realDonaldTrump: Unbelievably, James Comey states that Polls, where Crooked Hillary was leading, were a factor in the handling (stupidl…</t>
  </si>
  <si>
    <t>RT @cajunsoulfire74: #QAnon #GreatAwakening #WakeUp #ThisEndsNOW https://t.co/gjj3MvT0bU</t>
  </si>
  <si>
    <t>RT @codeofvets: Please watch the facts about what happened with Judge Roy Moore! We must expose the truth &amp;amp; refuse to allow the radical lef…</t>
  </si>
  <si>
    <t>RT @CollinRugg: The Judge who made Michael Cohen identify Sean Hannity performed George Soros’ Wedding.
Ironic? Nope. The swamp is coming…</t>
  </si>
  <si>
    <t>RT @DeplorableGoldn: RT 🚨
Greitens will never resign. Ever. This is the 2nd time @AGJoshHawley has called for the resignation of a Republic…</t>
  </si>
  <si>
    <t>RT @KBliss1970: This is just AWFUL! And no one is even talking about this. We can't just abandon this poor guy! https://t.co/xDrUeucWTG</t>
  </si>
  <si>
    <t>RT @Hope4Hopeless1: @salter223 https://t.co/BUoItH5dKR Transcript shows#KimShady's MASSIVE #ProsecutorialMisconduct in this SHAM #GreitensI…</t>
  </si>
  <si>
    <t>@HawleyMO @clairecmc .@Hawley will you stop being a cuck, calling for the resignation of  ELECTED Gov #Greitens BEFORE he's had opportunity to prove HIS INNOCENCE in a Court of Law?
NEVERMIND, you've proven over &amp;amp; over again that you're ALL too willing to do WHATEVER it takes to CLIMB that LADDER!!!</t>
  </si>
  <si>
    <t>RT @magathemaga1: #MOLeg #mogov #greitens #mosen @jallman971 @SuchHate @Koenig4MO @shawnrhoads154 @BillEigel @Monetti4Senate @CStamper_ @sh…</t>
  </si>
  <si>
    <t>RT @DrMartyFox: It Sounds Like #Comey Got A Message From The Real #MobBoss 
SHE Made Him An Offer He Couldn't Refuse 
I Watched The Pathe…</t>
  </si>
  <si>
    <t>#Missouri will NOT BE FOOLED by this "RepubliCON" #RINO @AP4Liberty #MOSEN! 
 As a RABID NeverTrumper he preferred Hillary to win vs .@realDonaldTrump 
 &amp;amp; 
STILL BOASTS THAT HE'S #OpenBorders
 &amp;amp; 
THAT HE WILL RESIST TRUMP'S AGENDA ON ILLEGAL IMMIGRATION!
 https://t.co/rN1HIAkaz4</t>
  </si>
  <si>
    <t>RT @magathemaga1: @AndrewFmOregon @jdavidsonlawyer @ems1944 @RGreggKeller @missouriscout @EricGreitens @MOHouseGOP @DaynaGould @Hope4Hopele…</t>
  </si>
  <si>
    <t>RT @YearOfZero: Hey @HawleyMO and #missouri
Choice now clear for #MoSen
Vote:
@Monetti4Senate
@SykesforSenate 
@AP4Liberty 
I can’t supp…</t>
  </si>
  <si>
    <t>RT @SiddonsDan3: “Congress should re-look at Comey’s testimony. He admitted on national television to leaking information."~@KatrinaPierson…</t>
  </si>
  <si>
    <t>IS US Sen Candidate @Monetti4Senate FIRED UP w/the same #Globalist Goals as the Owner  https://t.co/kQOhKkUTkR British DATA #ANALYTICS out of UK that's runnin his Campaign?
Working towards Pan-American Union?
■WAKE UP■ #Missourians 
THIS 
is 
NOT 
#Trumps
#AmericaFirst
#Agenda https://t.co/ufAgVdceoC</t>
  </si>
  <si>
    <t>RT @Sticknstones4: attorney Edward L. Dowd Jr. raised concerns over Josh Hawley's comment last week urging Greitens to resign. The letter s…</t>
  </si>
  <si>
    <t>RT @MiddleClazzMom: This is why this Dem will VOTE REPUBLICAN DOWN THE LINE! The @FBI @TheJusticeDept @StateDept &amp;amp; #IRS were all weaponized…</t>
  </si>
  <si>
    <t>RT @codeofvets: @betsy_mess @SykesforSenate You are correct. She is up against tough competition. Please watch the Livestream at 2pm or at…</t>
  </si>
  <si>
    <t>RT @codeofvets: Share this fierce American Hero @SykesforSenate LIGHT SOCIAL MEDIA! Donate! Share! Vote! Courtland Sykes-MO Senate candidat…</t>
  </si>
  <si>
    <t>RT @sigi_hill: @Norasmith1000 @Sticknstones4 @JW1057 @magathemaga1 @Joe_Cool_1 @VisioDeiFromLA @jaybarnes5 @KevinLAustin1 @gcmitts @jeaniel…</t>
  </si>
  <si>
    <t>RT @Norasmith1000: @sigi_hill @Sticknstones4 @JW1057 @magathemaga1 @Joe_Cool_1 @VisioDeiFromLA @jaybarnes5 @KevinLAustin1 @gcmitts @jeaniel…</t>
  </si>
  <si>
    <t>RT @EricGreitens: Great weekend with Republicans in Platte and Buchanan counties! These crowds were fired up, because conservative reforms…</t>
  </si>
  <si>
    <t>RT @JW1057: @AbbyLlorico @stlcao @StLouisCityCA made her bed and now she has to lie in it. She chose not to use the @SLMPD and that choice…</t>
  </si>
  <si>
    <t>RT @sigi_hill: Stop Missouri-Swamp witch-hunt to unseat conservative Governor Greitens as precursor to unseat President Trump
#ProsecuteKim…</t>
  </si>
  <si>
    <t>RT @MizzouPatriot: To those calling for Governor Greitens to resign before he’s had a chance to defend himself in court: that most American…</t>
  </si>
  <si>
    <t>RT @Lautergeist: There is even a news report that said #KimShady KNEW ON MONDAY they had that videotape
#Greitens #GreitensIndictment 
#Do…</t>
  </si>
  <si>
    <t>@queen_kegels @YearOfZero @fawfulfan @magathemaga1 @jdavidsonlawyer @ems1944 @RGreggKeller @missouriscout @EricGreitens @MOHouseGOP @DaynaGould @HotPokerPrinces @JohnLamping @gagemitchusson @ByronYork @SKOLBLUE1 @Project_Veritas You are ridiculous!
A Unicorn loving Roller Derby gal "Judge" hahahaha BLOCKED your CRAZY FAKE ASS! https://t.co/rWjijZ0jRw</t>
  </si>
  <si>
    <t>RT @codeofvets: Please take a look at @SykesforSenate MO-Sen His vision aligns with our POTUS! He gives detailed answers to the tough quest…</t>
  </si>
  <si>
    <t>@KDavisGayFriend @magathemaga1 @jdavidsonlawyer @ems1944 @RGreggKeller @missouriscout @EricGreitens @MOHouseGOP @DaynaGould @HotPokerPrinces @JohnLamping @gagemitchusson @ByronYork @SKOLBLUE1 @YearOfZero @Project_Veritas You can read the filthy deeds of your people for yourself, I'm not going to spoonfeed your ignorant ass!!! https://t.co/Kh8tfjGMJC</t>
  </si>
  <si>
    <t>RT @magathemaga1: Painting 4 #GreitensIndictment to commemorate witch hunt
Trying 2 include all players in saga. With Hawley turning #Turn…</t>
  </si>
  <si>
    <t>@queen_kegels @YearOfZero @fawfulfan @magathemaga1 @jdavidsonlawyer @ems1944 @RGreggKeller @missouriscout @EricGreitens @MOHouseGOP @DaynaGould @HotPokerPrinces @JohnLamping @gagemitchusson @ByronYork @SKOLBLUE1 @Project_Veritas https://t.co/Kh8tfjGMJC</t>
  </si>
  <si>
    <t>RT @JerieQuinty: Comey, Do you think Ruth Ginsberg was working that 12 yr old consent law over Orgy Island? https://t.co/C65cxD7Vlb</t>
  </si>
  <si>
    <t>RT @JerieQuinty: https://t.co/501VdoIMNi</t>
  </si>
  <si>
    <t>RT @SykesforSenate: Greitens will never resign. Ever. This is the 2nd time @AGJoshHawley has called for the resignation of a Republican ove…</t>
  </si>
  <si>
    <t>RT @SykesforSenate: The Missouri State Senate republicans are either being played for fools or personally benefiting by attacking Greitens.…</t>
  </si>
  <si>
    <t>@EricGreitens https://t.co/Fj2eMwx9R4</t>
  </si>
  <si>
    <t>@KDavisGayFriend @magathemaga1 @jdavidsonlawyer @ems1944 @RGreggKeller @missouriscout @EricGreitens @MOHouseGOP @DaynaGould @HotPokerPrinces @JohnLamping @gagemitchusson @ByronYork @SKOLBLUE1 @YearOfZero @Project_Veritas https://t.co/Kh8tfjGMJC</t>
  </si>
  <si>
    <t>@salter223 https://t.co/BUoItH5dKR Transcript shows#KimShady's MASSIVE #ProsecutorialMisconduct in this SHAM #GreitensIndictment 
.@POTUS it's  SERIOUSLY ALARMING: #Moleg disregarded Judges warning &amp;amp; rushed to issue RECKLESS report &amp;amp; STILL pushing to unseat prior Trial
Eric-Greitens-4-12-18</t>
  </si>
  <si>
    <t>RT @salter223: Kindly Re-tweet. https://t.co/tFTbksv5mK</t>
  </si>
  <si>
    <t>@salter223 Thank you Garrett!</t>
  </si>
  <si>
    <t>@queen_kegels @fawfulfan @magathemaga1 @jdavidsonlawyer @ems1944 @RGreggKeller @missouriscout @EricGreitens @MOHouseGOP @DaynaGould @HotPokerPrinces @JohnLamping @gagemitchusson @ByronYork @SKOLBLUE1 @YearOfZero @Project_Veritas Court Transcript of EVIDENCE #KimShady witheld!!!
https://t.co/Wcz4od1j45</t>
  </si>
  <si>
    <t>RT @toadtws: As the corrupt prosecutor's case against Greitens falls apart, GOP douchebags in #moleg set out for new basis for impeachment.…</t>
  </si>
  <si>
    <t>@toadtws https://t.co/66v5R004B7</t>
  </si>
  <si>
    <t>@MaxeyDmaxey6810 @AP @rdsx2007 https://t.co/66v5R004B7</t>
  </si>
  <si>
    <t>@irishrygirl @AP https://t.co/66v5R004B7</t>
  </si>
  <si>
    <t>@suzette999 @irishrygirl @AP https://t.co/66v5R004B7</t>
  </si>
  <si>
    <t>#KimShady witheld EVIDENCE in discovery and it MAGICALLY appeared 1hr after #Moleg's "report"  that SHOWS that when Kitty returned to #Greitens house that same afternoon, they engaged in consensual sex.
HMM? Do rape victims return to the house of their rapists for round #2??? https://t.co/ict8U6vmNU</t>
  </si>
  <si>
    <t>RT @YearOfZero: @Hope4Hopeless1 @JW1057 @Joe_Cool_1 @VisioDeiFromLA @Sticknstones4 @magathemaga1 Such an obvious witch hunt. @EricGreitens…</t>
  </si>
  <si>
    <t>RT @Hope4Hopeless1: @fawfulfan @magathemaga1 @jdavidsonlawyer @ems1944 @RGreggKeller @missouriscout @EricGreitens @MOHouseGOP @DaynaGould @…</t>
  </si>
  <si>
    <t>@YearOfZero @JW1057 @Joe_Cool_1 @VisioDeiFromLA @Sticknstones4 @magathemaga1 @EricGreitens @Avenge_mypeople @SKOLBLUE1 @DaynaGould @philip_saulter @MSTLGA https://t.co/HRuvh5JgmN</t>
  </si>
  <si>
    <t>@stevenwaite2 @magathemaga1 @AndrewFmOregon @jdavidsonlawyer @ems1944 @RGreggKeller @missouriscout @EricGreitens @MOHouseGOP @DaynaGould @HotPokerPrinces @JohnLamping @gagemitchusson @ByronYork @SKOLBLUE1 @YearOfZero @Project_Veritas @shawnrhoads154 @parscale Oh and you're a troll it took you following over 300 accts to get 80 followers. Pathetic bottom of the basement troll. How much does #Soros pay a penny a tweet? He's getting ripped off!</t>
  </si>
  <si>
    <t>@stevenwaite2 @magathemaga1 @AndrewFmOregon @jdavidsonlawyer @ems1944 @RGreggKeller @missouriscout @EricGreitens @MOHouseGOP @DaynaGould @HotPokerPrinces @JohnLamping @gagemitchusson @ByronYork @SKOLBLUE1 @YearOfZero @Project_Veritas @shawnrhoads154 @parscale https://t.co/PQ6UYxosWI</t>
  </si>
  <si>
    <t>@ergomatic @magathemaga1 @jdavidsonlawyer @ems1944 @RGreggKeller @missouriscout @EricGreitens @MOHouseGOP @DaynaGould @HotPokerPrinces @JohnLamping @gagemitchusson @ByronYork @SKOLBLUE1 @YearOfZero @Project_Veritas https://t.co/PQ6UYxosWI</t>
  </si>
  <si>
    <t>@fawfulfan @magathemaga1 @jdavidsonlawyer @ems1944 @RGreggKeller @missouriscout @EricGreitens @MOHouseGOP @DaynaGould @HotPokerPrinces @JohnLamping @gagemitchusson @ByronYork @SKOLBLUE1 @YearOfZero @Project_Veritas There is evidence that appeared 1hr after #Moleg's "report" that was witheld in discovery that when Kitty returned to his house that same afternoon, they engaged in consensual sex. Do most rape victims return to the house of their rapists for round #2?</t>
  </si>
  <si>
    <t>@fawfulfan @magathemaga1 @jdavidsonlawyer @ems1944 @RGreggKeller @missouriscout @EricGreitens @MOHouseGOP @DaynaGould @HotPokerPrinces @JohnLamping @gagemitchusson @ByronYork @SKOLBLUE1 @YearOfZero @Project_Veritas Kitty the alleged "victim" testified that she didn't think anything was wrong until she was informed by a reporter 3 yrs later that the "story" was getting ready to break.</t>
  </si>
  <si>
    <t>@JW1057 @Joe_Cool_1 @VisioDeiFromLA @Sticknstones4 @magathemaga1 Q:Did you feel #afraid to leave?
Kitty:No, not at that point....
Q:Were you under duress?
Kitty: Yes blah blah paraphrased(he was still turned on &amp;amp; I satisfied him)
Does Kitty think word duress means was she turned on? Because she WASN'T AFRAID to leave &amp;amp; COULD HAVE JUST LEFT!</t>
  </si>
  <si>
    <t>RT @SykesforSenate: The years just fly by. It's been 13 years since our tsunami relief efforts in Indonesia. Keep our first responders in y…</t>
  </si>
  <si>
    <t>RT @Nov2018election: @SykesforSenate  https://t.co/BuFsiEW2dW</t>
  </si>
  <si>
    <t>RT @joel_capizzi: @realDonaldTrump
Josh Hawley did not argue the Hobby Lobby case.
Josh Hawley sat in the gallery.
Josh Hawley is a frau…</t>
  </si>
  <si>
    <t>RT @BigLeague2020: @LindacoxCox @AP4Liberty COURTLAND SYKES FOR SENATE
Follow @SykesforSenate https://t.co/f22civVACG</t>
  </si>
  <si>
    <t>RT @Nov2018election: @BigLeague2020 @AP4Liberty @realDonaldTrump #MOSEN REAL LEADERSHIP @SykesforSenate https://t.co/wNRl1WhNyL</t>
  </si>
  <si>
    <t>RT @MorMor65596702: @Nov2018election @SykesforSenate Missouri Voters, we are counting on you to elect Sykes for US Senate. Please board the…</t>
  </si>
  <si>
    <t>RT @HDowning113: @Nov2018election @SykesforSenate  https://t.co/PXy1WcCgqc</t>
  </si>
  <si>
    <t>RT @CommanderMAGA: @Indiana_Pete1 @S_Cooper0404 @RealErinCruz @chirino4house @Shastina_Eloff @ElectLamb @DuterteCA @willisforwv @billie4con…</t>
  </si>
  <si>
    <t>RT @BigLeague2020: @Nov2018election @farmerfar55 @SykesforSenate #MOSEN
The disdain and resentment is REAL. https://t.co/kNJ92oBmWj</t>
  </si>
  <si>
    <t>RT @BigLeague2020: @MorMor65596702 @Nov2018election @SykesforSenate #MOSEN 
🇺🇸SYKES FOR SENATE🇺🇸
#Missouri
BOLD🇺🇸CONSERVATIVE🇺🇸VETERAN h…</t>
  </si>
  <si>
    <t>RT @VisioDeiFromLA: It's actually great news that all these cut and run Republicans are exposing themselves.
It will make draining the #Mo…</t>
  </si>
  <si>
    <t>RT @YearOfZero: @RiverfrontTimes Hey @HawleyMO sorry but I will not be voting for you given that you are acting like a coward even despite…</t>
  </si>
  <si>
    <t>RT @BigLeague2020: @Kansas4Trump @Nov2018election @SykesforSenate Courtland Sykes is genuine. A true conservative. Navy Veteran.
#MOSEN #M…</t>
  </si>
  <si>
    <t>RT @VisioDeiFromLA: @joel_capizzi @YearOfZero @HawleyMO @EricGreitens @SykesforSenate @AP4Liberty @Monetti4Senate Btw... Roy won that race…</t>
  </si>
  <si>
    <t>RT @brinaanne1776: #Missouri in 2018                  @SykesforSenate   https://t.co/2hlx2wOxc6          #MAGA #2AShallNotBeInfringed https…</t>
  </si>
  <si>
    <t>RT @AliciaDede: @Nov2018election @TRUMP_PREZ @SykesforSenate @NewDayForNJ @DannyTarkanian @SaarioBrandon @AjaforCongress @AntonioSabatoJr @…</t>
  </si>
  <si>
    <t>RT @YearOfZero: @YblackGOP @joel_capizzi @HawleyMO @EricGreitens @SykesforSenate @AP4Liberty @Monetti4Senate I won’t be backing him. Sorry…</t>
  </si>
  <si>
    <t>RT @blackwidow07: @YearOfZero @Sticknstones4 @HawleyMO @EricGreitens @SykesforSenate @AP4Liberty @Monetti4Senate Think @HawleyMO got some b…</t>
  </si>
  <si>
    <t>RT @YearOfZero: @blackwidow07 @Sticknstones4 @HawleyMO @EricGreitens @SykesforSenate @AP4Liberty @Monetti4Senate I don’t see what is the ru…</t>
  </si>
  <si>
    <t>RT @JW1057: @YearOfZero @blackwidow07 @Sticknstones4 @HawleyMO @EricGreitens @SykesforSenate @AP4Liberty @Monetti4Senate Why the rush? The…</t>
  </si>
  <si>
    <t>RT @magathemaga1: 🚨 #MoLeg #MoSen #MoGov 🚨 
POLL TIME!
Now that #LadderBoy Hawley is no longer viable option since he wants to deny @Eric…</t>
  </si>
  <si>
    <t>RT @Pickles0201: @codeofvets Gretchen you do an awesome job! Would love to see @SykesforSenate MO on ur scope! He is a great #MAGA candidat…</t>
  </si>
  <si>
    <t>RT @sigi_hill: Ditto this, NO to @HawleyMO for trashing Gov. @EricGreitens 
@SykesForSenate https://t.co/lJO5GzIvgx</t>
  </si>
  <si>
    <t>RT @magathemaga1: When U put UR ear 2 the ground &amp;amp; listen 2 what's going on in #MoSwamp that is #MoLeg, it becomes even more clear swamp in…</t>
  </si>
  <si>
    <t>@melody_grover @HawleyMO @AP4Liberty @Monetti4Senate Courtland Sykes @SykesforSenate for #Mosen</t>
  </si>
  <si>
    <t>RT @magathemaga1: So many #MoLeg swamp dwellers acting like they know the accuser.... do they?
Well Stacey Newman does per her Facebook pa…</t>
  </si>
  <si>
    <t>RT @VisioDeiFromLA: No Scott. They shouldn't.
And they won't unless @MOHouseGOP wants a bloodbath at polls in November.
Let me ask you @S…</t>
  </si>
  <si>
    <t>RT @toadtws: @JohnLamping @JaneDueker When people like @JaneDueker, @robschaaf and @calebrowden call for you to hurry up and resign because…</t>
  </si>
  <si>
    <t>RT @magathemaga1: @FOX2now Hmm somebody is lying!
#mogov #MOleg #GreitensIndictment https://t.co/Ml2pUCatJL</t>
  </si>
  <si>
    <t>RT @joel_capizzi: @YearOfZero @HawleyMO @EricGreitens @SykesforSenate @AP4Liberty @Monetti4Senate Hawley supports unproven allegations as o…</t>
  </si>
  <si>
    <t>RT @HawleySightings: Which one is @AGJoshHawley? #HawleySightings #ladderboy #ladders #FindHawley https://t.co/A3gyjMZkiA</t>
  </si>
  <si>
    <t>RT @Sticknstones4: @FOX2now #Moleg did not investigate, that was a listening session to write a baseless report.  Why don’t they care about…</t>
  </si>
  <si>
    <t>RT @JW1057: This is that moment you realize that you have screwed up, but you are not smart enough to self-correct before going over the cl…</t>
  </si>
  <si>
    <t>RT @Norasmith1000: @Sticknstones4 @JW1057 @magathemaga1 @Joe_Cool_1 @VisioDeiFromLA @jaybarnes5 @KevinLAustin1 @gcmitts @jeanielauer @Tommi…</t>
  </si>
  <si>
    <t>RT @MSM_LIES_TO_US: DISTURBING: Facts about the history of Gun Control that will frighten even the average person.  @POTUS @realDonaldTrump…</t>
  </si>
  <si>
    <t>@prayingmedic Haha...the look you have when you can't detect that you're being memed! https://t.co/7q3GV19W6V</t>
  </si>
  <si>
    <t>RT @kg_NewsAccount: I’m not a part time Trump supporter like some I’ve seen on here today!!!!!!He’s restoring the Republic and has the Deep…</t>
  </si>
  <si>
    <t>@starsandstripes Read transcript and see how low #KimShady has stooped to try and convict an innocent man! The #GreitensIndictment  IS A TOTAL SHAM
 &amp;amp;
#Moleg KNOWS IT &amp;amp; disregarded Judge's warning &amp;amp; issued incomplete and innacurate report!
 https://t.co/uN2firegiV case is a Eric-Greitens-4-12-18 https://t.co/o5ldPRWzWz</t>
  </si>
  <si>
    <t>@NCogneetoCon @EricGreitens #GreitensIndictment
is a HORRIFYING misuse &amp;amp; abuse of power &amp;amp; it puts us all at risk!
ACTIVIST #KimShady 
is Soro's $200,000+ 
Operative!
Her &amp;amp; the whole bunch including some in #Moleg are actively working to destroy our Republic!
#LockHerUp
#LockThemAllUp https://t.co/nZluzjxG9o</t>
  </si>
  <si>
    <t>RT @JohnLamping: You didn't get the memo? @JaneDueker 's declared the case over. The indictment that was reason enough for him to resign in…</t>
  </si>
  <si>
    <t>RT @philip_saulter: @JohnLamping @JaneDueker Correct it's over, the indictment was b.s. and the Prosecutor deserves to be sanctioned, disca…</t>
  </si>
  <si>
    <t>RT @magathemaga1: @philip_saulter @JohnLamping @JaneDueker Old #KimShady and #NoNotesTisaby have caused a real mess down there and also UNF…</t>
  </si>
  <si>
    <t>RT @Lady_Vi_2U: Interesting .. since Zucker testified and Anons are digging thru FB data his infamous Organ Donor page disappears..then I r…</t>
  </si>
  <si>
    <t>@EricGreitens https://t.co/Wcz4od1j45
.@EricGreitens Court Transcript exposes this whole case against #greitens AS NOTHING BUT A LIE! #Moleg disregarded Judges warning &amp;amp; are RECKLESS in publishing their imcomplete &amp;amp; innacurate report!
READ TRANSCRIPT
#KimShady 
#CriminalProsecutorialMisconduct</t>
  </si>
  <si>
    <t>@DaphneClark10 @PlatteCountyGOP @EricGreitens @parkvillemo https://t.co/Wcz4od1j45
Have you read the Court Transcript that clearly exposes this whole THING AS NOTHING BUT A LIE? #Moleg disregarded Judges warning &amp;amp; are RECKLESS in publishing their imcomplete &amp;amp; innacurate report!
READ TRANSCRIPT
#KimShady 
#CriminalProsecutorialMisconduct</t>
  </si>
  <si>
    <t>RT @PlatteCountyGOP: Gov. @EricGreitens got a standing ovation from the @PlatteCountyGOP at #SpringToVictory in @parkvillemo. https://t.co/…</t>
  </si>
  <si>
    <t>RT @RodStryker: USA using "smart" missiles to take out Syrian/Russian chemical weapons sites with precision.
JASSM (Joint Air-to-Surface S…</t>
  </si>
  <si>
    <t>RT @joel_capizzi: @RodStryker Now we cheer.
Trump reluctantly signed the omnibus bill to take advantage of a one time opportunity to effec…</t>
  </si>
  <si>
    <t>@justmethatsall3 @Sticknstones4 @MartyMurrayJr @EricGreitens @stlcao  https://t.co/Fcorn3fbuk</t>
  </si>
  <si>
    <t>RT @Sticknstones4: @MartyMurrayJr Before judgement is cast on @EricGreitens,  the prosecutorial malfeasance conducted by the @stlcao is a g…</t>
  </si>
  <si>
    <t>RT @magathemaga1: 🚨 TURNCOAT ALERT 🚨
Give @robschaaf call at 573-751-2183
Let him know:
✔️@EricGreitens deserves to present his case
✔️Th…</t>
  </si>
  <si>
    <t>RT @petluvers4Trump: @USAloveGOD @Gavin_McInnes @GIJoeOPS Planned Parenthood has blood on its hands! More than gun owners, mass killers and…</t>
  </si>
  <si>
    <t>@TheTrussel @Shawtypepelina @Nov2018election @AP4Liberty @clairecmc Ok I tried to understand what you meant by 98% of the voters wanted him to run as this bogus "liberty Republican" WTH? @AP4Liberty preferred Hillary over @POTUS   
#MO Patriots will NEVER VOTE for AP #MOSEN w/ such CONTEMPT for @realDonaldTrump &amp;amp; who "RESISTS" HIM ON IMMIGRATION! https://t.co/iSxmIgKwaJ</t>
  </si>
  <si>
    <t>RT @threadreaderapp: @VisioDeiFromLA Hello the unroll you asked for: Thread by @VisioDeiFromLA: "(1) Thread Time! Boyd famously said in lif…</t>
  </si>
  <si>
    <t>RT @melody_grover: Who knew we could have an Attorney General who doesn't believe in due process? We could have guessed as much given that…</t>
  </si>
  <si>
    <t>RT @VisioDeiFromLA: @staceynewman what u mean when u called alleged victim “an activist” on ur Facebook page?  She was close friend accordi…</t>
  </si>
  <si>
    <t>RT @Nov2018election: @AP4Liberty @clairecmc Don’t count on the TRUMP vote! You’re busted💥 Never Trumper Austin Petersen https://t.co/PVGjjm…</t>
  </si>
  <si>
    <t>RT @Jamierodr10: GOOD MORNING PATRIOTS!🇺🇸🇺🇸.          I want to take this time to Thank the man who is turning this country around! PRO-GOD…</t>
  </si>
  <si>
    <t>RT @Peoples_Pundit: Isn't it nice to have a class act again for a First Lady? https://t.co/qLdqMGN30O</t>
  </si>
  <si>
    <t>RT @W4BB17: There are generally two types of people.
Those who seek to maintain the status quo and there are those born to question it.
T…</t>
  </si>
  <si>
    <t>RT @VisioDeiFromLA: ✔Prosecutors DID LIE
✔Ex husband was offered payment 
✔No probable cause 
✔Inconsistent testimony with holes you could…</t>
  </si>
  <si>
    <t>@RagingGayCons https://t.co/1DADeF1hoL</t>
  </si>
  <si>
    <t>WHOA! This a #RagingGayConservative guy makes a PROFOUND point!
Deep thoughts..... https://t.co/7FUUXD0iji</t>
  </si>
  <si>
    <t>RT @realDonaldTrump: Tremendous pressure is building, like never before, for the Border Wall and an end to crime cradling Sanctuary Cities.…</t>
  </si>
  <si>
    <t>RT @Pickles0201: 🇺🇸 #REDFriday 🇺🇸
THANK YOU ❤ 2 everyone Deployed risking/fighting/defending the FREEDOM of ALL of us &amp;amp; their loved ones!…</t>
  </si>
  <si>
    <t>@DNosegotten @KMOXKilleen @EricGreitens You are a troll w/ 40 followers!</t>
  </si>
  <si>
    <t>RT @KMOXKilleen: Lawyers for @EricGreitens accuse Circuit Attorney Kim Gardner of lying to hide evidence that affair was consensual. They w…</t>
  </si>
  <si>
    <t>RT @TweakThePress: @KMOXKilleen @kmoxnews @EricGreitens Criminal prosecutorial misconduct is becoming a growing threat to the constitutiona…</t>
  </si>
  <si>
    <t>@KMOXKilleen @EricGreitens #KimShady IS a #Soros FUNDED #Activist who rcvd at least $200,000 to  get HER in POWER!!!
Now w/ help of #Moleg are trying to UNSEAT Gov #Greitens
DOGS start looking like their MA$TER$!
#MISSOURI
■BEWARE■
#CriminalProsecutorialMisconduct
IS
#CommunistProsecutorialMisconduct https://t.co/NDqpaeykoH</t>
  </si>
  <si>
    <t>RT @therealdanlear: @johnpodesta  https://t.co/bHsckVd4ty</t>
  </si>
  <si>
    <t>RT @VisioDeiFromLA: Hey Caleb.
Not how it works.
@EricGreitens gets to present his side of the story. We know you in #moleg have a vendet…</t>
  </si>
  <si>
    <t>RT @_Discernment_: #HillaryClinton #Clinton #Witchwood #witches #witch #Supernatural #Occult #DeepStateCabal #DeepState #necklaces #MeToo #…</t>
  </si>
  <si>
    <t>RT @SykesforSenate: https://t.co/fJY79Sz0gJ</t>
  </si>
  <si>
    <t>RT @SykesforSenate: Taking time out of her busy schedule to keep us from WWIII, @nikkihaley makes an appearance in support of #Pompeo. Hale…</t>
  </si>
  <si>
    <t>RT @SykesforSenate: This isn't a social experiment. China doesn't respond favorably to fake beltway smiles. If the senate doesn't confirm P…</t>
  </si>
  <si>
    <t>@mosskerry @EricGreitens troll w/ 20 Followers just pointing out for Gov @EricGreitens that ALL this hate isn't coming from real #Missourians but pathetic paid trolls!</t>
  </si>
  <si>
    <t>@GOPisISIS @EricGreitens MAJORLY OBSESSED troll w/ 50 Followers</t>
  </si>
  <si>
    <t>@am_burrows @EricGreitens troll w/ 22 Followers</t>
  </si>
  <si>
    <t>@JanetBronczyk @EricGreitens troll w/ 2 Followers</t>
  </si>
  <si>
    <t>@morwent112 @EricGreitens troll with no takers 0 Followers</t>
  </si>
  <si>
    <t>@worrymissouri @EricGreitens troll w/ 2 Followers</t>
  </si>
  <si>
    <t>@WKirkReynolds @EricGreitens MA troll 10:1 Follow ratio</t>
  </si>
  <si>
    <t>@Tyler_Iman @EricGreitens troll w/ 20:1 Follow ratio</t>
  </si>
  <si>
    <t>@eadammit @EricGreitens troll w/ 2 Followers</t>
  </si>
  <si>
    <t>@DvusThe @EricGreitens troll w/ 0 Followers</t>
  </si>
  <si>
    <t>@beachedmango @EricGreitens troll 49 Followers</t>
  </si>
  <si>
    <t>@MarcProust @EricGreitens Resist troll</t>
  </si>
  <si>
    <t>@AccountedX @EricGreitens troll 10:1 Follow ratio</t>
  </si>
  <si>
    <t>@ploop52 @EricGreitens CA troll 3:1 Follow ratio</t>
  </si>
  <si>
    <t>@Drugg1st @EricGreitens troll</t>
  </si>
  <si>
    <t>@Lady_Snowolf @EricGreitens Ooooo troll w/ 20 Followers</t>
  </si>
  <si>
    <t>@StockLazar @EricGreitens OH troll hmmm?</t>
  </si>
  <si>
    <t>@DonaldODaniels1 @EricGreitens CA troll w/ 100 Followers</t>
  </si>
  <si>
    <t>@jerry07208983 @EricGreitens troll had to Follow 1000+ to get 300 Followers haha not a very good return</t>
  </si>
  <si>
    <t>@erictheacktr @EricGreitens Oooo troll w/ 8 Followers</t>
  </si>
  <si>
    <t>@lkgose @EricGreitens troll w/ 30 Followers</t>
  </si>
  <si>
    <t>@HaterFromNORCAL @EricGreitens CA troll w/ 46 Followers</t>
  </si>
  <si>
    <t>@lucketthistory @EricGreitens CA troll 140 w/ Followers</t>
  </si>
  <si>
    <t>@geofftype @EricGreitens troll w/ 200 Followers</t>
  </si>
  <si>
    <t>@rosiefolk @EricGreitens troll w/200 Followers</t>
  </si>
  <si>
    <t>@JoeFagone @EricGreitens Bye Bye troll w/ 109 Followers</t>
  </si>
  <si>
    <t>@michelleprana @EricGreitens Bye  Bye troll w/ 36 Followers</t>
  </si>
  <si>
    <t>RT @JMitchellDavis: Disappointing that Mr. Hogg, of all days, is refusing to show forgiveness. People say stupid things and those things sh…</t>
  </si>
  <si>
    <t>@JMitchellDavis Oh damn! You're right! Lol, at least THIS one is a typo and not because I don't know how to spell it. THANKS AGAIN!</t>
  </si>
  <si>
    <t>RT @Hope4Hopeless1: @EricGreitens Gov .@EricGreitens I've dug in to every aspect of this case &amp;amp; I support you 100%. The fact that "these" p…</t>
  </si>
  <si>
    <t>@EricGreitens Gov .@EricGreitens I've dug in to every aspect of this case &amp;amp; I support you 100%. The fact that "these" ppl in #Moleg #Soros funded Activist$ #KimShady are doing this, TELLS #MO you Sir are a threat &amp;amp; stand in the way of their PLAN TO DESTROY our #Republic
https://t.co/4XdYFMKz4D</t>
  </si>
  <si>
    <t>RT @VisioDeiFromLA: When U begin 2 realize why #MoLeg &amp;amp; #MoGov are pushing for @EricGreitens 2 resign before ALL FACTS presented, U begin 2…</t>
  </si>
  <si>
    <t>@JMitchellDavis Thanks Mitch, I appreciate the correction. RIDICULOUS is a word I use A LOT to describe these RIDICULOUSY stupid and CORRUPT politicians &amp;amp; their pathetic attempt to unseat our DULY ELECTED Repulican Governor.</t>
  </si>
  <si>
    <t>RT @Pickles0201: 🔔🔔 CANDIDATE ALERT 🕭🕭
MISSOURI ❤
Please VOTE ✔ for  #MAGA CANDIDATE 
🇺🇸COURTLAND SYKES SENATE🇺🇸
We need 2 do our part…</t>
  </si>
  <si>
    <t>RT @ChrisHayesTV: A Gov Greitens related hearing just ended. The Judge said the former mistresses ex-husband can answer questions about a p…</t>
  </si>
  <si>
    <t>RT @ChrisHayesTV: These are the photos Governor Greitens’ defense team said proves the Circuit Attorney’s office lied &amp;amp; withheld evidence.…</t>
  </si>
  <si>
    <t>RT @ChrisHayesTV: 2/2 The Defense said the photos show 1. The mistress laughing when asked about the slap.  2. The prosecutor’s paid privat…</t>
  </si>
  <si>
    <t>RT @ChrisHayesTV: Asst prosecutor Robert Steele’s answer to allegations of withholding evidence in the Gov Eric Greiten’s case is that “it…</t>
  </si>
  <si>
    <t>RT @ChrisHayesTV: The Governor’s defense asked for sanctions &amp;amp; that the case be dismissed for “gross misconduct.” They say the evidence, wh…</t>
  </si>
  <si>
    <t>RT @ChrisHayesTV: Latest filing about discovery in the MO Gov’s criminal case mentions possible computer evidence. https://t.co/DCo6WfnRsU</t>
  </si>
  <si>
    <t>@BobOnderMO .@BobOnderMO #Moleg DISREGARDED Judges warning &amp;amp; RECKLESSLY published THIS Jerry Springer-like FILTH "report" on #Greitens
NOBODY that reads this VULGAR &amp;amp; REDICULOUS 24pg Official State Document could POSSIBLY have ANY confidence in this "Investigation"
https://t.co/id8KTQ8ni0</t>
  </si>
  <si>
    <t>@VisioDeiFromLA @EricGreitens https://t.co/id8KTQ8ni0</t>
  </si>
  <si>
    <t>RT @VisioDeiFromLA: Standing with @EricGreitens until he has his day in court
#MoLeg needs to 2 recognize fundamental rule of politics
DA…</t>
  </si>
  <si>
    <t>@philip_saulter https://t.co/id8KTQ8ni0</t>
  </si>
  <si>
    <t>RT @philip_saulter: Further evidence of the political hit job that Kim Gardner is attempting to pull on our Governor.  Attention Mo. GOP, t…</t>
  </si>
  <si>
    <t>@ChrisHayesTV YES! #Moleg OFFICIAL STATE  DOCUMENT of #Greitens "investigation" HEAVY on the Jerry Springer-like VULGARITY &amp;amp; DRAMA but Missing KEY INFO!
Failed to press EX HUSBAND on details of his admitted FUNDING!
See Pg 22 &amp;amp; 23 of 24
EX HUSBAND testimony: someone paid something...WTH??? https://t.co/IE3Vrtn8M7</t>
  </si>
  <si>
    <t>@jcavaiani @robschaaf @realDonaldTrump These idiot traitors at #Moleg like @robschaaf &amp;amp; the "Investigative" Committee should be embarrassed by HOW REDICULOUSLY OBVIOUS they've become in #GreitensIndictment #WitchHunt
@POTUS will easily see them as the low class, low intellect TRAITORS they are!
https://t.co/mYjMlMHtJS</t>
  </si>
  <si>
    <t>@paul_serran Paul, I realized I hadn't seen any of your tweets for days, so I had to visit your acct. So many games #JackShady https://t.co/kFVzH0HMw7</t>
  </si>
  <si>
    <t>RT @45KeepsWinning: Siri backwards is Iris
Iris = part of the eye
As is the all-seeing-eye?
#QAnon #WWG1WGA #KAG 
#8Chan #Q #Woke 
@POTUS @…</t>
  </si>
  <si>
    <t>RT @GIJoeOPS: #ThursdayThoughts
Tragically In America, #Democrats Proudly &amp;amp; Militantly March &amp;amp; Fight 4 The Continual "Legal" Murder of Unb…</t>
  </si>
  <si>
    <t>@joelcurrier @EricGreitens @StLouisCityCA @stltoday https://t.co/sI3YeEL96a</t>
  </si>
  <si>
    <t>@JW1057 @blackwidow07 @joelcurrier @EricGreitens @StLouisCityCA @stltoday https://t.co/sI3YeEL96a</t>
  </si>
  <si>
    <t>@CStamper_ .@POTUS There's a lot of Communist $$$ at play here in #MO w/ this politically motivated #GreitensIndictment #WitchHunt STAND UP #Moleg #StopSoros &amp;amp; his PAID puppet Pros Atty #KimShady
https://t.co/4XdYFMKz4D</t>
  </si>
  <si>
    <t>RT @SiddonsDan3: “We have to build the wall so that there's a symbol of a right and wrong way to come into this country.”
@kelliwardaz #AZS…</t>
  </si>
  <si>
    <t>@RepAnnWagner https://t.co/4XdYFMKz4D</t>
  </si>
  <si>
    <t>@JackSuntrup @stltoday https://t.co/4XdYFMKz4D</t>
  </si>
  <si>
    <t>#Moleg "Investigative" Committee disregarded Judges warning that it would be reckless to publish their report before Gov #Greiten's trial!
Their VULGAR Doc  exposes this FARCE of an "Investigation"
ie. Ex husb wasn't pressed to disclose $ amt &amp;amp; the identity of ppl FUNDING HIM! https://t.co/GtbnZZtaZJ</t>
  </si>
  <si>
    <t>RT @DeplorableGoldn: 💣The Real Reason Why Trump Ordered the Military to the Border💥
 https://t.co/OZlR9ZjOmW</t>
  </si>
  <si>
    <t>RT @USATrump45: RETWEET if you're glad the RINO Paul Ryan is retiring!
#DrainTheRINOSwamp #DrainTheSwamp #FirePaulRyan #RINO https://t.co/…</t>
  </si>
  <si>
    <t>RT @LATiffani1: Damn.  
Mr. “I don’t know” nuthin’ #Zuckerberg is exactly like his crony, Crooked Hillary. 
Lies. Denies. Doesn’t know AN…</t>
  </si>
  <si>
    <t>RT @RightWingAngel: 🙏😢😇🧡This little girl is being bullied and ostracised, even at lunch"I feel so alone": Heartbreaking video shows an incr…</t>
  </si>
  <si>
    <t>RT @Sticknstones4: @KMOV Kmov &amp;amp; @LaurenTrager iniated  an unwanted  interview on a single mother at her work &amp;amp; an unwanted release of the t…</t>
  </si>
  <si>
    <t>RT @DaynaGould: @BigLeague2020 @Hope4Hopeless1 @SykesforSenate I Agree 100% SYKES Would Be A Swamp SNAKE KILLER !  Unlike @HawleyMO who is…</t>
  </si>
  <si>
    <t>@gocrazy4cards @EricGreitens @MissouriGOP @robschaaf Sadly, there are a lot at #Moleg like .@robschaaf that are prooving #MISSOURIANS need to do some serious HOUSECLEANING!
EVERYONE that's not fighting this attempt to UNSEAT our DULY ELECTED Gov#Greitens before his Right of Due Process is JUST AS GUILTY!!!
https://t.co/jGab1pDFbX</t>
  </si>
  <si>
    <t>@robschaaf @philip_saulter @DaynaGould @mcbridetd #Moleg an ethical &amp;amp; responsible Lawmaker would never ACTIVELY work to deny an American Citizen their Right to Due Process of Law. Our DULY ELECTED Gov #Greitens IS INNOCENT UNTIL PROVEN GUILTY IN THE COURT OF LAW &amp;amp; you .@robschaaf are leading a politically motivated #WITCHHUNT https://t.co/ipfVDWlMEm</t>
  </si>
  <si>
    <t>RT @gocrazy4cards: @philip_saulter @robschaaf @DaynaGould @mcbridetd @EricGreitens @MOGOP_Chairman @MissouriGOP @MOHouseGOP Why can't you l…</t>
  </si>
  <si>
    <t>RT @gocrazy4cards: @philip_saulter @robschaaf @DaynaGould @mcbridetd @EricGreitens Is the @MOGOP_Chairman or @MissouriGOP or @MOHouseGOP li…</t>
  </si>
  <si>
    <t>RT @philip_saulter: @robschaaf @DaynaGould @mcbridetd I read all 24 pages.  Nothing but unsubstantiated claims, admitted "contradictory" st…</t>
  </si>
  <si>
    <t>RT @DeplorableGoldn: RT-ING 🚨
"This was an entirely consensual relationship, and any allegation of violence or sexual assault is false. Thi…</t>
  </si>
  <si>
    <t>RT @KCTV5: "This was an entirely consensual relationship, and any allegation of violence or sexual assault is false. This was a months-long…</t>
  </si>
  <si>
    <t>@joel_capizzi @SykesforSenate https://t.co/fP3d5jY9Cs</t>
  </si>
  <si>
    <t>RT @joel_capizzi: No doubt about it, Mitch and the Republican establishment would rather have a Democrat seated in the US Senate than have…</t>
  </si>
  <si>
    <t>RT @MarcCox971: No one is more sick about this than I am. I’ve been friends with @jallman971 for 25 years. He’s a good man, and great conse…</t>
  </si>
  <si>
    <t>RT @Hope4Hopeless1: Missourian Mark Twain spoke of the IMPORTANCE of Term Limits. To help CLEAN UP DC &amp;amp; put #AmericaFirst  @SykesforSenate…</t>
  </si>
  <si>
    <t>RT @intheMatrixxx: #RETWEEET if you want TRAITOR @SenJohnMcCain to TURN HIMSELF IN.  Stop lying. THIS 🇺🇸 NOT THIS 🇸🇾! We see you. 😡
We do…</t>
  </si>
  <si>
    <t>RT @CoreyLMJones: “I am very committed to making sure that Facebook is a platform for all ideas.”
-#Zuckerberg
Apparently not...
Diamond a…</t>
  </si>
  <si>
    <t>RT @Sticknstones4: 🚨RT  and wish @EricGreitens  a
Happy Birthday today 
 H A P P Y   B I R T H D A Y 
 Governor Greitens 
#missouri #grei…</t>
  </si>
  <si>
    <t>RT @Hope4Hopeless1: @joel_capizzi @MDarleneSykes @SykesforSenate @sykesforsenate is THE straightforward NONpolitically correct US Senate ca…</t>
  </si>
  <si>
    <t>RT @Hope4Hopeless1: I was in tears listening to President Trump's loving call to the widow of Army Staff Sgt. Mark R. De Alencar. https://t…</t>
  </si>
  <si>
    <t>RT @Hope4Hopeless1: @thabulldog34 @joel_capizzi @SykesforSenate @SenateMajLdr @POTUS I so agree! We're in good hands of Sun Tzu Master(s) &amp;amp;…</t>
  </si>
  <si>
    <t>RT @StevenDialTV: This is a big development. There is a gag order on the criminal case. But the judge said it would be “reckless of the sta…</t>
  </si>
  <si>
    <t>RT @Sticknstones4: But @SenatorNasheed you had a loaded gun 
In a crowd 
https://t.co/Z1g1WFXubB
#moleg #2a #stlboa #Missouri #stl #mosen…</t>
  </si>
  <si>
    <t>RT @VisioDeiFromLA: Democrats been paying twitter to promote their final 4 attack ads on #greitens. Funny how that's ok, but this isnt? No…</t>
  </si>
  <si>
    <t>RT @SykesforSenate: Godspeed USS Donald Cook. #MAGA #MOSen https://t.co/oDr6vETaVn</t>
  </si>
  <si>
    <t>RT @JW1057: Friend just sent this!
#moleg #mogov #greitens #GreitensIndictment #KimShady https://t.co/NXaNi2LBv5</t>
  </si>
  <si>
    <t>RT @JW1057: https://t.co/zO1s9YilO9</t>
  </si>
  <si>
    <t>RT @SykesforSenate: Unfortunately Trump can't fire YOU, Claire. Missouri will have to take care of that in November.  #FireMueller #FireCla…</t>
  </si>
  <si>
    <t>RT @TeriGRight: April is #AutismAwarenessMonth
Are #Autism #Parents aware of the negative impact of #CommonCore on their kids? 
https://t.c…</t>
  </si>
  <si>
    <t>RT @politicalHEDGE: Lets Make It a Great Week!
🏛️ Grab your barf-bag - here is Facebook CEO Mark Zuckerberg's holier-than-thou, we'll-prot…</t>
  </si>
  <si>
    <t>@frankplaza_ @Shawtypepelina @magathemaga1 @TeamGreitens @EricGreitens @realDonaldTrump @gagemitchusson @DailyCaller @MissouriGOP @MSTLGA There should have never been an indictment and you're either too brainwashed, ignorant or dense to realize it. I think you're probably all three and not worth my time to deal with. Bye FRANK.</t>
  </si>
  <si>
    <t>@frankplaza_ @Shawtypepelina @magathemaga1 @TeamGreitens @EricGreitens @realDonaldTrump @gagemitchusson @DailyCaller @MissouriGOP @MSTLGA The way to avoid this, is to not have SOROS FUNDED COMMIES trying to take over our Country by whatever unethical means they can manage. In this case they got a dumbass Racist Activist "attorney" whose filthy corrupt &amp;amp; willing to lie/cheat to indict an innocent man!</t>
  </si>
  <si>
    <t>RT @Speedcomesfirst: Q. Why doesn’t this brilliant columnist and author of #Londonistan @MelanieLatest get the praise she fully deserves!?…</t>
  </si>
  <si>
    <t>RT @ClintonMSix14: I'm betting that 200 Million plus Trump supporters says we won't let you impeach our President. How's That!!
@realDonal…</t>
  </si>
  <si>
    <t>RT @RubyRockstar333: Tweets have surfaced of Twitter CEO @jack &amp;amp; Board Member Evan Williams promoting an article that declares the way to w…</t>
  </si>
  <si>
    <t>@rockintoneeo @DaynaGould @Str8DonLemon @TeamGreitens @ninekiller @SKOLBLUE1 @Sticknstones4 @AllenTruitt1 @EricGreitens @TuckerCarlson @YearOfZero @SpeakerTimJones No Bob, I'll let you flatter yourself because you seem to do it so well. Hey your Bio's looking a little sparse, you might want to include your athletic achievements, oh wait you have some of those listed too. Maybe you could brag about the BIG ASS truck you probably own, lol</t>
  </si>
  <si>
    <t>@DaynaGould @rockintoneeo @Str8DonLemon @TeamGreitens @ninekiller @SKOLBLUE1 @Sticknstones4 @AllenTruitt1 @EricGreitens @TuckerCarlson @YearOfZero @SpeakerTimJones Circuit Court of St Louis would probably issue Bob a Restraining Order if he tells them he thinks he dreamt he was being stalked.</t>
  </si>
  <si>
    <t>@rockintoneeo @Str8DonLemon @TeamGreitens @ninekiller @SKOLBLUE1 @Sticknstones4 @AllenTruitt1 @EricGreitens @TuckerCarlson @YearOfZero @SpeakerTimJones Oh come on Professor Bob, I thought we were having fun! https://t.co/vt58Nw5hEl</t>
  </si>
  <si>
    <t>@rockintoneeo @Str8DonLemon @TeamGreitens @ninekiller @SKOLBLUE1 @Sticknstones4 @AllenTruitt1 @EricGreitens @TuckerCarlson @YearOfZero @SpeakerTimJones Bob, your a smart boy, you know exactly the point I was making and your smug reply just confirms my suspicion. Oh, and BTW your braggadocious Bio is way over the top, and gives you away.</t>
  </si>
  <si>
    <t>@rockintoneeo @Str8DonLemon @TeamGreitens @ninekiller @SKOLBLUE1 @Sticknstones4 @AllenTruitt1 @EricGreitens @TuckerCarlson @YearOfZero @SpeakerTimJones Hey Bob, it's been my experience that people who feel the need to tell others how intelligent they are, usually are trying to hide their inadequacy. Now, take someone like yourself that feels the need to inform the world of their IQ in their twitter Bio seriously, what ya hiding?</t>
  </si>
  <si>
    <t>RT @5Strat: For anybody that wants to know what's wrong with the Republican Leadership in Congress? Look at this long and hard... #MAGA #QA…</t>
  </si>
  <si>
    <t>RT @LizCrokin: Reporter: Are you afraid about what the FBI might find?
President Trump: No. 
He didn't even flinch! #QAnon</t>
  </si>
  <si>
    <t>RT @LauraLoomer: The @FBI seems to have activated the entire organization to investigate whether or not Trump's lawyer communicated with St…</t>
  </si>
  <si>
    <t>RT @_VachelLindsay_: 5. Does anyone really believe that Cohen, one of America's top lawyers, is going to leave incriminating evidence aroun…</t>
  </si>
  <si>
    <t>RT @masuruha2: @TomFitton @realDonaldTrump The timing of this raid is strange, right at a time when there has been a chemical weapons attac…</t>
  </si>
  <si>
    <t>RT @VisioDeiFromLA: When people begin to look at the #GreitensIndictment closer, they begin to realize even more that it is a complete...…</t>
  </si>
  <si>
    <t>@blackwidow07 @VisioDeiFromLA @JW1057 @McCaskill4MO @EricGreitens @blackwidow07 I'm sincerely tryin to understand the point you're making in this tweet. Are you saying that the obvious problems w/@KimGardnerSTL #GreitensIndictment that reeks of an illegal attempt by LIB ACTIVISTS #Moleg to UNSEAT OUR Gov may get #ComradeClaire ousted frm power?</t>
  </si>
  <si>
    <t>RT @SykesforSenate: Read up: https://t.co/96NS9LN670 
Sign up for my weekly newsletter: https://t.co/WccodpxnqC 
Watch my videos: https:/…</t>
  </si>
  <si>
    <t>RT @SykesforSenate: Who is the REAL fighter. You be the judge. #FireClaire
Donate, sign up, help out https://t.co/tKR6KMUYGi 
#SendSykes…</t>
  </si>
  <si>
    <t>RT @lycanindustries: @CONSPIRACYlinks
TRUMP - We're pulling outta Syria
Globalist - Hold our Beer (Gas Attack #Falseflag)
TRUMP - We'll…</t>
  </si>
  <si>
    <t>RT @SykesforSenate: Nice try @SenateMajLdr and @SpeakerRyan. It seems @realDonaldTrump and #freedomcaucus will be saving the American peopl…</t>
  </si>
  <si>
    <t>RT @SykesforSenate: Go get 'em @paulcurtman.  https://t.co/Qw6lmntQep</t>
  </si>
  <si>
    <t>RT @gal_deplorable: In case you had any doubt what side @SpeakerRyan was on...it's not ours.
#QAnon https://t.co/BBq0f8YHMq</t>
  </si>
  <si>
    <t>RT @yetigiant: Too many of our congressmen vote against the constitution. Voting records of congress can be found at https://t.co/3UGM0XTtb…</t>
  </si>
  <si>
    <t>RT @thelastbrunnang: @Shawtypepelina @KimGardnerSTL @StLouisCityCA @SentinelKSMO Charge the Prosecutor!!</t>
  </si>
  <si>
    <t>RT @magathemaga1: Today, I'll be standing on busy street corner with sign, "I want to know why democrats choose illegal aliens over black l…</t>
  </si>
  <si>
    <t>RT @JerieQuinty: Israel has accused Damascus of allowing Iran to set up a complex at the T-4 base to supply arms to its ally, Lebanon's Hez…</t>
  </si>
  <si>
    <t>RT @JerieQuinty: @Jnathn03Reyes @mimimonger @txlady706 @ScheyChris @ThomasWictor Is it more about Iran for the Israelis? It’s in Israels in…</t>
  </si>
  <si>
    <t>.@Hope4Hopeless1 FOLLOWERS I apologize, my feed just stops, so I know I'm not seeing a large fraction of your tweets! https://t.co/p7bVjbt1v7</t>
  </si>
  <si>
    <t>RT @its7just2me: Never Ever Forget! MAGA is the Majority of the USA... time to fight for Nov 6th 2018. If Trump doesn't get a Super-Majorit…</t>
  </si>
  <si>
    <t>RT @DEFCONWSALERTS: Syrian television reports military attack in Syria.  Claims United States source of attack.
Working to verify.</t>
  </si>
  <si>
    <t>RT @DEFCONWSALERTS: United States says they have not launched an attack against Syria at this time.</t>
  </si>
  <si>
    <t>RT @DEFCONWSALERTS: Our belief is that the United States denial of military action is true.  Any military action in Syria must be another a…</t>
  </si>
  <si>
    <t>RT @YearOfZero: @JW1057 @JohnLamping @EricGreitens @KMOV @LaurenTrager @sarahfenske @FOX2now @KurtEricksonPD @rxpatrick Don’t expect major…</t>
  </si>
  <si>
    <t>RT @JW1057: @JohnLamping It is a shame that there are no real journalist in MO. The reporter who blows open the conspiracy against @EricGre…</t>
  </si>
  <si>
    <t>RT @magathemaga1: @september_gurl @thehill @EricGreitens @tonymess @Hope4Hopeless1 @MSTLGA @DaynaGould @MOHouseGOP @Sticknstones4 @stlyrs @…</t>
  </si>
  <si>
    <t>RT @magathemaga1: @september_gurl @thehill @EricGreitens I care about illegal use of the criminal justice apparatus to target political opp…</t>
  </si>
  <si>
    <t>RT @magathemaga1: @september_gurl @thehill @EricGreitens Says U. Obviously he won vote by a good margin. Not excuse 2 dispense with due pro…</t>
  </si>
  <si>
    <t>RT @PeterSweden7: 1. Trump announces plan to pull out of Syria.
2. Establishment strongly against it.
3. Russia warns of potential false fl…</t>
  </si>
  <si>
    <t>RT @JAMsMa: Oops... That's 👇gonna leave a mark
3.5 million DEAD
How's that popular vote thing go again?
#VoterFraud
#VoterID
U.S. Has 3.…</t>
  </si>
  <si>
    <t>RT @MikeTokes: Global elites gameplan:
Step 1. Manufacture evidence to frame your political opposition
Step 2: Fund hundreds of activist…</t>
  </si>
  <si>
    <t>RT @KamVTV: Maxine Waters doesn’t want anyone to know that she is relocating 41,000 Somalian Refugees in to #LosAngeles. https://t.co/cAkAF…</t>
  </si>
  <si>
    <t>RT @hrtablaze: Dear @realDonaldTrump , it doesn't seem fishy that Assad " gassed his own people"  after you said you were going to withdraw…</t>
  </si>
  <si>
    <t>RT @ExtinctMedia: .@SenJohnMcCain didn't just meet with Abu Bakr al Baghdadi in Syria. He also helped @HillaryClinton &amp;amp; @BarackObama arm an…</t>
  </si>
  <si>
    <t>RT @ExtinctMedia: Assad gassing his own people is like someone who is about to win the Boston marathon, stopping a yard short to clip his t…</t>
  </si>
  <si>
    <t>RT @SKYRIDER4538: My only maternal uncle was diagnosed with cancer last year,at 54. It is now a stage 3/4 deemed 2 be terminal. Yesterday h…</t>
  </si>
  <si>
    <t>RT @REALDONALDPEPE: This shit is so absurd that these elites have gained this power and now @realDonaldTrump has to line everything up befo…</t>
  </si>
  <si>
    <t>RT @AP: BREAKING: U.S. officials: The United States is not carrying out airstrikes in Syria</t>
  </si>
  <si>
    <t>RT @realDonaldTrump: Why is Senator John McCain in Syria visiting with the rebels- MAKE AMERICA GREAT AGAIN!</t>
  </si>
  <si>
    <t>RT @alohabrianb: 📍Must Have Talk📍
Unify Conservatives!
•My local Trump Club 
 153 attendees. 
•My local GOP Club 
 17 attendees.
Let's Talk…</t>
  </si>
  <si>
    <t>https://t.co/xJh0zPKY9o</t>
  </si>
  <si>
    <t>Here's a great thread highlighting some of the points of this MASSIVE ASSAULT ON OUR FREEDOMS &amp;amp; OUR JUSTICE SYSTEM!
#WeThePeople CANNOT ALLOW this to go UNCHECKED or EVERY American is at risk of having their lives DESTROYED by FRAUDULENT INDICTMENTS!
#Moleg
#GreitensIndictment https://t.co/n1YSSZy5oK</t>
  </si>
  <si>
    <t>RT @FoxNews: States sending troops to Mexico border. https://t.co/lROHVeMd6u</t>
  </si>
  <si>
    <t>RT @SykesforSenate: WATCH THIS: https://t.co/5mXjBmpotL
#DraintheSwamp #CodeOfVets #MAGA #SykesforSenate https://t.co/EX1s2uxAq9</t>
  </si>
  <si>
    <t>RT @FoxNews: BREAKING: North Korea tells the Trump administration that it is ready to discuss denuclearization. https://t.co/gR9KrFO9gw</t>
  </si>
  <si>
    <t>RT @Rebeccasarver14: EXCLUSIVE: Obama/Clinton secret operation handed Port Canaveral cargo container terminal to brother/business partner o…</t>
  </si>
  <si>
    <t>https://t.co/CQl5mIZ0EK</t>
  </si>
  <si>
    <t>RT @offblacks4trump: I am a 13 year old black male. 
I come from a family of regular hardworking Americans.
The media tells me that I shoul…</t>
  </si>
  <si>
    <t>RT @Hope4Hopeless1: @DrMartyFox @jko417 Haha THE NEW #AmericaFirst version of "CATCH &amp;amp; RELEASE" put up WARNING SIGNS in Spanish DO NOT ENTE…</t>
  </si>
  <si>
    <t>@DrMartyFox @jko417 Haha THE NEW #AmericaFirst version of "CATCH &amp;amp; RELEASE" put up WARNING SIGNS in Spanish DO NOT ENTER or you WILL BE CAUGHT &amp;amp; RELEASED BACK INTO Mexico!!! And line the border w/ 10' wide STICKY TRAPS!!!</t>
  </si>
  <si>
    <t>RT @DrMartyFox: The #CaravanOfIllegalls Is One Big Organized 
Anti #PresidentTrump  INVASION
If They Break Up Into Smaller Groups They Wil…</t>
  </si>
  <si>
    <t>RT @Melanie22933709: Happy Sunday, Patriots!
Here's your Sunday Freedom quote : 
"Children should be educated and instructed in the princi…</t>
  </si>
  <si>
    <t>RT @EyeGloArts: Yeah dipstick, that is kinda sorta the whole reason we elected @realDonaldTrump to #DrainTheSwamp in the first place :p #Su…</t>
  </si>
  <si>
    <t>PLEASE??? I'm BEGGING for #WeThePeople to take the time to READ this LETTER to #Moleg that CLEARLY OUTLINES the #DeepState ATTEMPT to UNSEAT #MO GOV
#GreitensIndictment 
■ &amp;amp; PLEASE TRY TO GET THIS TO THE ATTN of EVERY US Citizen especially in #MISSOURI
https://t.co/fblUERCvod</t>
  </si>
  <si>
    <t>RT @AllenTruitt1: How can we, as Americans, allow this kind of misuse of our Justice system? Allowing political rivals to finance an invest…</t>
  </si>
  <si>
    <t>RT @Hope4Hopeless1: @joel_capizzi @SykesforSenate #RINO @AP4Liberty is DESPERATE to be a career politician &amp;amp; WILL BE WHOEVER or WHATEVER he…</t>
  </si>
  <si>
    <t>RT @Sticknstones4: @NewsTribune @EricGreitens So Many developments coming to light in greitens
1-Stl circuit attorney has a mo bar complain…</t>
  </si>
  <si>
    <t>RT @LisaMei62: 2. Clowns want to start a war via Syria chem attack to deflect fm impending OIG rptt fall out/unsealed indictments &amp;amp; arrests…</t>
  </si>
  <si>
    <t>RT @LisaMei62: 7. This meme sums it up nicely. https://t.co/D77bSuD38i</t>
  </si>
  <si>
    <t>RT @EricTrump: Thank you to the amazing men and women of the NYFD who extinguished a fire in a residential apartment at @TrumpTower. The @F…</t>
  </si>
  <si>
    <t>RT @SiddonsDan3: “For decades, we’ve very sadly depleted our own military; We’ve defended other nations’ borders while refusing to defend o…</t>
  </si>
  <si>
    <t>RT @MAGA_Len: Sportsman’s Warehouse has a new CEO, that says “Gun Grabbers can go home! We will help Americans support their #SecondAmendme…</t>
  </si>
  <si>
    <t>RT @JW1057: @TeamGreitens @LaurenTrager @SpeakerTimJones @AllmanReport @rossgarber @Sticknstones4 @VisioDeiFromLA 
See following Tweets -…</t>
  </si>
  <si>
    <t>RT @Sticknstones4: @AllmanReport ran a great interview with Mo Rep @paulcurtman filing a bar complaint against #stl circuit attorney Kim Ga…</t>
  </si>
  <si>
    <t>RT @charliekirk11: Jay-Z is worth $810 million dollars and wants to lecture us about why white men have all the privilege in the US 
Only…</t>
  </si>
  <si>
    <t>RT @RETUSAF1STSGT: @jimmykimmel @seanhannity @jimmykimmel sponsors
Applebee's
Buick
Chase Bank
Claritin
Crown Royal
Dairy Queen
Delta Fauce…</t>
  </si>
  <si>
    <t>RT @MAGA_Lives: @sdc0911 @pinkk9lover DNC convention when ICE agents show up. https://t.co/eRzF6UEYDQ</t>
  </si>
  <si>
    <t>RT @townhallcom: Wait–Did Twitter’s CEO Just Share A Post Calling For 'Civil War,' Wiping Out The GOP, And How We Should Be Like CA? https:…</t>
  </si>
  <si>
    <t>RT @Saminsunderland: @NonaHarman https://t.co/j0bpz9ZrBj</t>
  </si>
  <si>
    <t>RT @SpeakerTimJones: Hey Tweeps! @staceynewman - one of the most mean spirited leftwing liberal lunatics I ever had the displeasure of serv…</t>
  </si>
  <si>
    <t>RT @DeadofKnight68: My 93 year old WWII veteran father-in-law singing.  He sings every day at the cemetery to grandma. God, Family, Country…</t>
  </si>
  <si>
    <t>RT @disings: #DearDonaldJTrump 
Americans all over this beautiful country are breathing a sigh of relief because we know that we now have a…</t>
  </si>
  <si>
    <t>RT @5Strat: Today at 5pm PST/8pm EST we pray for our fellow Americans that are not yet awake to be awakened to the truth around them. Pray…</t>
  </si>
  <si>
    <t>@ColumbiaBugle Haha, it looks like this Communist pussy deleted his tweet.</t>
  </si>
  <si>
    <t>RT @CraigRSawyer: This is a positive development. 👍Nothing good was happening on Backpage. Wherever else the predators go to prey upon kids…</t>
  </si>
  <si>
    <t>RT @TrumpCard45: This cartoon is being banned from FaceBook. Share it far and wide! #LoonyLibs https://t.co/2XRg2vrIaM</t>
  </si>
  <si>
    <t>RT @FedupWithSwamp: Nice! https://t.co/NPWFQ2udKB</t>
  </si>
  <si>
    <t>RT @VisioDeiFromLA: “UPDATE: This morning, a law enforcement whistleblower ... came forward (with) news that the (CA) that is the subject o…</t>
  </si>
  <si>
    <t>RT @ownasmallbiz: 🙏Praying for Brave Fallen Hero
Maj. Stephen Del Bagno  #TheStorm
#QAnon #breadcrumbs 4/5
Coincidence or silent war?
Pray.…</t>
  </si>
  <si>
    <t>@Liberty__Q @TwitterSupport Yes! Same! I found this in a hashtag search.</t>
  </si>
  <si>
    <t>RT @awaken_to_maga: @realDonaldTrump @POTUS @realDonaldTrump #WeThePeople are begging you to please SHUT DOWN #OperationMockingbird or what…</t>
  </si>
  <si>
    <t>RT @RobLowe: The secret to @therealroseanne massive ratings is that it celebrates people with huge political differences who are able to la…</t>
  </si>
  <si>
    <t>RT @alohabrianb: These two Love Birds needed to 'get a room'. 
#Zuckerberg #Bromance https://t.co/102WPHVTFR</t>
  </si>
  <si>
    <t>RT @hrtablaze: Don't believe the lie that hispanics don't support Trump.  Legal Hispanics like this passionate man do ! California is wakin…</t>
  </si>
  <si>
    <t>RT @IWillRedPillU: @VivaLaAmes12 @hiphughes @hrtablaze &amp;gt;why do people remain anonymous
I'll give an example
I attend Florida State Univer…</t>
  </si>
  <si>
    <t>RT @Meonly1218: @chuckwoolery @Hope4Hopeless1 Here's another Trey Gowdy champion that's very disappointed that such a litigator would say "…</t>
  </si>
  <si>
    <t>RT @Steel_Ironwork: @BarackObama will go down in history as the most corrupt president of all time.
The truth is coming out and soon he'll…</t>
  </si>
  <si>
    <t>RT @TomiLahren: This is really powerful. If you’re wondering what it’s like to be a law enforcement officer, check this out. Made me cry. h…</t>
  </si>
  <si>
    <t>RT @annvandersteel: FINALLY!! A candidate and #GoldStarMom who is going to PRIMARY @BrianMastFL   His advocating on TV to infringe our #2A…</t>
  </si>
  <si>
    <t>RT @alpha1dawg: When you’re so #DeepState that you brag about how #DeepState you are..and about how long you’ve been #DeepState. Justice is…</t>
  </si>
  <si>
    <t>RT @AngelCityTV: @theresa_may @Conservatives Explain this shit?! #Merkel #May #Grybauskaite #cabal #truth #Liars https://t.co/zD8Njz76vt</t>
  </si>
  <si>
    <t>RT @C52324: How did Soros replace family ‘y’?
Who is family ‘y’? 
Trace the bloodlines of these (3) families.
(Q)
#qanon #Merkel #May #Gryb…</t>
  </si>
  <si>
    <t>RT @brutalistPress: Big Government Is CORRUPT! https://t.co/0TREBCWpZy https://t.co/txXGyPB73r</t>
  </si>
  <si>
    <t>RT @Juliet777777: WHILE #OBAMA WAS SMOKING POT WITH HIS FRIENDS
#DONALDTRUMP WAS BUILDING AN EMPIRE  #TRUMP https://t.co/j3FDrOZemB</t>
  </si>
  <si>
    <t>RT @Pro_2A_AZ: Not a great photo but this was earlier this afternoon https://t.co/OKZ7FbSWZA</t>
  </si>
  <si>
    <t>RT @QanonPosts: While patriots were praying for our nation and our president, Hillary was busy visiting a witch coven.
#QAnon https://t.co/…</t>
  </si>
  <si>
    <t>RT @seanhannity: Hero https://t.co/abFkr3kboH</t>
  </si>
  <si>
    <t>RT @SurfPHX: 📍’Roseanne’ Gets Monster Ratings For The Second Week In A Row!!! 🙌🏻
📍15.2 Million Viewers!
 https://t.co/SnaeORKX3U</t>
  </si>
  <si>
    <t>RT @StacyLStiles: #HealTheWorldIn5Words 
Lock Her A$$ Up Now. https://t.co/085OlffDhv</t>
  </si>
  <si>
    <t>RT @LaunaSallai: Dems Release Tax Hike Plan 
This wk, Congressional Democrats released a detailed tax hike plan that they promised 2 implem…</t>
  </si>
  <si>
    <t>RT @SiddonsDan3: “Nolan was diagnosed with HLH. HLH is a life threatening immunodeficiency with common symptoms of fevers, low blood counts…</t>
  </si>
  <si>
    <t>RT @joel_capizzi: Errand boy Josh Hawley still refuses to defend Trump against sugar daddy John Danforth's harsh criticism of the President…</t>
  </si>
  <si>
    <t>RT @TrumpTrainMRA4: #AutismAwarenessDay 2018 https://t.co/ER2ZA8Msmg</t>
  </si>
  <si>
    <t>RT @SebGorka: You voted for the US Communist Party in 1976, at the height of the Cold War when the Soviets wanted to destroy America.
You…</t>
  </si>
  <si>
    <t>RT @JackPosobiec: The fmr head of the CIA is now under investigation for leaking classified information in order to sway the 2016 election…</t>
  </si>
  <si>
    <t>RT @chuckwoolery: I was warned 2 years ago about #TreyGowdy. I didn't believe them. Now I do. Gives good speeches for TV and does nothing.…</t>
  </si>
  <si>
    <t>@paul_serran Extremely well deserved!!! You stand out as a very principled and wise source of information here on Twitter and we very much appreciate you!</t>
  </si>
  <si>
    <t>RT @thebradfordfile: Time to decreep your life.
#DeleteFacebook https://t.co/ZNoMgaX1dS</t>
  </si>
  <si>
    <t>RT @CaliConsrvative: President Trump destroyed ISIS and hes suing the California State Government.
Can you say "enemies both foreign and d…</t>
  </si>
  <si>
    <t>RT @REALDONALDPEPE: It's coming #Pizzagate #Pedogate https://t.co/iORYb2M8Nd</t>
  </si>
  <si>
    <t>RT @Scavino45: Presidential Memorandum to Authorize the Deployment of the National Guard to the Southern Border: https://t.co/DAWSZfIAJ2</t>
  </si>
  <si>
    <t>RT @rocksiphone: @SykesforSenate @HawleyMO @SenateMajLdr When you hear a republican flip flop about the wall and talk about fences, you kno…</t>
  </si>
  <si>
    <t>RT @RealEagleWings: National Guard Going to Border, DHS wants Military Installations' Built 
God Bless them🙏🏻🇺🇸 https://t.co/oOLLodx9vi htt…</t>
  </si>
  <si>
    <t>RT @alohabrianb: @FLOTUS #BestFLOTUS 
#AwesomeFLOTUS 🇺🇸
Think she's beautiful on the outside...wait until you understand her amazing spirit…</t>
  </si>
  <si>
    <t>@LisaMei62 @POTUS Why is NG underscored with ••••••••••? There are 10, I don't know if that's significant.</t>
  </si>
  <si>
    <t>@LisaMei62 Yes there is 1014 that has been shopped with lines added.</t>
  </si>
  <si>
    <t>@Robzmob @whitewolf2226 @bchapman151 https://t.co/uSVY0sJCCn
Notice on HOME pg announcement the word patience is mispelled patients .</t>
  </si>
  <si>
    <t>RT @Buffmuff69: Patriot Battle-Cry and a warning to The Deep State..Enjoy #TheGreatAwakening #QanonPosts #qanon https://t.co/6MiXhiIxms htt…</t>
  </si>
  <si>
    <t>RT @Nov2018election: @joel_capizzi Build that wall!! https://t.co/bP7PNQuqot</t>
  </si>
  <si>
    <t>RT @joel_capizzi: Here's Courtland Sykes position on immigration and Trump's wall. Josh Hawley's is nowhere to be found, but don't take my…</t>
  </si>
  <si>
    <t>RT @RoseanneOnABC: Normally we don't trust strangers, but these people seem to know what they're talking about. #Roseanne is back TONIGHT a…</t>
  </si>
  <si>
    <t>@gal_deplorable @VickieFindley2 Yep, that "there's nothing to see here folks, now move along" SHIT isn't working anymore!
#TheGreatAwakening 
#ExposingEvil
#DemandingJustice https://t.co/8jWLs47HNL</t>
  </si>
  <si>
    <t>RT @KatTheHammer1: America:  The only country in the world where people check their food stamp balance on a $800 smartphone and complain ab…</t>
  </si>
  <si>
    <t>RT @joel_capizzi: @LisaTomain So does Mitch's #1 recruit RINO, golden boy, ladder-climbing-career-politician Josh Hawley need to go, who RE…</t>
  </si>
  <si>
    <t>RT @HyltonRobin: 🇺🇸IN🇺🇸IT🇺🇸TO🇺🇸WIN🇺🇸IT🇺🇸
✔️MISSOURI
✔️VOTE 
✔️COURTLAND SYKES 
       @SykesforSenate 
✔️FOR US SENATE🇺🇸
✔️CONSERVATIVE…</t>
  </si>
  <si>
    <t>RT @_FranklinWright: Trump to Mobilize National Guard to Help Secure the Border https://t.co/uyD4SCuy4W</t>
  </si>
  <si>
    <t>RT @Sticknstones4: @stltoday Why No Coverage of this ? 
https://t.co/EmZlDH8gAc</t>
  </si>
  <si>
    <t>RT @realDonaldTrump: WE WILL PROTECT OUR SOUTHERN BORDER! https://t.co/Z7fqQKcnez</t>
  </si>
  <si>
    <t>RT @MEL2AUSA: 🚨NON POLITICAL TWEET 
Isn’t it funny how owners look like their pets.😂😂😂😂😂 https://t.co/kziyUtBhHN</t>
  </si>
  <si>
    <t>RT @LordBagshaw: Most people aren't ready for the red pill.
How many of us have shown friends and family proof and watched as they rejecte…</t>
  </si>
  <si>
    <t>RT @RealEagleWings: .@therealroseanne @birdankle @GREENESJ333 @SG21829707 
This snippet shows a defiant granddaughter as Roseanne tells her…</t>
  </si>
  <si>
    <t>RT @Harry1T6: Sounds Amish https://t.co/gpuOW5klmY</t>
  </si>
  <si>
    <t>RT @joshdcaplan: #YouTube HQ shooting eyewitness: “I didn’t have a gun on me, but wish I did.” https://t.co/GsBuNHatm0</t>
  </si>
  <si>
    <t>@darthhatter00 @KimDotcom @JulianAssange  https://t.co/3XmhdMw9dw</t>
  </si>
  <si>
    <t>RT @FernBrackens: Thank you President Trump! 
💥Protect our Borders!
💥Protect our Sovereignty!
💥Protect our Legal Citizens!
#BuildTheWallNo…</t>
  </si>
  <si>
    <t>RT @nickmon1112: Second YouTube shooter eyewitness account that I saw deleted. The poster said they deleted it because their friend didn't…</t>
  </si>
  <si>
    <t>RT @nickmon1112: There are two deleted YouTube shooter eyewitness accounts. Given the circumstances, it feels pertinent to share these.
Fi…</t>
  </si>
  <si>
    <t>RT @TnParafreak: David Hogg on his way to YouTube HQ's 👇👇 #TuesdayThoughts https://t.co/2Ff5xlIrZD</t>
  </si>
  <si>
    <t>RT @AmericaFirstPAC: RT if you agree with @realDonaldTrump: We cannot have people flowing into our country ILLEGALLY, disappearing, and the…</t>
  </si>
  <si>
    <t>@MargaretsBelly I'm pretty sure this looks like her with drunk Killary thanking all her Activist Bitches. https://t.co/cEwG1Ww8pZ</t>
  </si>
  <si>
    <t>RT @realDonaldTrump: #AutismAwarenessDay #LightItUpBlue https://t.co/JAzSE6yEes</t>
  </si>
  <si>
    <t>RT @StockMonsterVIP: President Trump brought his
A Game to Baltic State press conference...... PRICELESS! 
 “Pick a reporter please...  Yo…</t>
  </si>
  <si>
    <t>RT @fitnessrecipe5: This woman is truly a disgusting human being. She has justified bullying Nikolas Cruz since middle school &amp;amp; retweeted a…</t>
  </si>
  <si>
    <t>RT @FoxNews: BREAKING: Gunshots reported at @YouTube headquarters in California https://t.co/IiVK9XZPOG</t>
  </si>
  <si>
    <t>RT @Breaking911: BREAKING: President Trump says he wants to use military to secure US-Mexico border until wall is built, calls it ‘big step…</t>
  </si>
  <si>
    <t>RT @JeffMontes5: Reality : @realDonaldTrump is having fun coloring easter books with children. 
MSM : why don’t you care about DACA childr…</t>
  </si>
  <si>
    <t>RT @SorosInSTL: Yeah yeah... We know the #GreitensIndictment is a scam!
What do you think I paid all that money for!
Evidence? Who needs…</t>
  </si>
  <si>
    <t>RT @alohabrianb: @realDonaldTrump @ICEgov @SebGorka 
📍MUST WATCH📍
Insta-Wall is AWESOME! 
#BuildTheWall 🇺🇸😁👍
👇Video👇 Plz RT 
https://t.co/…</t>
  </si>
  <si>
    <t>RT @cajunsoulfire74: #JohnPodesta's New Pizza Tie. It's OK #Skippy, We Haven't Forgotten You. #PedoGate #Fatherhood 🍕 https://t.co/6QhIoLZk…</t>
  </si>
  <si>
    <t>RT @ClintonMSix14: Do you know what this photo is from?
A small army of federal agents tried to take Cliven Bundy's land but men equally a…</t>
  </si>
  <si>
    <t>RT @President1Trump: Here are the Patriotic Students of Rockledge Florida high school 🇺🇸 who had their own walk out in support of the Secon…</t>
  </si>
  <si>
    <t>@DeplorableGoldn That is so intense! Those Patriots are fighting for their State &amp;amp; Country! Gave me chills when they cheered the vote and  exuberantly began chanting USA! USA! USA!</t>
  </si>
  <si>
    <t>RT @DeplorableGoldn: RT-ING 🚨
#BREAKING: The #HuntingtonBeach City Council has voted to sue the state of California over its unconstitution…</t>
  </si>
  <si>
    <t>RT @FreedomNJ: @aflores @Cernovich I’m frim Missouri, “Show me.”</t>
  </si>
  <si>
    <t>RT @JW1057: @Sticknstones4 @LydaKrewson hope you took into account the judgment St. Louis is going to have to pay @EricGreitens because of…</t>
  </si>
  <si>
    <t>RT @FLOTUS: The @WhiteHouse is lit up in blue tonight in honor of #AutismAwarenessDay  #LightItUpBlue https://t.co/Y0QMVkZulf</t>
  </si>
  <si>
    <t>RT @Str8DonLemon: Just a reminder #StLouis 
The #GreitensIndictment has very questionable nature and has seemed shady since the onset. Fro…</t>
  </si>
  <si>
    <t>RT @LivemusicCJ: Fixed it, @SpayMsm https://t.co/iqbxQnhMW1</t>
  </si>
  <si>
    <t>RT @SiddonsDan3: PLEASE RETWEET- - - THE BEST SONG I HAVE EVER HEARD ABOUT UNITING GREAT PATRIOTS FOR PRESIDENT DONALD J. TRUMP! ~ TRUMP’S…</t>
  </si>
  <si>
    <t>RT @ScottCharton: Via @AP: @HawleyMO “won’t say whether he considers the Republican president a role model,” and the GOP Senate candidate “…</t>
  </si>
  <si>
    <t>RT @GregAbbott_TX: Texas already has the National Guard and Dept. of Public Safety deployed to the border. https://t.co/HFNfC9ckRH</t>
  </si>
  <si>
    <t>RT @simongerman600: #Infographic sorts national flags by their age. Have a good look at the graphic. It's crazy to remember how new most fl…</t>
  </si>
  <si>
    <t>RT @ClintFalin: listen becky he’s a loser and ok i’m just gonna say it, you’re too good for him. https://t.co/rLnDcmkYvA</t>
  </si>
  <si>
    <t>RT @FM_3883: RED PILL 💊 YOUR FRIENDS &amp;amp; FAMILY WITH #QAnon 
Introduction 🧐 : https://t.co/YKUPsCHxch 
Who is Q ? 👀 : https://t.co/JXXzjuO2d…</t>
  </si>
  <si>
    <t>RT @POLITICSandFUN: About A Woman’s Right To Choose....  Let’s Be Sure EVERY Woman’s Right Is Given.
#TinyLivesAtStake 
#ChooseLife
#ProLi…</t>
  </si>
  <si>
    <t>RT @cigar_hoe: Schumers Lap Dogs will not agree to go Nuclear! https://t.co/OYpaPDBJTJ</t>
  </si>
  <si>
    <t>RT @Nov2018election: MO COURTLAND SYKES FOR US SENATE https://t.co/pGD0lcH3En</t>
  </si>
  <si>
    <t>RT @RealJamesWoods: Just maybe God’s greatest creation... #dogs https://t.co/sDQOZLDFh4</t>
  </si>
  <si>
    <t>@GmanFan45 @MasonBilly87 @POTUS Hahahaha...and tweezers to get a hold of those little boogers.</t>
  </si>
  <si>
    <t>RT @jetrotter: 🔴 ALERT:  Massive Trojan Horse Caravan of Invaders Are Approaching Our Southern Border!
#NoDACA 🇺🇸 #BuildTheWall 👍 https://…</t>
  </si>
  <si>
    <t>RT @davidsh01060735: @JohnNag59075515 @Hope4Hopeless1 @B75434425 @realDonaldTrump This is how they were coming into USA in 2007 when I was…</t>
  </si>
  <si>
    <t>RT @Hope4Hopeless1: @davidsh01060735 @JohnNag59075515 @B75434425 @realDonaldTrump 1/2 Bush signing North American Union Treaty made it offi…</t>
  </si>
  <si>
    <t>RT @Hope4Hopeless1: @davidsh01060735 @JohnNag59075515 @B75434425 @realDonaldTrump 2/2 Sooo...LOL, my sister in CO was having her newly cons…</t>
  </si>
  <si>
    <t>@davidsh01060735 @JohnNag59075515 @B75434425 @realDonaldTrump 2/2 Sooo...LOL, my sister in CO was having her newly constructed home landscaped, so when my 6 yr old came up from playing in their basement &amp;amp; saw Mexicans w/picks &amp;amp; shovels out every window, he started running to the next window screaming, "OH MY GOD, WE'RE BEING INVADED"!!!</t>
  </si>
  <si>
    <t>@davidsh01060735 @JohnNag59075515 @B75434425 @realDonaldTrump 1/2 Bush signing North American Union Treaty made it official that USA was to turn a blind eye. 
I was MAJORLY ALARMED &amp;amp; OUTSPOKEN about this invasion 15yrs ago.  Consequently, my young children were very aware of my concerns. Cont...</t>
  </si>
  <si>
    <t>RT @FedupWithSwamp: UPDATE!!! 24,544 new sealed indictments entered from 10/30/17 thru 3/31/18 https://t.co/Asp6gExsYB</t>
  </si>
  <si>
    <t>RT @RoseanneOnABC: Sure are a lot people talking about the Conners. Don’t miss out! #Roseanne is streaming now and on demand, with new epis…</t>
  </si>
  <si>
    <t>@RandyRRQuaid @NewYearsDani Forget catch n release, how bout GIANT STICKY TRAPS?</t>
  </si>
  <si>
    <t>@reaIroseanne ANOTHER FAKE ACCT. IT'S LIKE WACK A MOLE!</t>
  </si>
  <si>
    <t>@Chris18335561 @thebradfordfile @MasonBilly87 @POTUS Great, except these soy boys don't know how to use tools.</t>
  </si>
  <si>
    <t>RT @Hope4Hopeless1: @MasonBilly87 Dumb ass college kids(soy boys) pledge to remove their nuts when @POTUS BUILDS THE WALL.
I'll donate the…</t>
  </si>
  <si>
    <t>@MasonBilly87 Dumb ass college kids(soy boys) pledge to remove their nuts when @POTUS BUILDS THE WALL.
I'll donate the rubber bands!!! https://t.co/gabaZcs7oK</t>
  </si>
  <si>
    <t>@therealroseane @CMaschera FAKE ACCT-BLOCK</t>
  </si>
  <si>
    <t>@gigittygang Sneaky little Commie Bastards, aren't they? Thanks for the heads up and helping me to figure this out.</t>
  </si>
  <si>
    <t>RT @JacobAWohl: Liberal sets himself on fire to protest Trump https://t.co/JCih2VPFuW</t>
  </si>
  <si>
    <t>RT @PollySpin: They also chant “we aren't immigrants, we're international workers” and “the people united will never be defeated.”
They ar…</t>
  </si>
  <si>
    <t>@gigittygang Could you please show me which tweet, I can't find where any are showing up that I've "liked". I'm thinking I might of gotten fooled by acct yesterday too.</t>
  </si>
  <si>
    <t>@gigittygang Ok thanks so much! I'll go unblock that acct &amp;amp; unlike it.</t>
  </si>
  <si>
    <t>@gigittygang Yes, I quickly hit unretweet when I read the first reply. Is it still showing up that I had retweeted it? If it is, then this is just more of twitter's manipulation.</t>
  </si>
  <si>
    <t>@paul_serran @reaIroseanne Thanks! I thought it was her April fools joke.</t>
  </si>
  <si>
    <t>RT @RealBobAxelrod: He’s going at this alone...  I smell a Trump storm coming this month.  Be prepared and ready to have his back.
 https:…</t>
  </si>
  <si>
    <t>RT @intheMatrixxx: You are safe. THEY are terrified. Where we go one we go all. #MAGA #GreatAwakening #QAnon @POTUS @therealroseanne https:…</t>
  </si>
  <si>
    <t>RT @StacyLStiles: Retweet if you have always supported @realDonaldTrump as @POTUS AND will continue to do so, all the way through his SECON…</t>
  </si>
  <si>
    <t>RT @VisioDeiFromLA: If @realDonaldTrump does not act, at what point do we use our rights 2 form militia, &amp;amp; defend border?
Yes being tad hy…</t>
  </si>
  <si>
    <t>@realDonaldTrump https://t.co/ydLwBGIg0H</t>
  </si>
  <si>
    <t>@Sheila4USA https://t.co/ydLwBGIg0H</t>
  </si>
  <si>
    <t>@SebGorka @2runtherace https://t.co/ydLwBGIg0H</t>
  </si>
  <si>
    <t>RT @Nov2018election: 🛑ATTN SPECIAL FOLLOW ALERT Please follow Brad Parscale @parscale Brad is @POTUS @realDonaldTrump 2020 Re-election camp…</t>
  </si>
  <si>
    <t>HalleluYAH, He IS Risen!!! https://t.co/VCSe6XdN4V</t>
  </si>
  <si>
    <t>RT @FrameGames: "You think mainstream media narratives are like, a conspiracy? Haha that's dumb."
&amp;lt;Peers into reality&amp;gt;
&amp;lt;Looks up definiti…</t>
  </si>
  <si>
    <t>RT @RealTT2020: He is coming like the glory 
of the morning on the wave, 
he is wisdom to the mighty, 
he is honor to the brave; 
so the wo…</t>
  </si>
  <si>
    <t>https://t.co/qLfL4tJmop</t>
  </si>
  <si>
    <t>RT @Hope4Hopeless1: @WayneDupreeShow @jeepsuzih2 #ChazielSunz IS A BRAVE SPOKESMAN &amp;amp; GREAT LEADER!!!
This man is fearlessly WARNING his pe…</t>
  </si>
  <si>
    <t>@WayneDupreeShow @jeepsuzih2 #ChazielSunz IS A BRAVE SPOKESMAN &amp;amp; GREAT LEADER!!!
This man is fearlessly WARNING his people &amp;amp; America  because he doesn't want HIS CAUSE USED and HIS PEOPLE DESTROYED by these #DeepState LIARS trying to SUBVERT the #USA
https://t.co/4jCxccKZLG</t>
  </si>
  <si>
    <t>RT @Nov2018election: @Str8DonLemon @SykesforSenate @ChanelRion @Hope4Hopeless1  https://t.co/mgUltJhFSE</t>
  </si>
  <si>
    <t>RT @ScottPresler: I just spent the last 1 &amp;amp; 1/2 hours in a very democratic area of Virginia with my "Democrats choose illegal aliens over A…</t>
  </si>
  <si>
    <t>RT @irmahinojosa_: Reports say that there’s a “refugee caravan” headed to the US border from Mexico coming from Central America. Call the W…</t>
  </si>
  <si>
    <t>RT @CicerosSon: This is an invasion force and it must be repelled with overwhelming force. 
#StopTheCaravan https://t.co/3BG4to07Eh</t>
  </si>
  <si>
    <t>@dandeliondrunk @bfraser747 @EricGreitens Well your pitiful little account reeks of Commie, so there's no surprise you'd feel threatened by people who love the U.S.A and won't just sit back &amp;amp; let traitorous Communists destroy it.</t>
  </si>
  <si>
    <t>RT @_The_Watchers_: #QAnon #GreatAwakening #MAGA #InternetBillOfRights #EndTheFed #DrainTheSwamp #FakeNews #RosieKnows #photo @POTUS @realD…</t>
  </si>
  <si>
    <t>RT @claudiascompan1: Every once in a while, things work the way they're supposed to . . . https://t.co/E6hcMqOA0x</t>
  </si>
  <si>
    <t>@joel_capizzi @realJLogan @SykesforSenate @AP4Liberty Absolutey! This supporter seems to dismiss everything that alerts to some serious CHARACTER FLAWS in this US Senate candidate #MOSEN as just him in the past.
@AP4Liberty was 30 yo LYING to CON girls to get them to "date" him on https://t.co/09VcByYNGI 
 https://t.co/qyJI4TE8JA</t>
  </si>
  <si>
    <t>@working_tg I'm convinced she's evil and that lots of proof of it will be coming out, including connection/donations of that sexual slavery cult.</t>
  </si>
  <si>
    <t>https://t.co/iibjyZ6p3e</t>
  </si>
  <si>
    <t>https://t.co/OGyzbyMI84</t>
  </si>
  <si>
    <t>https://t.co/mAuirxYt2r</t>
  </si>
  <si>
    <t>#MAGA Patriots! 
#DeepState BAD ACTORS/ACTIVISTS w/ MSM are doing EVERYTHING to unseat #MO Gov. #Greitens 
#MoLeg THIS BRAZEN VIOLATION of JUSTICE &amp;amp; FLAGRANT MISUSE of Tax $$$ by this DEM ACTIVIST/Atty WILL BE EXPOSED!  
https://t.co/ceiLWZZkTZ</t>
  </si>
  <si>
    <t>RT @magathemaga1: Question isn’t corruption. Question IS how DARK forces aligned 2 target @EricGreitens unfairly
✔️Shady prosecutor
✔️EX w…</t>
  </si>
  <si>
    <t>RT @MargaretsBelly: SUSPENDED FOR THIS https://t.co/nReBIzPNEC</t>
  </si>
  <si>
    <t>RT @alohabrianb: Ok, let's debate guns....
And the Winners are:
🥇The Constitution
🥈Common Sense
🥉Rational Thought
-
-
-.....
-1,000,000th p…</t>
  </si>
  <si>
    <t>RT @Hope4Hopeless1: @perfectsliders 100% AGREE!!! We are amongst the MOST BLESSED GUMBALLS on Earth!!!
https://t.co/U8YJApbOJE</t>
  </si>
  <si>
    <t>@perfectsliders 100% AGREE!!! We are amongst the MOST BLESSED GUMBALLS on Earth!!!
https://t.co/U8YJApbOJE</t>
  </si>
  <si>
    <t>@MaxinePWaters @vandayyt @KyleKashuv @RepStevenSmith @BevHillsAntifa5 @LagBeach10 @TonyBrunoShow BULLSHIT!!!</t>
  </si>
  <si>
    <t>RT @Str8DonLemon: Or how about this pic of @SykesforSenate shooting a gun?
FYI Courtland... Good handling of a weapon there! Military expe…</t>
  </si>
  <si>
    <t>RT @polishprincessh: President Trump has always been know as generous person. He donates his salary for a great cause continuously. He took…</t>
  </si>
  <si>
    <t>RT @joel_capizzi: The Obama Deep State is furious over Bolton appointment.
https://t.co/3kfnz0iX2m</t>
  </si>
  <si>
    <t>RT @DLoesch: #GoodFriday https://t.co/FXlL0b4nvV</t>
  </si>
  <si>
    <t>RT @RealJamesWoods: There are only two things that are certain in this century: 1) the sun will rise every morning, and 2) the Second Amend…</t>
  </si>
  <si>
    <t>RT @14159James3: PEEPS down Mizzou way! HEADS UP! I have my friend, Here's Hoping, who sent me this message detailing how the freakin' EVIL…</t>
  </si>
  <si>
    <t>RT @SiddonsDan3: “[Hillary Clinton] is one of the worst, least likable politicians that has ever existed and that is why she lost. Her perp…</t>
  </si>
  <si>
    <t>RT @janiek13: Is everyone else seeing this?? https://t.co/RwPu6v1kwZ</t>
  </si>
  <si>
    <t>RT @Godsgirl158: Shalom!
Happy Passover to all my Jewish friends &amp;amp; family on Twitter! https://t.co/tEcv7wzNL4</t>
  </si>
  <si>
    <t>RT @Hope4Hopeless1: @ElemiFuentes Here's a beautiful illustration! This is the different wavelengths becoming visible as the sun's light sh…</t>
  </si>
  <si>
    <t>@ElemiFuentes Here's a beautiful illustration! This is the different wavelengths becoming visible as the sun's light shines onto a crystal vase on my dresser. As the sun's position changes, the light passes through a prism where each spectrum is isolated/focused &amp;amp; becomes VISIBLE! Note Apex! https://t.co/jXmqi0C5Uk</t>
  </si>
  <si>
    <t>RT @intheMatrixxx: #HRCVideo is not JUST a SEX tape... It is a Sex tape with her and believed to be HUMA and a minor CHILD. THese people ar…</t>
  </si>
  <si>
    <t>RT @intheMatrixxx: @JefferyEBullock @therealroseanne Radical... We are done with POLITICAL CORRECTNESS. Undermines LOGIC. But you are entit…</t>
  </si>
  <si>
    <t>RT @intheMatrixxx: There we go!
This is it. This is it. This is it. 
BOOM!! Time to set the stage.#ReleaseTheVideo #HRCvideo #FakeNews #QAn…</t>
  </si>
  <si>
    <t>RT @intheMatrixxx: Feb 12, 2009 Colgan Air Flight 3407 crash. Lady pushing for 9/11 commission dies and so does human rights investigator.…</t>
  </si>
  <si>
    <t>RT @Str8DonLemon: Whites/Conservatives Vote: Idenity politics!
When Blacks or Libs: Empowering!
Conservatives Speak: "Bots"
Libs Speak: "A…</t>
  </si>
  <si>
    <t>RT @DaynaGould: Well You Know The Seeds YOU Sow Always Reap What YOU Sowed ! Maybe Don't Act The Victim When Your Guilty Of Victimizing ? I…</t>
  </si>
  <si>
    <t>https://t.co/wx7YKQkjHu</t>
  </si>
  <si>
    <t>@ES03784893 @EricGreitens Haha</t>
  </si>
  <si>
    <t>#MISSOURIANS Gov @EricGreitens has dared STAND AGAINST Evil &amp;amp; ALL FORCES trying to DESTROY Our State &amp;amp; Our Nation.
NOW the Hordes of HELL have been UNLEASHED against him!
#MoLeg STOP THIS CORRUPT POLITICAL
MACHINE FROM USING OUR $$$ &amp;amp; Our Justice System
https://t.co/lD3vV1doyx</t>
  </si>
  <si>
    <t>@WillSchamper_ @magathemaga1 @EricGreitens @aaron_hedlund https://t.co/G974hMuRxy
BYE BYE FILTHY COMMIE TROLL!</t>
  </si>
  <si>
    <t>@john_l_smith___ NOPE I'M A PISSED OFF #MISSOURIAN AND YOUR A FILTHY COMMIE TROLL TRYING TO UNSEAT OUR DULY ELECTED GOV! BYE- https://t.co/Ohoe1GdT7J</t>
  </si>
  <si>
    <t>@WillSchamper_ @magathemaga1 @EricGreitens @aaron_hedlund CUZ YOUR A COMMIE TROLL POSING AS A CONSERVATIVE TRYING TO UNSEAT OUR DULY ELECTED GOV.
HAHAHA clever handle though https://t.co/hgeJVavM1J</t>
  </si>
  <si>
    <t>RT @inittowinit007: 💥SOON the WORLD will KNOW!
While you were “sleeping” ...👇
They were  DESTROYING OUR USA.. selling our land, our mineral…</t>
  </si>
  <si>
    <t>RT @C_3C_3_: The PATRIOT that warned Trump &amp;amp; saved America:
Admiral Mike Rogers, NSA
He travelled to Trump Tower on 11/17/16 WITHOUT noti…</t>
  </si>
  <si>
    <t>RT @KimDotcom: His name is Seth Rich.
And he will never be forgotten. https://t.co/Iyb3JkH9y9</t>
  </si>
  <si>
    <t>RT @FoxNews: Retired military pilot 'died a hero' trying to save kids from drowning at Florida beach https://t.co/3M0ysBot5g</t>
  </si>
  <si>
    <t>RT @reuvenir: 3000 Yazidi women are still enslaved by ISIS!!! https://t.co/ShQidFFsSv</t>
  </si>
  <si>
    <t>RT @ArthurSchwartz: Chaos at @amazon — they just fired most of their consultants and lobbyists. Bezos is rattled.</t>
  </si>
  <si>
    <t>RT @JudicialWatch: BREAKING: JW filed FOIA lawsuits against State Dept &amp;amp; U.S. Agency for International Development for docs re: to their fu…</t>
  </si>
  <si>
    <t>RT @DFBHarvard: Every day the Left attempts to pervert the Constitution as a means to greater power!
Today We remember Christ died for our…</t>
  </si>
  <si>
    <t>RT @Hope4Hopeless1: @realJLogan @realJLogan look you're supporting a Candidate posing as Republican &amp;amp; trying to CON #Missourians, but DON'T…</t>
  </si>
  <si>
    <t>RT @gr8tjude: LEFT HUMILIATED After Boycott Of TRUMP SUPPORTER Roseanne Barr’s New Show BACKFIRES…Show’s Debut BREAKS HUGE Viewership Recor…</t>
  </si>
  <si>
    <t>@realJLogan @SykesforSenate @AP4Liberty THIS SHOWS HIS CHARACTER! 
@AP4Liberty WAS 30 YRS OLD &amp;amp; on a website that the whole premise is for OLDER WEALTHY MEN to pick up young beautiful girls looking for financial perks in exchange for "dating" &amp;amp; EVEN WORSE HE IS DECEPTIVE TO GET WHAT HE WANTS! 
https://t.co/wH05rkw5nl https://t.co/ZLwUwejFnC</t>
  </si>
  <si>
    <t>@realJLogan @SykesforSenate Yep I got the clear vision of @AP4Liberty driving a tank wearing a Sombrero with a big fat doobie hangin out of his mouth just out for a joy ride into Mexico! He's prob found him some gullible girls over there on https://t.co/09VcByYNGI</t>
  </si>
  <si>
    <t>@realJLogan @SykesforSenate I have no idea what you mean by that statement, but I do know that Claire will wipe the floor with this lying CON ARTIST @AP4Liberty that has admitted to trying to pick up girls on https://t.co/09VcByYNGI by pretending to be a millionaire politician!</t>
  </si>
  <si>
    <t>@realJLogan @realJLogan look you're supporting a Candidate posing as Republican &amp;amp; trying to CON #Missourians, but DON'T TRY &amp;amp; HYPE HIM UP BY LYING ABOUT HIS OPPONENTS!
@SykesforSenate CLEARLY HAS THE STRONGEST ANTI-GUN CONTROL &amp;amp; PRO-2A PLATFORM IN THIS RACE. #MOSEN
https://t.co/GAcDpVmzxj</t>
  </si>
  <si>
    <t>RT @iowa_trump: If the American people every find out what we have done ....
#QAnon #MakeItRain #GreatAwakening https://t.co/7Mm55zIDkn</t>
  </si>
  <si>
    <t>@hotfunkytown @DDonsmith007 Splodey heads are going to SPLODE!!!</t>
  </si>
  <si>
    <t>@Steffi_Cole @BigThom61 @AP4Liberty If he has me blocked, can I still sign up?</t>
  </si>
  <si>
    <t>RT @WeWuzBoomers: https://t.co/rMEWAvoY7k</t>
  </si>
  <si>
    <t>RT @GrizzleMeister: Well now...isn’t this just a quadruple dose of dipsh*t contemplating on how else to bend over the American taxpayers. Q…</t>
  </si>
  <si>
    <t>@JohnTrumpFanKJV @UG0TTRUMPED Larry Sinclair???</t>
  </si>
  <si>
    <t>RT @James90972633: @RealTT2020 #Haiti #DNC #WikiLeaks #Soros #Pedogate #Pizzagate #ReleaseTheVideo #SethRich #HumanTrafficking #LauraSilsby…</t>
  </si>
  <si>
    <t>@MagniFieri @realDonaldTrump https://t.co/NVC2XjiHF4</t>
  </si>
  <si>
    <t>RT @magathemaga1: The media is NOT REPORTING the PUBLIC FACTs of this shady indictment on @EricGreitens 
If rumored document puts things i…</t>
  </si>
  <si>
    <t>RT @2runtherace: THIS!!👇 From An Anon!!❤️ #QAnon #Freedom #GreatAwakening #WeFightEvil #WeWin #ForGodandCountry #WhereWeGoOneWeGoAll @POTUS…</t>
  </si>
  <si>
    <t>@JamesDissent @typestruth @SicilianFixer @MichaelAvenatti @megynkelly REQUIRING party OR parties to sign. This Contract is worded and/or and doesn't REQUIRE the signatures of ALL Parties.
Next, you are NOT privy to SPECIFICS of THIS PARTICULAR Contract, so your use of the words "normally"  &amp;amp; "traditionally" invalidates your argument. IT'S FOOLPROOF</t>
  </si>
  <si>
    <t>RT @joel_capizzi: Josh Hawley campaigned on a promise not to use his office as a stepping stone then launched his Senate bid a mere 10 mont…</t>
  </si>
  <si>
    <t>@SicilianFixer @typestruth @JamesDissent @MichaelAvenatti @megynkelly Haha I have no idea who the Boss Daug is but, alrighty then, I guess this is where I drop the mic.</t>
  </si>
  <si>
    <t>@typestruth @SicilianFixer @JamesDissent @MichaelAvenatti @megynkelly Two words dumbass, AND/OR! This was a 3rd Party Agreement w/ the LLC and/or "whoever" 
lol, seeing albino Anderson turned FIRE RED &amp;amp; start stuttering when he had this OBVIOUS FACT pointed out &amp;amp; he realized this SLUT wasn't going to bring down our duly ELECTED POTUS- PRICELESS!!!</t>
  </si>
  <si>
    <t>RT @AJ19844: Hey want to some Pics of @realDonaldTrump going through Richfield OH today? I was there with my sign kinda corny but dam it ma…</t>
  </si>
  <si>
    <t>RT @ARedPillReport: Today is #NationalVietnamWarVeteransDay.
The designation was made official with the passing of the Vietnam War Veteran…</t>
  </si>
  <si>
    <t>RT @joel_capizzi: Meet Republican Senate  candidate Courtland Sykes.
*Veteran
*Bold 
*America first 
*Strong 
*Conservative
*100% Tru…</t>
  </si>
  <si>
    <t>RT @joel_capizzi: Josh Hawley, RINO #6. Recruited by none other than the King of RINOS Mitch McConnell and NWO Bushite Karl Rove. 
Vote fo…</t>
  </si>
  <si>
    <t>RT @magathemaga1: People starting 2 wonder EVEN MORE what’s going on in #StLouis 
✔️2nd MOST dangerous city
✔️No Investment 
✔️Tearing dow…</t>
  </si>
  <si>
    <t>@jsl909 This is a sm sample, wait until the PUBLIC gets a chance to view ALL the REDICULOUS ABSENCE of EVIDENCE in the Court Documents that THIS SJW/ACTIVIST w/ ties to BLM has filed in this #Greitens indictment!
#TheTruthWillComeOut
#MoLeg
#MISSOURIANS
WILL
SEE
THE
#GarnersFilings https://t.co/Qybxndz9BV</t>
  </si>
  <si>
    <t>@stlpublicradio @STLonAir https://t.co/ceiLWZZkTZ</t>
  </si>
  <si>
    <t>@YearOfZero @jallman971 https://t.co/ceiLWZZkTZ</t>
  </si>
  <si>
    <t>@MrJoe_Boy @chfortrump @DonnaGarland17 @get_repost Yikes! This is something I've believed to be true for yrs, but apparently you are right. I will delete my tweet immediately, thanks https:// https://t.co/aZJYrU9LR7 via @youtube</t>
  </si>
  <si>
    <t>RT @LisaLSmith4680: You want hear about an Obama-era Policy? 
HERE'S A TRUTH!
While our military was in Afghanistan &amp;amp; Iraq, under HIM, THEY…</t>
  </si>
  <si>
    <t>RT @eagleonetowanta: We can’t allow our Constitution to be changed. Politicians &amp;amp; organizations with secret political agendas trying.   Lin…</t>
  </si>
  <si>
    <t>RT @baalter: We Haven't Left the UN Yet &amp;amp; Thrown Them Out Because? - The United Nations 2030 Agenda decoded: It's a Blueprint for the Globa…</t>
  </si>
  <si>
    <t>RT @ClaraLKatzenmai: RATINGS BLOWOUT: Roseanne Returns to MASSIVE RATINGS, 18 MILLION Tune-In | Sean Hannity https://t.co/7Wq0qy0uqB</t>
  </si>
  <si>
    <t>RT @wvufanagent99: 🚨🚨Attention🚨🚨 Massachusetts. U have a #SpecialElection coming up. Get out &amp;amp; vote next Tue 4/3/18.
Vote 4 Repub
Julie Ha…</t>
  </si>
  <si>
    <t>RT @GrizzleMeister: If you want to get the truth about the quality of a person’s character, then ask those individuals that have had a posi…</t>
  </si>
  <si>
    <t>RT @KatTheHammer1: PLEASE RETWEET:
In the midst of all Russia collusion illusion a HERO has emerged! 
They tried to shut him down with no…</t>
  </si>
  <si>
    <t>RT @bfraser747: Someone thought this poor little sweet guy AJ (Action Jackson)  would keep my spirits up watching him for a couple days. He…</t>
  </si>
  <si>
    <t>RT @Hope4Hopeless1: @bfraser747 Dogs are gifts from Heaven! I do hope you consider having one. Here in the States we have therapy dogs that…</t>
  </si>
  <si>
    <t>RT @joel_capizzi: '(Josh) Hawley won't say if he’d back McConnell as leader. Now he's taking McConnell's money"
I don't care if he was end…</t>
  </si>
  <si>
    <t>@bfraser747 Dogs are gifts from Heaven! I do hope you consider having one. Here in the States we have therapy dogs that people take literally everywhere. Here's my baby girl. Last summer, I got caught with Lily in town &amp;amp; had to run unexpected errands &amp;amp; she loved being a therapy dog for a day https://t.co/4SoP5r1eSX</t>
  </si>
  <si>
    <t>RT @realDonaldTrump: I have stated my concerns with Amazon long before the Election. Unlike others, they pay little or no taxes to state &amp;amp;…</t>
  </si>
  <si>
    <t>RT @BigLeague2020: @jdolan2020 McCaskill Is The Problem,
SYKES IS THE SOLUTION
♦️🔹♦️SYKES FOR SENATE♦️🔹♦️
LEADERSHIP🔷ACCOUNTABILITY🔷COMM…</t>
  </si>
  <si>
    <t>RT @djf510: Always makes me cry seeing this picture. There won’t be acquiescence in my home to any tyrant or government. We will go down, f…</t>
  </si>
  <si>
    <t>RT @DonaldJTrumpJr: You seem nice. https://t.co/Nl4HI27fJc</t>
  </si>
  <si>
    <t>RT @DonaldJTrumpJr: Jeb! I love everything about my father. I love that he’s a fighter, I love that he has guts, I love that he’s President…</t>
  </si>
  <si>
    <t>RT @JohnCooper0610: .@MarkMeuser who is running for Secretary of State of California introduces us to Cheryl who found 19 registered voters…</t>
  </si>
  <si>
    <t>RT @Education4Libs: This morning Trump tweeted “WE WILL NEVER REPEAL THE 2ND AMENDMENT.”
What a tyrant!!!!!! 😭😭😭</t>
  </si>
  <si>
    <t>RT @shannon4t76: @FedupWithSwamp @rmck51337 @tf0620 @MrsPatriot3 @kbk3n3 You could tell me they are cooridating with demonic hybrid species…</t>
  </si>
  <si>
    <t>@Str8DonLemon @K___Garner @RGreggKeller I'm a HORRIBLY PISSED #MISSOURIAN and it's only a matter of time before the TRUTH of this wicked SHIT comes out and I'm joined by an ARMY of HORRIBLY PISSED #MISSOURIANS!!!
#Moleg
#WeDemandJusticeForGreitens 
@EricGreitens</t>
  </si>
  <si>
    <t>@K___Garner @RGreggKeller This wicked scheme is unraveling &amp;amp; WILL be laid bare for ALL the world to see! #MISSOURIANS are going to be PISSED when they see the  BLATANTLY OBVIOUS proof of how this group has violated the Public's Trust w/this politically motivated misuse &amp;amp; abuse of Justice! #Moleg #Greitens</t>
  </si>
  <si>
    <t>RT @Suzi3D: PRESS RELEASE: #ReconnectJulian
https://t.co/0rCBy02Gjc
MEDIA RESOURCES: 
https://t.co/qdbzvDF37b
EVENT WILL BE LIVE AT:…</t>
  </si>
  <si>
    <t>RT @chfortrump: 🚨#Repost @bandpoppernyc ( Instagram) with @get_repost 
・・・
🤔Stormy Who?? Scandal Free Obama’s Gay Lover Describes One Of Th…</t>
  </si>
  <si>
    <t>RT @Brandonbowser45: Liberals fail to understand that the Bill of Rights doesn’t give us rights. 
It simply reminds government of our God…</t>
  </si>
  <si>
    <t>RT @Colttech: The fake George Soros March of Our Lives are paid treasonous stooges, representing no one. What are 18 to 20 year olds really…</t>
  </si>
  <si>
    <t>RT @bbusa617: WHOA! Ratings Are in for Roseanne’s Pro-Trump Reboot &amp;amp; They’e YUGE! https://t.co/C4GCgKHkg8
"HIGHEST RATED SCRIPTED TV SHOW…</t>
  </si>
  <si>
    <t>RT @Hope4Hopeless1: @KimDotcom Nothing but LOVE, RESPECT, and APPRECIATION for this GLORIOUS SPIRIT!!!
#FreeJulianAssange
@JulianAssange…</t>
  </si>
  <si>
    <t>@KimDotcom Nothing but LOVE, RESPECT, and APPRECIATION for this GLORIOUS SPIRIT!!!
#FreeJulianAssange
@JulianAssange https://t.co/bOGiiAvVoT</t>
  </si>
  <si>
    <t>@KimDotcom https://t.co/fUHxVTdzdZ</t>
  </si>
  <si>
    <t>Q says OFFLINE for a reason....enjoy the show https://t.co/JvQJggH0wU</t>
  </si>
  <si>
    <t>RT @realDonaldTrump: Received message last night from XI JINPING of China that his meeting with KIM JONG UN went very well and that KIM loo…</t>
  </si>
  <si>
    <t>RT @realDonaldTrump: For years and through many administrations, everyone said that peace and the denuclearization of the Korean Peninsula…</t>
  </si>
  <si>
    <t>RT @BigLeague2020: PEACE THROUGH STRENGTH
“No free man shall ever be debarred the use of arms.” Thomas Jefferson
🇺🇸Guns are a Right NOT A…</t>
  </si>
  <si>
    <t>RT @Nov2018election: Support These Exceptional Patriotic America First Senate Candidates @SykesforSenate @RealErinCruz @CoreyStewartVA @New…</t>
  </si>
  <si>
    <t>RT @KimDotcom: 🚨 URGENT ASSANGE ALERT 🚨
Julian Assange has had his Internet disconnected and is not allowed any visitors
If you’re in LON…</t>
  </si>
  <si>
    <t>RT @DFBHarvard: The "are you a citizen?" question, opponents claim will lead to an undercount of people leading to lose of federal funding!…</t>
  </si>
  <si>
    <t>@MrEdTrain Is that Creepy Joe Biden's son? They have the same weird texture hair.
 https://t.co/4RT4V2XzyA</t>
  </si>
  <si>
    <t>RT @DineshDSouza: The Left was on the verge of taking the whole country. No wonder they're so embittered...
https://t.co/dWk4dDy58o https:…</t>
  </si>
  <si>
    <t>RT @mike_Zollo: The left needs to stop calling John Paul Stevens a Republican. Let’s be totally clear, any person in America that believes…</t>
  </si>
  <si>
    <t>@mcheatherly Yes and I Thank Our Father in Heaven that these traitors weren't successful with their brainwashing and that the overwhelming majority of LEOs &amp;amp; Military feel the exact same way as you. Thank you, Sir for your Love &amp;amp; Service to Our Country.</t>
  </si>
  <si>
    <t>RT @ARedPillReport: HISTORICAL FOOTAGE: Nazis March And Call For Gun Control https://t.co/7r0bYXLBkd</t>
  </si>
  <si>
    <t>RT @wu_ferguson: @SykesforSenate is ready to fight for us Missourians! We need to Fire @clairecmc and get her kicked out of office! #FireCl…</t>
  </si>
  <si>
    <t>RT @alohabrianb: Who knew you can hide A Wall inside a 2,232 page Bill? That’s pretty cool, #StableGenius 😎 #BuildTheWall https://t.co/V2ae…</t>
  </si>
  <si>
    <t>@SenSchumer .@SenSchumer HA, where's your #CrocadileTearsForDACA now??? No, what we're seeing now are Splodey heads because @POTUS has cut you &amp;amp; your traitorous comrades off at every pass by preventing your SACRED ILLEGAL IMMIGRANT VOTE &amp;amp; IS NOW #BuildingTheWall for OUR Natl SECURITY!</t>
  </si>
  <si>
    <t>RT @Str8DonLemon: Maybe you should do some "journalism" on how the Koster campaign was offered this tape but decided not to run it in a hea…</t>
  </si>
  <si>
    <t>RT @SonofLiberty357: 🚨🚨🚨 Ruh Roh: 
Al Sharpton’s Brother Charged in Shooting Murder — ONE DAY After Participating in Anti-Gun March.  #MAG…</t>
  </si>
  <si>
    <t>RT @RyanAFournier: In the states that adopted concealed carry, murders dropped by an average of 8.5%, rapes dropped 5%, aggregated assaults…</t>
  </si>
  <si>
    <t>RT @RealMAGASteve: If your going to be a controversial public figure who spews hate, you better be willing to take the heat: 
There’s so m…</t>
  </si>
  <si>
    <t>RT @FriendlyJMC: #RepealTheSecondAmendment
How much do you trust govt to protect?
I mean govt FB👁 implicated in:
Illegally surveilling AM…</t>
  </si>
  <si>
    <t>RT @Nick_Falco: JUST IN- TRUMP IS SAID TO PRIVATELY ASK MILITARY TO PAY FOR WALL: WAPO https://t.co/1hl048dfgD</t>
  </si>
  <si>
    <t>Watch out for falling debri from SPLODEY heads, when these Traitors realize they've been PLAYED &amp;amp; just provided @POTUS MASSIVE AMT of $$$ to BUILD the MOST AMAZING WALL!!! https://t.co/cFVqx20sXn</t>
  </si>
  <si>
    <t>@Nick_Falco Whatch out for falling debri from SPLODEY heads when they realize they've been PLAYED!!!</t>
  </si>
  <si>
    <t>RT @bearwoodson13: @KyleKashuv @SteveScalise @AprilLaJune 
Is @SarahKSilverman maybe a Socialist like this Famous Jewish Traitor? His Gun-…</t>
  </si>
  <si>
    <t>RT @MsAvaArmstrong: Another wonderful Freedom Caucus hero
thank you for standing up for justice &amp;amp; truth
@Jim_Jordan https://t.co/aEzGtk13VG</t>
  </si>
  <si>
    <t>RT @Mike_Press19: Kevin Bacon ‘We Are Blessed To Have Donald Trump As Our President’ &amp;lt; America Fans https://t.co/lw61HoMA47 via @Mike_Press…</t>
  </si>
  <si>
    <t>RT @Brenderm: Look another
#LiberalNaziDolt
👇🏻👇🏻👇🏻👇🏻 https://t.co/qK7Cdp9KTG</t>
  </si>
  <si>
    <t>RT @RyanAFournier: Don’t really care about the presidents past personal life, what I care about is the amazing job he is doing to make Amer…</t>
  </si>
  <si>
    <t>https://t.co/NBITHMUOPQ</t>
  </si>
  <si>
    <t>RT @MAGAdrake: @5Strat @POTUS I’ve been saying this for months...trump will do it. It will be incredible...here ya go:
https://t.co/5Br9XVW…</t>
  </si>
  <si>
    <t>I think it's wise to have at least 2 weeks reserve of food &amp;amp; water on hand. Something tells me THIS is the real deal. https://t.co/KaZBhvdkST</t>
  </si>
  <si>
    <t>RT @LauraLoomer: BREAKING: Newly released screenshots of a Facebook conversation between #StormyDaniels and a friend shows she denied ever…</t>
  </si>
  <si>
    <t>RT @AlwaysActions: HERO WITH #2A SAVES
THE #STATE #TROOPER
@NRA @NRATV 📺🚨
#MarchForOurLives https://t.co/JAT6jlrqL1</t>
  </si>
  <si>
    <t>RT @CoreyLMJones: The same people that advocate for the killing of babies and the allowance of men in women’s restrooms are now bashing Tru…</t>
  </si>
  <si>
    <t>RT @BigLeague2020: @IamRemoWilliams @ScottPresler @SykesforSenate Exactly right, Remo.
Send Senators Who Will Support Trump’s Wall
🇺🇸SEND…</t>
  </si>
  <si>
    <t>RT @BigLeague2020: “Never trust a government that doesn’t trust their own citizens with guns.” Benjamin Franklin
Guns Are A Right NOT A Qu…</t>
  </si>
  <si>
    <t>RT @atensnut: HEY 60 MINUTES @andersoncooper  HOW ABOUT HAVING ME ON To  Discuss my Book, “You’d Better Put Some Ice On That”. ....What Bil…</t>
  </si>
  <si>
    <t>RT @SickOfTheSwamp: @KamalaHarris Illegal is illegal no matter how you try and sugar coat it with a different PC term, they ARE criminals.…</t>
  </si>
  <si>
    <t>RT @DGreatAwakening: #IAMQ How about you?  We want our country back.  Join the growing #Qanon army.  Spread the word!
#GreatAwakening #WeT…</t>
  </si>
  <si>
    <t>RT @CeruleanTango: Holy sh-t the whole bill really is to fund the storm. Check out this thread on the long title/description of the #Omnibu…</t>
  </si>
  <si>
    <t>RT @Nov2018election: MO Courtland Sykes 4 US Senate @SykesforSenate 🇺🇸 #MOSEN  The Showme State Couple #MO  BOLD CONSERVATIVE AMERICAN VALU…</t>
  </si>
  <si>
    <t>RT @FistFullBacon: Technology. I have you in the palm of my hands. You think that you got me dead bang. but I use your inventions and opera…</t>
  </si>
  <si>
    <t>RT @sxdoc: Russia And China Roll Out 100% Gold-Backed Currency; USD going down; WILL THIS HELP TRUMP WITH LARGE CHINESE TRADE DEFICIT? #MAG…</t>
  </si>
  <si>
    <t>@TT45Pac @JerieQuinty https://t.co/wp5rskubbt</t>
  </si>
  <si>
    <t>RT @Barnes_Law: The most iconic image of today's #MarchForOurLives was also the iconic image of the kiddies who led #Mao's #CulturalRevolut…</t>
  </si>
  <si>
    <t>RT @jerome_corsi: Here's the TRUTH: "These fake front-men, pseudo-military corporations, stolen patents, and corrupt defense contractors th…</t>
  </si>
  <si>
    <t>RT @HumanityIsFree: 👉THERE IS A BOOK CALLED "THE BARON TRUMP OMNIBUS"
👉WRITTEN 120 YEARS AGO!!
@reallygraceful did a great video about Lock…</t>
  </si>
  <si>
    <t>@CraigRSawyer @HumanityIsFree https://t.co/wp5rskubbt</t>
  </si>
  <si>
    <t>RT @HumanityIsFree: David Hogg and his Black Power fist
Emma Gonzalez’s Communist era jacket
These kids are props in a fake 'Revolution'…</t>
  </si>
  <si>
    <t>Read the LONG TITLE of this Omnibus Bill!!!
#HaleluYAH
It's an ERADICATION OF International Crime &amp;amp; HUMAN TRAFFICKING ACT!!!
OUR @POTUS IS A #StableGENIUS
#DrainingTheSWAMP
 #FilthyPervertedTraitors
MEET
#MilitaryJustice
https://t.co/lkxk5lRudX</t>
  </si>
  <si>
    <t>RT @MarkDice: Why didn't Anderson Cooper ask Stormy Daniels if she was coked up during that 60 Minutes interview?  Pupils this dilated are…</t>
  </si>
  <si>
    <t>RT @DestroyIllusion: The real "March for Our Lives" should be against vaccines, GMO's, geoengineering, false flags, and the suppression of…</t>
  </si>
  <si>
    <t>RT @DeplorableGoldn: Totally bunk!  #FakeNews #FakeNewsMedia have no evidence #GreitensIndictment #greitens #MarchForOurLives #moleg #mogov…</t>
  </si>
  <si>
    <t>RT @Str8DonLemon: #KimShady indicted @EricGreitens without evidence based on Politics
Who put her up to it?
✔️Dems?
✔️Soros?
✔️Hayseed Maf…</t>
  </si>
  <si>
    <t>RT @iswudt1: We all know one primary Soros strategy is electing and assisting liberal prosecutors. This certainly smells like another Soros…</t>
  </si>
  <si>
    <t>RT @Patrickpetty23: Hey @Emma4Change please stop using my sister’s name to push your agenda, she DID NOT and WOULD NOT support it</t>
  </si>
  <si>
    <t>RT @VisioDeiFromLA: Yup. #Moleg #Greitens #MoGov https://t.co/qVOfdgTQX6</t>
  </si>
  <si>
    <t>RT @Str8DonLemon: Decided to vote 4 McCaskill
She supports:
✔️Sanctuary Cities
✔️Not enforcing immigration laws
✔️Against the wall
✔️Scho…</t>
  </si>
  <si>
    <t>RT @SiddonsDan: We know that #SethRich was Panda.. 
So does Kim Dotcom
So does Julian Assange
So does the FBI
So does the Department of…</t>
  </si>
  <si>
    <t>RT @magathemaga1: The more #Missouri finds out, the more they TRULY BEGIN 2 UNDERSTAND the #GreitensIndictment
✔️No evidence
✔️Crooked Pro…</t>
  </si>
  <si>
    <t>@PuffedUpdater @DeplorableGoldn @ES03784893 @EricGreitens @SheenaGreitens Someone told me that this coward .@PuffedUpdater falsely accused me of being a bot before blocking me.  WRONG, I'm a concerned citizen of Missouri that's speaking out against the INJUSTICE &amp;amp; LIES of this politically motivated #WitchHUNT
#Moleg
#Greitens
https://t.co/wjI8KgACia</t>
  </si>
  <si>
    <t>RT @alohabrianb: Homo Sex Partner of Obama is furious his story is hidden. https://t.co/xrzM8kzV5m</t>
  </si>
  <si>
    <t>RT @Lady_Vi_2U: Never want to forget what happened in Benghazi .. how are men were abandoned by our OWN Government!  Justice needs to be se…</t>
  </si>
  <si>
    <t>RT @shootist11263: I haven't! DAMNIIIIT!!  🤣🤣🤣🤣 https://t.co/IeCPv6nYez</t>
  </si>
  <si>
    <t>RT @Ohio_Buckeye_US: @MrEdTrain @andersoncooper @60Minutes @CBSNews @CNN #StormyDaniels, said in @60Minutes "not looking 4 fame or money",…</t>
  </si>
  <si>
    <t>RT @awaken_to_maga: https://t.co/gHHcsaPPLf
Meds? Taken willingly or...?
#MKUltra #GreatAwakening #QAnon #MAGA #KAG #SundayFunday</t>
  </si>
  <si>
    <t>RT @DeborahTCompton: @awaken_to_maga @Nancymkq It’s not the lighting. https://t.co/000DT2GxD1</t>
  </si>
  <si>
    <t>RT @Lrihendry: Dear @60Minutes why didn’t you  interview Larry Sinclair the guy who said he had a relationship with Obama in 1999 involving…</t>
  </si>
  <si>
    <t>@CStamper_ https://t.co/MyDtatbi3b</t>
  </si>
  <si>
    <t>@CStamper_ https://t.co/ku5b1tgLvU</t>
  </si>
  <si>
    <t>RT @SykesforSenate: Thank you Jasper, Newton, and Greene Co #GOP! #MOSen #MAGA https://t.co/zuxAR7Sdga</t>
  </si>
  <si>
    <t>@PuffedUpdater @DeplorableGoldn @ES03784893 @EricGreitens @SheenaGreitens #Greitens accuser is NOT to be believed!!!
$he is the friend of Dem Stacey Newman, who welcomed her on FB as a new ACTIVIST of the Liberal Left/Establishment. The group HELL BENT on bringing down a duly ELECTED Governor
#Moleg
#WitchHUNT
THERE'S NO EVIDENCE!
THERE'S NO CRIME! https://t.co/tY6Hv7j99l</t>
  </si>
  <si>
    <t>@washingtonpost .@washingtonpost is a #FAKENEWS tool of the Establishment Machine with FAKE headlines &amp;amp; FAKE stories! This is a WRONGFUL INDICTMENT of a duly ELECTED Gov.
PLEASE READ!!!
There is NO PHOTO!
There is NO EVIDENCE!
There should have been NO CHARGES!!!
#WitchHunt
#Moleg
#Greitens https://t.co/1W4lZV8EL7</t>
  </si>
  <si>
    <t>RT @Hope4Hopeless1: @RealAlexJones @jtblogs .@RealAlexJones I'm one of your EARLIEST supporters, &amp;amp; you &amp;amp; I both know how long that's been.…</t>
  </si>
  <si>
    <t>@RealAlexJones @jtblogs .@RealAlexJones I'm one of your EARLIEST supporters, &amp;amp; you &amp;amp; I both know how long that's been. Sadly, after ALL these years of defending you against others that say you're INSANE, you've just convinced me that they ARE RIGHT.
OFF the Trump Train? 
Officially on the CRAZY TRAIN!</t>
  </si>
  <si>
    <t>RT @IWillRedPillU: White House Official on John Bolton: "Everyone Who Was Here Under Obama Can Pack Their Sh*t"
Bolton is Going to Clean Ho…</t>
  </si>
  <si>
    <t>RT @RealAlexJones: NOW LIVE: Democrats Openly Chant, "We Have The Power, We Will Have The Guns" At Rallies Nationwide!
📡Tune in 4pm-6pm ce…</t>
  </si>
  <si>
    <t>RT @BigLeague2020: @HyltonRobin @SykesforSenate 🇺🇸VOTE COURTLAND SYKES FOR SENATE🇺🇸
♦️FROM THE SHOW ME STATE OF #MISSOURI♦️
🇺🇸America Fir…</t>
  </si>
  <si>
    <t>RT @Lady_Vi_2U: I see the Liberals are out in Force today.. Just and FYI people of the Left.. I will engage in an adult conversation.. will…</t>
  </si>
  <si>
    <t>RT @ar15m4mid: @realDonaldTrump @ETrumpgirl Our National Guard trains regularly, why not let them train on our border (in rotating shifts f…</t>
  </si>
  <si>
    <t>@Mtweetie4848gm2 @On_The_Hook @AP4Liberty Yep! @AP4Liberty
is LYING about who &amp;amp; what HE IS, just so he can get elected! This makes him him a Con, an Impostor &amp;amp; a FRAUD.
! #MISSOURI got fooled by #RINOHawley for AG &amp;amp; they WON'T be fooled again!
#MO VOTE for ONLY TRUE #AmericaFirst Candidate for #MOSEN @SykesforSenate</t>
  </si>
  <si>
    <t>RT @ThomasWictor: Today, he confirms in three tweets that the wall is national security and will be built with Pentagon funds.
Amazing. ht…</t>
  </si>
  <si>
    <t>RT @oscar23_fuentes: What to see what Facebook has on you (at a minimum)? 
1. Goto https://t.co/sSV7fUsLAP 
2. Click "Download a copy of y…</t>
  </si>
  <si>
    <t>RT @chfortrump: 🚨Wearing the flag of a communist country... while she preaches peace and an "end to violence" in the USA 🇺🇸... Let that sin…</t>
  </si>
  <si>
    <t>RT @VETHELPVET: @LinnyFaye6 @ThomasWictor When you lead others, the example you set is the most powerful way you convey to them what's impo…</t>
  </si>
  <si>
    <t>RT @Lrihendry: Millennials are the first generation in human history to actually protest to have their rights taken away. #marchforourlives</t>
  </si>
  <si>
    <t>RT @Luke4Tech: .
What a bunch of hypocrites..
Soros must have paid a lot💰to @BUS4HIRE who dropped off thousands of “spontaneous” protestors…</t>
  </si>
  <si>
    <t>@willhuw @defimyfrend @DTrumplican @gigittygang @TT45Pac @NewYearsDani @WhiteHouse @POTUS You're a British troll. Thankfully, unlike in your doomed Nation, we have a President that wants what's for ours.</t>
  </si>
  <si>
    <t>RT @WhoWolfe: The Omnibus bill is proof the GOP leadership collude with the democrats to obstruct &amp;amp; sabotage President Trump’s MAGA agenda.…</t>
  </si>
  <si>
    <t>@marquessacasey @JaneOrLean https://t.co/xUL8DdKRAt</t>
  </si>
  <si>
    <t>@marquessacasey @JaneOrLean https://t.co/sJvCQdqFxM</t>
  </si>
  <si>
    <t>RT @JaneOrLean: it is still in place).  Also, he has called up the Army Corps of engineers to start building the wall on MONDAY (which was…</t>
  </si>
  <si>
    <t>RT @JaneOrLean: After signing the Omnibus HR1625, trump issued 2 letters RESCINDING certain funds as designated within the act and designat…</t>
  </si>
  <si>
    <t>RT @Belle4DJT: Now This Really Makes Me Angry!  The Last Thing These Incompetent, Pathetic, POS’s Deserves Is A Raise! #VoteThemOut #Carrer…</t>
  </si>
  <si>
    <t>RT @jonella_moore: @StorminSpartin @authorpholloway @realDonaldTrump @VP Trump got exactly what he wanted from Omnibus Bill. 
1) Massive mi…</t>
  </si>
  <si>
    <t>@UG0TTRUMPED @Buffbadbadger @realDonaldTrump Where I first learned  of how @POTUS just played them, they've coined the phrase for this "Splodey heads" It can also be used to describe what happens when TRAITORS meet Military Justice. https://t.co/XSrVAuId1u</t>
  </si>
  <si>
    <t>RT @bocavista2016: 🚨HOLY CRAP🚨
There is literally 100's of $MILLIONS allocated to #OIG and #JeffSessions in #Omnibus
Translation:
👉🚔TRAI…</t>
  </si>
  <si>
    <t>RT @maccloskey1: @ColumbiaBugle @PoliticallyRYT @AnnCoulter Ann, you should know by now, ya gotta read between the lines with @POTUS https:…</t>
  </si>
  <si>
    <t>RT @FranTownsend: Good news....@AmbJohnBolton expected to clean house at @WhiteHouse NSC https://t.co/j5l43X0h1n</t>
  </si>
  <si>
    <t>RT @johncardillo: There would be far less hysteria if Americans took the time to learn the difference between an #omnibus bill and a budget…</t>
  </si>
  <si>
    <t>RT @JustSayn2018: Genius 4D Chess play today by @POTUS to declare #TheWall as a vital part of our national defense! Hence -- enabling acces…</t>
  </si>
  <si>
    <t>RT @mitchellvii: I am hearing that the #Omnibus stealth-funds the OIG massively - way beyond what a department their size should require.…</t>
  </si>
  <si>
    <t>RT @dylanmckaynz: Downloaded my facebook data as a ZIP file
Somehow it has my entire call history with my partner's mum https://t.co/CIRUg…</t>
  </si>
  <si>
    <t>RT @Stichtag: @5Strat @jen4trump1 @POTUS 🤬💚https://t.co/Mr9ukqahd5</t>
  </si>
  <si>
    <t>RT @MAGAVoice: @ColumbiaBugle OMG!! 
Here it is Folks!! 
The Plans are all here.  
Trust the Process!! 
Links from Last year's Planning and…</t>
  </si>
  <si>
    <t>RT @NewYearsDani: @Hope4Hopeless1 @gigittygang @TT45Pac @WhiteHouse @POTUS In times of (my) weakness, I remind myself:
»POTUS is from Quee…</t>
  </si>
  <si>
    <t>RT @Hope4Hopeless1: @gigittygang @TT45Pac @NewYearsDani @WhiteHouse @POTUS I'm still in a state of disbelief! I SERIOUSLY CAN'T BELIEVE WHA…</t>
  </si>
  <si>
    <t>@Meonly1218 @POTUS @Chicago1Ray @mitchellvii @AriFleischer @1Romans58 Maria, I just followed you, if you're awake DM me I have the most incredible news!</t>
  </si>
  <si>
    <t>@gigittygang @TT45Pac @NewYearsDani @WhiteHouse @POTUS I'm still in a state of disbelief! I SERIOUSLY CAN'T BELIEVE WHAT JUST HAPPENED! Oh and BTW, I'm not screaming, it's just sinking in that Our @POTUS is a Sun Tzu Master &amp;amp; he just showed the world a perfect example of The Art of WAR! https://t.co/Hb62QzjF4Y</t>
  </si>
  <si>
    <t>RT @Hope4Hopeless1: @gigittygang @TT45Pac @NewYearsDani @WhiteHouse THAT'S ABSOLUTELY IT!  
Haha, can anyone say "build that wall"?
I jus…</t>
  </si>
  <si>
    <t>@gigittygang @TT45Pac @NewYearsDani @WhiteHouse THAT'S ABSOLUTELY IT!  
Haha, can anyone say "build that wall"?
I just finished verifying gist of this person's insight into how @POTUS just played them ALL w/ 2000pgs of $$$ that's NOT BINDING on how or IF he spends it! Letter to fiddle dee &amp;amp; fiddle dum reads, BUILD THAT WALL! https://t.co/qp5ghBHK6Z</t>
  </si>
  <si>
    <t>RT @alohabrianb: WE Conservatives by nature are diverse, independent, self-reliant thinkers.
Lefty Socialists gather to instructed thought…</t>
  </si>
  <si>
    <t>@repubnowdem @bigleaguepol You are practicing the tactic that you &amp;amp; the brood of snakes you're affiliated with are notorious for; "accuse others of what you in fact are guilty of" Now run along w/ your 23 followers and I hope you go strait to Hell where you belong you filthy troll.</t>
  </si>
  <si>
    <t>IMO @POTUS just pulled off a miracle getting Dems &amp;amp; RINOS to agree to $700B to build back our Military that has been nearly decimated by 30 yrs of traitorous Admins &amp;amp; Congressional games</t>
  </si>
  <si>
    <t>@DanitaEwing5 @POTUS Me too!!!</t>
  </si>
  <si>
    <t>@POTUS As ALARMING details of how the remaining $600B has been budgeted, we need to push for @POTUS to exclude/suspend by Executive Order the funding for the utterly absurd CRAP starting w/ the $12.6M raises that Congress just GAVE themselves over the next 6mos!
https://t.co/uFDJFQdOMz</t>
  </si>
  <si>
    <t>@Imabeachbumm @POTUS IMO @POTUS just pulled off a miracle getting Dems &amp;amp; RINOS to agree to $700B to build back our Military that has been nearly decimated by 30 yrs of traitorous Admins &amp;amp; Congressional games. Of $600B remaining, I pray he CUTS ALL THAT PORK &amp;amp; suspends those BOGUS ACTS by Exec Order.</t>
  </si>
  <si>
    <t>@Meonly1218 @POTUS @Chicago1Ray @mitchellvii @AriFleischer @1Romans58 You're very welcome, Maria. IMO @POTUS just pulled off a miracle getting Dems to agree to $700B to build back our Military that has been nearly decimated by 30 yrs of traitorous Admins &amp;amp; Congressional games. Of $600B remaining, I pray he CUTS PORK &amp;amp; suspends BOGUS ACTS by EO.</t>
  </si>
  <si>
    <t>@Imabeachbumm @Jillibean557 @POTUS Yes, me too!</t>
  </si>
  <si>
    <t>@MaryT042726 @Imabeachbumm @POTUS Me too!!!</t>
  </si>
  <si>
    <t>@clairecmc Missourians elected @HawleyMO as AG because he gave his word that he wasn't going to use THIS Office to climb political ladders.
As McConnell's Boy, Joshy's already set his eyes on DC &amp;amp; I think he's been suffering from short-timers syndrome. Sorry Josh #MO WON'T be fooled again!</t>
  </si>
  <si>
    <t>@bchapman151 It should be a crime for them that we have elected to represent us, to sign off on something that they haven't even read to know what all they're committing us to &amp;amp; against our wishes!</t>
  </si>
  <si>
    <t>@J_Hancock @EricGreitens THE Prosecution's SOLE Investigator  testified he has NO knowledge of ANY evidence that led to #GreitensIndictment &amp;amp; this IS HUGE, he has NO knowledge of ANYONE that's even attempted to
locate this alleged evidence 
NOT BUYING THIS COVER!
Contact
#Moleg
DEMAND
#JusticeForGreitens https://t.co/vjeebG4LHC</t>
  </si>
  <si>
    <t>On the surface,it appears that @POTUS has betrayed the American ppl, but I believe there's a WELL ORCHESTRATED PLAN in play 2 take OUR Country back &amp;amp; that the success of this PLAN &amp;amp; Natl Sec depends on a WELL FUNDED MILITARY.
#ExecOrders
to
#DefundOmnibus https://t.co/uFDJFQvqb9</t>
  </si>
  <si>
    <t>RT @JeffMontes5: @realDonaldTrump Yes Mr.President VETO the bill, look at the waste, why do politicians waste and give away our tax payer m…</t>
  </si>
  <si>
    <t>RT @BrianStellar2: RT if you think our VETERANS deserve jobs when they come home before REFUGEES https://t.co/10iboRqlPu</t>
  </si>
  <si>
    <t>RT @realDonaldTrump: I am considering a VETO of the Omnibus Spending Bill based on the fact that the 800,000 plus DACA recipients have been…</t>
  </si>
  <si>
    <t>RT @SykesforSenate: The IRS is an overbloated bureaucracy run by liberals at the top who admittedly weaponize the agency against citizens w…</t>
  </si>
  <si>
    <t>RT @SiddonsDan: “HOW BAD ARE SPEAKER RYAN AND MAJORITY LEADER MCCONNELL?
THIS BAD:
Chuck Schumer cheered the bill:
“In a certain sense w…</t>
  </si>
  <si>
    <t>RT @chrissussdorf: If we want to make America great again we will have to make evil people fear punishment again. #MAGA</t>
  </si>
  <si>
    <t>https://t.co/oExg4DDyZa</t>
  </si>
  <si>
    <t>RT @RandPaul: Page 376 of terrible, rotten, no-good budget busting bill:
I found it!  I found it!  Border security, what President Trump w…</t>
  </si>
  <si>
    <t>@MagniFieri @DebunkTheNews Haha by the time I finished my rather long reply, I think I was the 201rst. I've followed you for a very long time and would very much appreciate a follow back.</t>
  </si>
  <si>
    <t>@MagniFieri @DebunkTheNews I was extremely disappointed when @POTUS brought this Islamist Obamanite PLANT into his Cabinet, discouraged that he remained there so long and now I'm  very hopeful about Bolton mainly because the Left are losing their minds about this choice.</t>
  </si>
  <si>
    <t>RT @John_KissMyBot: GOP Rep Jim Jordan GETS IT And Paul Ryan Has NO CLUE 
Ryan is pushing a 1.3 Trillion Dollar spending Bill That DOESN’T…</t>
  </si>
  <si>
    <t>RT @gr8tjude: Spending on planned parenthood- ObamaCare and money to take away people’s 2nd Amendment liberties?
#omnibusbill 
#omnibus htt…</t>
  </si>
  <si>
    <t>RT @Lrihendry: The American people are calling for Mitch McConnell and Paul Ryan to be replaced! @realDonaldTrump</t>
  </si>
  <si>
    <t>RT @RealJamesWoods: I never imagined I could loathe the @GOP more than the I loathe @TheDemocrats, but they got me with this suck-ass budge…</t>
  </si>
  <si>
    <t>RT @michaelbeatty3: My prayer for the next 24 hours
President .@realDonaldTrump rejects 
the bill tomorrow as OUTRAGEOUS
&amp;amp; demands they br…</t>
  </si>
  <si>
    <t>RT @DonnaMartinNeth: @POTUS....VETO the Omnibus Bill!!
Defund Sanctuary cities
Defund Planned Parenthood
FUND the damn wall ! https://t.co/…</t>
  </si>
  <si>
    <t>RT @PersistenceTee: A $12 million increase in Senate staff salaries, $15 million to study high obesity counties, $8 million for breastfeedi…</t>
  </si>
  <si>
    <t>RT @fordhatchgt81: @REALDONALDTRUMP WHAT IS REALLY RIDICULOUS IS THAT 2 OR 3 COUNTRIES IN THE EAST GET SOME KIND OF BORDER SECURITY BEFORE…</t>
  </si>
  <si>
    <t>RT @TerryHaas1: @POTUS @EricTrump @DonaldJTrumpJr @FLOTUS @IvankaTrump Schumer said: Going after the FBI would have many ways to get back a…</t>
  </si>
  <si>
    <t>RT @TeaPartyOrg: SHOCK! Paul Ryan’s Omnibus Bill Funds Border Security in TUNISIA and JORDAN — But Not US! (VIDEO) https://t.co/mSsOgEn2hP</t>
  </si>
  <si>
    <t>RT @LouDobbs: RINOs join the “Resistance”- Ryan &amp;amp; McConnell blow up fiscal policy with another $1.3T in deficit spending, aligning with Dim…</t>
  </si>
  <si>
    <t>RT @LouDobbs: #LDTPoll: Do you believe RINOs Ryan &amp;amp; McConnell would rather bankrupt the nation than stand up to the Establishment, Deep Sta…</t>
  </si>
  <si>
    <t>RT @wvufanagent99: WHAT THE ACTUAL F**K?!
The 2,232 page omnibus bill includes a specific clause BARRING FUNDING FOR A WALL on the souther…</t>
  </si>
  <si>
    <t>RT @girl4_trump: This is exactly the #Swamp scum @realDonaldTrump has to drain. 
Communist Chinese Government’s Bank of China Appointed #Mi…</t>
  </si>
  <si>
    <t>RT @SicilianGirl208: @PatriotArmy50 @LuvStarsStripes @realDonaldTrump @SpeakerRyan Thankfully, the House Freedom Caucus sent a letter to Pr…</t>
  </si>
  <si>
    <t>RT @PatriotArmy50: Dear @realDonaldTrump...VETO the @SpeakerRyan Omnibus(t) Spending Bill. 
🚫 Money for Sanctuary Cities
🚫 Money for Plann…</t>
  </si>
  <si>
    <t>RT @jbtole2: Congress Gives Itself a Bonus in Omnibus - Senate increases budget by $48 million, salaries by $12 million https://t.co/nJJcHv…</t>
  </si>
  <si>
    <t>RT @6bird4: #omnibus and the biggest pile of manure in the history of the US passed through the bowels of the Senate right on top of the Am…</t>
  </si>
  <si>
    <t>RT @LauraByTheSea58: Looks like Ryan &amp;amp; McConnell are selling us out again
Exclusive -- Mark Meadows on Omnibus Bill: 'Senate Democrats See…</t>
  </si>
  <si>
    <t>RT @Str8DonLemon: So the transcripts KMOV released further solidify that this entire thing against @EricGreitens is a total witch Hunt!
#M…</t>
  </si>
  <si>
    <t>RT @2018MAGAMidTrmT: It is very clear that The Patriotic American Hero @GenFlynn who sacrificed for 35 years protecting the USA was set up…</t>
  </si>
  <si>
    <t>https://t.co/dvQlGtiXVt</t>
  </si>
  <si>
    <t>RT @SykesforSenate: #BuildTheWallNow - We spend $96 billion/year on illegal immigration. We could spend $20 billion ONCE for a wall. Mere d…</t>
  </si>
  <si>
    <t>RT @aaron_hedlund: Evidence of God's glory through the airplane window! https://t.co/DdmeyMkkB9</t>
  </si>
  <si>
    <t>@aaron_hedlund I've seen it too. https://t.co/mZIu5yChle</t>
  </si>
  <si>
    <t>RT @aaron_hedlund: During my senior year at Duke, I witnessed the public rush to judgment and prosecutorial malfeasance in the Lacrosse cas…</t>
  </si>
  <si>
    <t>RT @EricGreitens: Elijah does fantastic work for the people of Missouri every day. He is a friend, a great member of our team, and an incre…</t>
  </si>
  <si>
    <t>@WillSchamper_ @magathemaga1 @EricGreitens .@WillSchamper_ don't insult me, saying we are on the same side. YOU ARE A COMMIE TROLL POSING AS A CONSERVATIVE! HAHA and you're not a very clever one at that cuz you're stupid ass has been EXPOSED!!!
YES! @aaron_hedlund &amp;amp;
our duly ELECTED GOV @EricGreitens
#JusticeForGreitens https://t.co/xGIobIkBLN</t>
  </si>
  <si>
    <t>RT @Lady_Vi_2U: ILLINOIS &amp;amp; REPUBLICANS - I can't say how disappointed I am in the Primary election in Illinois.  Out of 81,265 people, appr…</t>
  </si>
  <si>
    <t>RT @PeteS77252077: (6) Anyway ... the main of point of this thread is to show that the Missouri media is totally incompetent of just straig…</t>
  </si>
  <si>
    <t>RT @PeteS77252077: (9) Now we are expected to believe some bs that he’s scared?
My issue isn’t with what this guy claims, however. He can…</t>
  </si>
  <si>
    <t>RT @PeteS77252077: (12) So basically:
Ex husband bitter
Ex shopping story around
Politicos knew about it
Media knew about it
And this sup…</t>
  </si>
  <si>
    <t>RT @PeteS77252077: (14) Like I said in previous weeks, there are some people in this world who, like alinski, are willing to “get dirty” 2…</t>
  </si>
  <si>
    <t>RT @PeteS77252077: (18) But when combined — u have taunts 2 Governor, u have this, you have fact that he DIDN’T go to the police—he tried t…</t>
  </si>
  <si>
    <t>RT @PeteS77252077: (23) Also because:
THERE
IS
NO
ACTUAL 
CRIME
If there was, the media would be able to answer the following concerns:…</t>
  </si>
  <si>
    <t>RT @alohabrianb: @thebradfordfile @SpeakerRyan Career Politicians have ZERO negotiations skills. They just fold &amp;amp; rain our HARD EARNED tax…</t>
  </si>
  <si>
    <t>RT @alohabrianb: @SpeakerRyan RINO PLAYBOOK 101
-Post Pro Vet/Military things on Social Media after pushing lefty Globalist/Liberal Agenda.…</t>
  </si>
  <si>
    <t>@WillSchamper_ @magathemaga1 @EricGreitens READ .@WillSchamper_ BIO! HE IS  FIERCELY AGAINST
MISSOURI PATRIOTS!
Will, it just has to INFURIATE you that Patriots haven't &amp;amp; WILL NEVER cave to you &amp;amp; your communist comrade's wicked plan to destroy Our Republic &amp;amp; Our right to LIBERTY &amp;amp; JUSTICE. 
#MAGA 
#JusticeForGreitens https://t.co/1z2VffU5RW</t>
  </si>
  <si>
    <t>WTH??? Nobody questions when a man dies who has outlived his prognosis by 50+ years &amp;amp; I would've dismissed this as photoshop generated except the man's VERIFIED acct @StephenHawking 
 HAS been SUSPENDED by twitter.
Maybe he #Arkansided himself by turning off his own ventilator.♤ https://t.co/7Q19ewrhjk</t>
  </si>
  <si>
    <t>RT @46drhouse: THE TRUTH https://t.co/NMfgHiLOIC</t>
  </si>
  <si>
    <t>RT @MAGA4TRUMP2020: @SpeakerRyan U R A DISGRACE. WE WANT @realDonaldTrump VETO YOUR STUPID DISGUSTING DISGRACEFUL &amp;amp; ABSOLUTELY OUTRAGED BIL…</t>
  </si>
  <si>
    <t>RT @jdolan2020: Trying to be impressive Biden says he wants to “Beat up Trump”. Really???   I’m surprised some father hasn’t kicked his ped…</t>
  </si>
  <si>
    <t>RT @hiwyatt25: "We believe faith and freedom must be our guiding stars, for they show us truth, they make us brave, give us hope, and leave…</t>
  </si>
  <si>
    <t>RT @its7just2me: It seems Paul Ryan-R of Wisconsin has double dipped using CLF to Get Connor Lamb Elected.  Ryan a Republican did not want…</t>
  </si>
  <si>
    <t>RT @its7just2me: No wonder Republicans Conservatives are getting confused. First McConnell helped Luther Strange by using RNC Donor fund to…</t>
  </si>
  <si>
    <t>RT @its7just2me: Well, guess what Folks? The Swamp Denizens McConnell &amp;amp; Ryan are not just planning to *Tax the Internet they are planning a…</t>
  </si>
  <si>
    <t>RT @bacon_texas: Adolf Hitler was a Socialist Liberal. 
NAZI stands for National Socialist German Workers‘ Party 😧
He was #ProChoice (see…</t>
  </si>
  <si>
    <t>RT @EntheosShines: WE ARE AT WAR:  Seth Rich Investigator Survives SECOND ASSASSINATION ATTEMPT - Shot In The Back Twice By #DeepState Hitm…</t>
  </si>
  <si>
    <t>RT @MoRepEvans: My Rep. @AnnLWagner has been fighting in the trenches against sex trafficking for years. So proud that the Senate has passe…</t>
  </si>
  <si>
    <t>RT @michaelbeatty3: 🔥ATTENTION CONSERVATIVES🔥
The #GOP are praying, with all the 
distractions happening, we won't notice
that the new budg…</t>
  </si>
  <si>
    <t>RT @joel_capizzi: The Jig's up on Josh Hawley.
Mitch McConnell to hold fundraiser for his #1 recruit confirming what we knew all along:
J…</t>
  </si>
  <si>
    <t>RT @JeffMontes5: #DrainTheSwamp @realDonaldTrump 
The moment you realize there is ONLY one political party in the USA. 
#DeepState https:…</t>
  </si>
  <si>
    <t>RT @LauraLoomer: The #AustinBomber has been dead for less than 24 hours and we have already seen surveillance footage of him. 
It’s been 6…</t>
  </si>
  <si>
    <t>RT @Sticknstones4: @STLCrimeBeat  https://t.co/VE1RCbMepW</t>
  </si>
  <si>
    <t>RT @46drhouse: SWEET KARMA https://t.co/xFgJAKuFZc</t>
  </si>
  <si>
    <t>https://t.co/5IuQMBmZpi</t>
  </si>
  <si>
    <t>This is all that's going to be left of this WICKED SOROS-PAID ACTIVIST WITCH when the TRUTH of her FILTHY DEEDS against #Greiten is exposed to the LIGHT.
STOP these political #WitchHunts
CALL #Congress #Senate #Moleg
to
STAND for #TruthAndJustice
&amp;amp;
UPHOLD #DulyElectedOfficials https://t.co/R3oKV397iQ</t>
  </si>
  <si>
    <t>@catdeeann @magathemaga1 @Monetti4Senate I'm not attacking you at all. What I'm saying is that you need to look in to things a little bit more, because it's NOT hard to tell that @Monetti4Senate is NOT #AmericaFirst.</t>
  </si>
  <si>
    <t>RT @magathemaga1: #moleg #greitens #GreitensIndictment #mogov
@EricGreitens @jallman971 @SpeakerTimJones @CStamper_ https://t.co/dCDhKIb92f</t>
  </si>
  <si>
    <t>@catdeeann @magathemaga1 @Monetti4Senate One would think an All American Girl would support an #AmericaFirst candidate. This is a United States  Senate seat, not a British Parliamentary position!!! With just a tad of research, you'd see that @Monetti4Senate is NOT #AmericaFirst and you are being duped, BIG TIME.</t>
  </si>
  <si>
    <t>RT @ChanelRion: @magathemaga1 @Monetti4Senate @HawleyMO @SykesforSenate @AP4Liberty https://t.co/02PH39Qqx4 --Our s. border is a national s…</t>
  </si>
  <si>
    <t>RT @wu_ferguson: be kind to unkind people, they need it the most.</t>
  </si>
  <si>
    <t>RT @SykesforSenate: If they can take away our #SecondAmendment, they can take away ALL of our Constitutional Amendments.
Read more here: ht…</t>
  </si>
  <si>
    <t>RT @RightlyNews: Great moment! Watch President Trump catch First Lady Melania after she almost falls over on the White House lawn: https://…</t>
  </si>
  <si>
    <t>RT @HillestadNils: ‘They were on our side’: @Facebook ‘allowed’ #Obamacampaign to #minedata https://t.co/ma12prFPGs https://t.co/1D2tvkKIDl</t>
  </si>
  <si>
    <t>RT @5Strat: 2) #MSM / #DeepState / #CIA / #DNC is trying to cover up the fact that they got access to 50 Million Facebook Users data direct…</t>
  </si>
  <si>
    <t>RT @Heyoka_Hawk: @5Strat @TrishaDishes @messenger_3_6_9  @KimDotcom @QanonPosts @CraigRSawyer @cajunsoulfire74 @B75434425 
@realDonaldTrump…</t>
  </si>
  <si>
    <t>RT @5Strat: The day you realize that 95% of the shootings, bombings, terrorist attacks and threats of War are generated/planned &amp;amp; executed…</t>
  </si>
  <si>
    <t>RT @ArizonaKayte: .@FLOTUS: "I’m here with one goal: helping children in our next generation." At a roundtable on cyberbullying Tuesday, @F…</t>
  </si>
  <si>
    <t>RT @joel_capizzi: Cries for gun control = classic Hegelian Dialectic.
"First a problem is created and designed to elicit a certain reactio…</t>
  </si>
  <si>
    <t>RT @Hope4Hopeless1: @MAGAGunslinger ATTENTION US CITIZENS!
A US Senate Candidate frm MO @Monetti4Senate has hired this BRITITH SNAKE in LO…</t>
  </si>
  <si>
    <t>@MAGAGunslinger ATTENTION US CITIZENS!
A US Senate Candidate frm MO @Monetti4Senate has hired this BRITITH SNAKE in LONDON to run his Campaign using   DATA ANALYTICS to MANIPULATE &amp;amp; CONTROL #MOSEN Voters!
UK IS MANIPULATING &amp;amp; CONTROLLING OUR ELECTIONS!!
           READ
https://t.co/erKb2blI3o https://t.co/cXgx5tzMdB</t>
  </si>
  <si>
    <t>RT @MAGAGunslinger: 🇬🇧#StopMeddling🇬🇧
Let's worry about #Russia meddling, but my goodness when did it become OK for the #Brits #MI6 #GHCQ…</t>
  </si>
  <si>
    <t>RT @Nov2018election: @SebGorka @Monetti4Senate @realDonaldTrump No. We need @SykesforSenate Missouri Courtland Sykes 4 US Senate!! Who scru…</t>
  </si>
  <si>
    <t>RT @MAGAGunslinger: @Nov2018election @HDowning113 @SebGorka @Monetti4Senate @realDonaldTrump @SykesforSenate @HawleyMO Pretty gutsy that th…</t>
  </si>
  <si>
    <t>RT @TheGunGuy85: @Nov2018election @MAGAGunslinger @HDowning113 @SebGorka @Monetti4Senate @realDonaldTrump @SykesforSenate Well well well. I…</t>
  </si>
  <si>
    <t>RT @Nov2018election: @SebGorka @Monetti4Senate @realDonaldTrump @HawleyMO  https://t.co/pKOvk4P4An</t>
  </si>
  <si>
    <t>RT @Nov2018election: @SebGorka @Monetti4Senate @realDonaldTrump Proof Britt Hayden Snape is still managing Missouri Senate Candidate Monett…</t>
  </si>
  <si>
    <t>RT @MAGAGunslinger: @Nov2018election @HDowning113 @SebGorka @Monetti4Senate @realDonaldTrump @SykesforSenate Wondering how a #British citiz…</t>
  </si>
  <si>
    <t>RT @Nov2018election: @MAGAGunslinger @HDowning113 @SebGorka @Monetti4Senate @realDonaldTrump @SykesforSenate Why Does Monetti 4 Senate Have…</t>
  </si>
  <si>
    <t>RT @ChucksWife1973: @joel_capizzi @PeteS77252077 @GOP @parscale @HawleyMO @Monetti4Senate @SykesforSenate @LarrySchweikart @MissouriGOP Als…</t>
  </si>
  <si>
    <t>RT @ChucksWife1973: @joel_capizzi @PeteS77252077 @GOP @parscale @HawleyMO @Monetti4Senate @SykesforSenate @LarrySchweikart @MissouriGOP  ht…</t>
  </si>
  <si>
    <t>RT @joel_capizzi: @PeteS77252077 @GOP @parscale @HawleyMO @Monetti4Senate @SykesforSenate @LarrySchweikart @MissouriGOP Let me be crystal.…</t>
  </si>
  <si>
    <t>RT @joel_capizzi: @PeteS77252077 @mi2guys @ChucksWife1973 @GOP @parscale @HawleyMO @Monetti4Senate @SykesforSenate @LarrySchweikart @Missou…</t>
  </si>
  <si>
    <t>RT @magathemaga1: #MOSEN Poll
Who will back @realDonaldTrump the most? We need a senator who will back team #MAGA , end MUELLER WITCHHUNT,…</t>
  </si>
  <si>
    <t>RT @CarrollQuigley1: #LockThemAllUp 
#ConflictOfInterest
These people are sick. https://t.co/3lw5STAj49</t>
  </si>
  <si>
    <t>RT @alohabrianb: THANK YOU NURSES! 
#NationalNursesDay 🇺🇸 https://t.co/KjsNwbuD1l</t>
  </si>
  <si>
    <t>RT @Str8DonLemon: @MIZCRB @Sticknstones4 @DanLHutton @JeffSmithMO @EricGreitens Additionally, nobody attacked women.
You are hallucinating…</t>
  </si>
  <si>
    <t>RT @Pickles0201: @Hope4Hopeless1 @Nov2018election @On_The_Hook @SykesforSenate @Monetti4Senate MISSOURI 🇺🇸
VOTE ✔ COURTLAND SYKES 
@Sykesf…</t>
  </si>
  <si>
    <t>@Fuctupmind What does PrimeMarxist Theresa Mary May &amp;amp; her Muzzo-Luvin Comrades let those poor blokes carry? Water-guns?</t>
  </si>
  <si>
    <t>RT @Fuctupmind: Here is a video clip of the British police.
Note they do NOT carry guns.
If you listen carefully, you'll hear what it sou…</t>
  </si>
  <si>
    <t>RT @BigLeague2020: @joel_capizzi @SykesforSenate ♦️Strong On National Security♦️
Why?
#Navy #Veteran Who Defended Our Freedoms 
🇺🇸VOTE C…</t>
  </si>
  <si>
    <t>RT @joel_capizzi: Candidate Trump on DACA:
"They have to go. Either we have a country or we don't".
#ENDDACA
#BuildTheWall 
#AmericaFirst…</t>
  </si>
  <si>
    <t>RT @joel_capizzi: Clear enough?
Vote @SykesforSenate and #DrainTheSwamp https://t.co/I1y057B44B</t>
  </si>
  <si>
    <t>RT @Hope4Hopeless1: 》》》YOU'LL NEVER BELIEVE WHO ROD ROSENSTEIN'S WIFE IS!!! 《《《
THIS INFO MUST GO VIRAL!!!
#FireRosenstein
#DrainTheSwamp…</t>
  </si>
  <si>
    <t>RT @JosephPuig: @theresa_https://t.co/9NhFq3PMFE</t>
  </si>
  <si>
    <t>RT @ColumbiaBugle: .@AnnCoulter over whether it was harsh to fire McCabe days before his pension: "I might have waited a few hours before."…</t>
  </si>
  <si>
    <t>RT @JoeB202: @SusanStormXO @GenFlynn @JosephJFlynn1 @GemMar333 @KatTheHammer1 @Jillibean557 @WomenforTrump @starcrosswolf @BarbaraRedgate @…</t>
  </si>
  <si>
    <t>RT @robjh1: This is a nut 🥜 .  Every time the president executes his constitutional duties the left and Liberal MSM goes nuts 🥜.  Don't be…</t>
  </si>
  <si>
    <t>RT @SykesforSenate: Busted! @Monetti4Senate and @AP4Liberty in a pre-debate warmup over the buffet line in Carroll County. #MOSen https://t…</t>
  </si>
  <si>
    <t>RT @SykesforSenate: Great night! Thank you Carroll County! #MOSen #MAGA https://t.co/LWe5aJZEBi</t>
  </si>
  <si>
    <t>RT @Str8DonLemon: Decided 2 Endorse McCaskill 4 #MoSen
Why?
✔️She is for GUN CONFISCASTION
✔️She is for MORE ILLEGAL IMMIGRATION
✔️She is…</t>
  </si>
  <si>
    <t>RT @joel_capizzi: @BigLeague2020 @Nov2018election @JoshAlterity @KCDeGo3 @technowizardry @AP4Liberty @AGJoshHawley @SykesforSenate @Monetti…</t>
  </si>
  <si>
    <t>RT @DeltaMike1776: 🇺🇸PATRIOTS!🇺🇸Please thank Larry Nichols that HRC is not POTUS! Larry’s life mission is to TAKE DOWN THE CLINTONS. He has…</t>
  </si>
  <si>
    <t>RT @Hope4Hopeless1: @Nov2018election @On_The_Hook @SykesforSenate @Monetti4Senate STILL won't answer why he's hired a Foreign National in t…</t>
  </si>
  <si>
    <t>RT @BigLeague2020: @magathemaga1 @AP4Liberty @HawleyMO @Monetti4Senate @SykesforSenate @GOP @MissouriGOP ♦️Strong On National Security♦️
#…</t>
  </si>
  <si>
    <t>RT @antischool_ftw: LOCK UP THE CROOKS @realDonaldTrump https://t.co/0WDfdImb4E</t>
  </si>
  <si>
    <t>RT @RyanAFournier: Andrew McCabe now has to sign up for Obamacare... 😂</t>
  </si>
  <si>
    <t>@magathemaga1 @AP4Liberty @HawleyMO @Monetti4Senate @SykesforSenate @GOP @MissouriGOP https://t.co/wM1pv2XKmw https://t.co/YNgPwrO7K0</t>
  </si>
  <si>
    <t>RT @magathemaga1: #MOSEN POLL TIME
Which Senate candidate is strongest on stopping illegal immigration and enforcing our immigration laws?…</t>
  </si>
  <si>
    <t>RT @SiddonsDan: “Breaking! McCabe Altered FBI Reports To Frame Trump. [@FBI] director Chris Wray maybe next to be fired. We will fight, we…</t>
  </si>
  <si>
    <t>RT @PeteS77252077: (1) “Polls”
Nice Try Scott. 
I can get a poll to say anything I want, and I’ve been hired to do so in the past. The ma…</t>
  </si>
  <si>
    <t>RT @gungal45: You have the audacity to speak of #MoralTurpitude when yourself lied under oath. #Sessions is coming for you and about 65 mil…</t>
  </si>
  <si>
    <t>RT @TT45Pac: Perfect Tweet to bypass Fake News MSM.
Potus is on 🔥🔥🔥
Comey is next... Just watch. https://t.co/VdNu7psvxY</t>
  </si>
  <si>
    <t>@TruthinGov2016 https://t.co/jvCiL2C5cg</t>
  </si>
  <si>
    <t>RT @StandingDarrell: 🇺🇸John Brennan you’re next ~ allah won’t help you ~ liar liar 🤥 pants on fire 🔥~ if you listen to my video there’s a b…</t>
  </si>
  <si>
    <t>RT @thebradfordfile: America:
May your neighbors respect you,
Trouble neglect you,
The angels protect you,
And heaven accept you.
Happy S…</t>
  </si>
  <si>
    <t>RT @Lady_Vi_2U: @GOPChairwoman @Tfrank1e @realDonaldTrump Respectfully Ronna - We have Districts right now with NO CANDIDATES running!  Ste…</t>
  </si>
  <si>
    <t>RT @President1Trump: Love Don King: King says the first thing that real Donald Trump said that touched his heart was, “I will take this sys…</t>
  </si>
  <si>
    <t>RT @RodStryker: McCabe, YOU'RE FIRED!
You deserve to spend your retirement in GITMO.
No pension.
No freedom.
No family time.
You ruined…</t>
  </si>
  <si>
    <t>RT @etr55: Be VERY grateful https://t.co/qtdmXcGkJh</t>
  </si>
  <si>
    <t>RT @Hope4Hopeless1: @TruthinGov2016 ■INFURIATING■
LOOK WHO THE UGLY LITTLE CREEP IS MARRIED TO!
THESE BRAZEN CRIMINALS ARE RUBBING THEIR…</t>
  </si>
  <si>
    <t>@TruthinGov2016 ■INFURIATING■
LOOK WHO THE UGLY LITTLE CREEP IS MARRIED TO!
THESE BRAZEN CRIMINALS ARE RUBBING THEIR CRIMES IN OUR FACES AND BEING PAID BIG $$$ TO DO IT!!!
https://t.co/4qfCBifORC</t>
  </si>
  <si>
    <t>@CraigRSawyer There is something SO ATTRACTIVE about men actually being men and protecting women and children. Thank you all for ALL you do!</t>
  </si>
  <si>
    <t>RT @CraigRSawyer: I am SAWMAN. I empower patriots &amp;amp; defend the defenseless. #NavySEALs #tacticalinsider #V4CR #Contraland  #Freedom #Libert…</t>
  </si>
  <si>
    <t>RT @robjh1: I am going out on a limb here, but while many have been questioning AG Sessions ability to do his job, I think he knows exactly…</t>
  </si>
  <si>
    <t>RT @joel_capizzi: The truth about gun control. 
That HRC is not POTUS was Divine intervention, plain and simple. https://t.co/9bg9na85pX</t>
  </si>
  <si>
    <t>》》》YOU'LL NEVER BELIEVE WHO ROD ROSENSTEIN'S WIFE IS!!! 《《《
THIS INFO MUST GO VIRAL!!!
#FireRosenstein
#DrainTheSwamp
#FireRosenstein https://t.co/UfHJ6RzHa6</t>
  </si>
  <si>
    <t>RT @SykesforSenate: Can we promote that charity boxing match between McCabe and General Flynn now? I'd like to see Flynn maul this guy. htt…</t>
  </si>
  <si>
    <t>@Whatever22302 @IamRemoWilliams @SykesforSenate Trev Trev troll, you know nothing about which you speak now take your 131 resisto trolls with you and slither back under your rock.</t>
  </si>
  <si>
    <t>@thebradfordfile Yep, pretty sure this just got him put on her's and a lot of their cronies "to do" list. I hope he stays safe, cuz they don't plan on singing the chorus "and we all go down together" from that Billy Joel song.</t>
  </si>
  <si>
    <t>RT @BeatByte: The St. Louis lawyer for a man whose wife had an extra-marital affair with #MoGov Eric #Greitens dropped an unexpected bombsh…</t>
  </si>
  <si>
    <t>RT @PeteS77252077: @JesseLawder @ScottCharton @Str8DonLemon @BradKetcher @AGJoshHawley @EricGreitens @stltoday @SpeakerTimJones @jallman971…</t>
  </si>
  <si>
    <t>RT @PeteS77252077: @ScottCharton @Str8DonLemon @BradKetcher @AGJoshHawley @EricGreitens So are you a “journalist” or an advocate?
There’s…</t>
  </si>
  <si>
    <t>RT @technowizardry: #Missouri #GOP #Midterms2018 #RedStatesWithBlueSenators
What Missouri GOP Senate hopeful do you believe has the best c…</t>
  </si>
  <si>
    <t>RT @StandingDarrell: 🇺🇸Our .@POTUS .@realDonaldTrump is magic and we all know it ~ 🎶 never believe it’s not so 🎶 #MakingAmericaBelieveAgain…</t>
  </si>
  <si>
    <t>RT @joel_capizzi: Connect the dots.  Josh Hawley plays it safe, calls out Schumer by name but conveniently leaves out Mitch Mcconnell. Why?…</t>
  </si>
  <si>
    <t>RT @PeteS77252077: #GreitensIndictment explained:
No evidence 
No probable cause 
It’s Politically Motivated
Establishment out to get him…</t>
  </si>
  <si>
    <t>RT @alohabrianb: @JerieQuinty Aaannnd the news of Obama allowing Hezbollah to operate money making drug, arms &amp;amp; vehicle enterprises in USA.…</t>
  </si>
  <si>
    <t>RT @ar15m4mid: Student removed from march for having a sign saying "Guns don't kill people, People kill people"
1st Amendment rights? No👈
P…</t>
  </si>
  <si>
    <t>@smileygurl56 @RejeanHebert1 @2runtherace @POTUS @realDonaldTrump Thanks Joy, it was just a hunch that we could possibly be being led to this obscure person by way of his quote.</t>
  </si>
  <si>
    <t>RT @Saccone4PA18: Thank you for your support. As we go through the process to ensure the integrity of the Special Election, we must also fo…</t>
  </si>
  <si>
    <t>RT @AveryChatman: People need to focus on themselves and loving themselves before they try to love someone else. You can’t chase after some…</t>
  </si>
  <si>
    <t>RT @PeteS77252077: MO Journalists claiming they care about truth is like Shaun King claiming he’s black: Not True
If U actually cared abou…</t>
  </si>
  <si>
    <t>RT @2runtherace: Encouraging Anon post and response from another Anon! Thank you @realDonaldTrump #QAnon #GreatAwakening @realDonaldTrump @…</t>
  </si>
  <si>
    <t>RT @realDonaldTrump: Hundreds of good people, including very important Ambassadors and Judges, are being blocked and/or slow walked by the…</t>
  </si>
  <si>
    <t>RT @2runtherace: The Houston Astros present President Trump with a jersey to commemorate their World Champion win in 2017! What a perfect n…</t>
  </si>
  <si>
    <t>RT @RejeanHebert1: @2runtherace @POTUS @realDonaldTrump @REALDONALDTRUMP @POTUS  #QAnon  #internetbillofrights
#MockingBirdAwards #GreatAwa…</t>
  </si>
  <si>
    <t>RT @Hope4Hopeless1: @RejeanHebert1 @2runtherace @POTUS @realDonaldTrump https://t.co/d8PT0k33dt</t>
  </si>
  <si>
    <t>@RejeanHebert1 @2runtherace @POTUS @realDonaldTrump https://t.co/d8PT0k33dt</t>
  </si>
  <si>
    <t>@2runtherace @POTUS @realDonaldTrump https://t.co/d8PT0k33dt</t>
  </si>
  <si>
    <t>@smileygurl56 @2runtherace @jeffsessions @POTUS @realDonaldTrump I'm not feeling well enough to look, but there may be more with this Phillip Guston.</t>
  </si>
  <si>
    <t>RT @amy_frizz: @2runtherace @milove131 @POTUS @realDonaldTrump No Senator McCain, the darkest chapter in our intelligence community's histo…</t>
  </si>
  <si>
    <t>@2runtherace @jeffsessions @POTUS @realDonaldTrump Did Q expect us to keyword the start of quote w majic? This is the first thing to pop up. I think it may be from a famous painter. It's not about majic but about painting being an illusion, a "piece" of magic https://t.co/m7LvJVs42j</t>
  </si>
  <si>
    <t>@ErikOnDemand @Deplorable1NYC @2runtherace @POTUS @realDonaldTrump I'm sorry Erik, I clicked on this reply after I posted and saw that you had made the point already. I think the key is, why did he leave out the word turning.</t>
  </si>
  <si>
    <t>@2runtherace @POTUS @realDonaldTrump He left the word TURNING out. It's "keep turning a blind eye".</t>
  </si>
  <si>
    <t>RT @joel_capizzi: Busted: Josh Hawley. Unless you can tell me how he argued the Hobby Lobby case before the supreme Court a year before he…</t>
  </si>
  <si>
    <t>RT @2runtherace: Dual-Citizenship Dual-Loyalty 8 Chan Post! #QAnon #GreatAwakening #AmericaFirst @POTUS @realDonaldTrump https://t.co/IvgGR…</t>
  </si>
  <si>
    <t>RT @JulietPatriot: #Constitution
#PATRIOTS
AMERICAN FREEDOMS
#2ndAmendmentRights 
#NRA BECOME A MEMBER TODAY
A WELL REGULATED MILITIA, BEI…</t>
  </si>
  <si>
    <t>RT @BigLeague2020: Small, Independent Business Drives The Economy
🇺🇸VOTE RICK SACCONE FOR CONGRESS🇺🇸
Endorsed By National Federation Of I…</t>
  </si>
  <si>
    <t>RT @JulietPatriot: HERE’S WHY @AGJeffBSessions MAY BE WASHINGTONS SLYEST FOX🦊😁
https://t.co/m8FQX2LxvM https://t.co/KDTlyeD4Hs</t>
  </si>
  <si>
    <t>RT @magathemaga1: 1.  Sunday Morning #Greitens Thread 
Another day goes by, liberals, media &amp;amp; establishment forces continue to not ask log…</t>
  </si>
  <si>
    <t>RT @magathemaga1: 2. We can only assume that PS got paid by KMOV for tape. That’s usually how these things work. 
If not they should say s…</t>
  </si>
  <si>
    <t>RT @magathemaga1: 3. That said, did PS try to shop this to any of @EricGreitens primary opponents? What about Koster when he ran against hi…</t>
  </si>
  <si>
    <t>RT @magathemaga1: 4. I know others have brought this up, but in what way does this all resemble Comey leaking to start SC?
For anybody who…</t>
  </si>
  <si>
    <t>RT @magathemaga1: 5. And look libs, not gonna have a discussion on Comey — he undeniably broke the law. But his intent was to start a chain…</t>
  </si>
  <si>
    <t>RT @magathemaga1: 6. Process crime here, FARA Violations there, entrapment &amp;amp; modification of 302 forms to entrap people ... of course most…</t>
  </si>
  <si>
    <t>RT @magathemaga1: 7. Purpose of me bringing this up is 2 remind everybody that sometimes the political &amp;amp; legal is NOT POSSIBLE, without fir…</t>
  </si>
  <si>
    <t>RT @USATrump45: "To conquer a nation first disarm its citizens." ~ Adolf Hitler
Democrat beliefs align with Nazi beliefs. https://t.co/2IU…</t>
  </si>
  <si>
    <t>RT @HoosierTrumper: https://t.co/dfZpbI3wBO</t>
  </si>
  <si>
    <t>RT @doglab: It takes 2sec to RT and help him out https://t.co/XVCDLc2pBG</t>
  </si>
  <si>
    <t>@SaucierKathleen @KrisParonto Kathleen, I'm so incredibly happy for Kris and so incredibly thankful to our @POTUS. As a momma myself, it was both heartwrenching and  heartwarming to see how bravely &amp;amp; compellingly you advocated on behalf of your son. 
Stay strong Momma, things are going to get brighter!</t>
  </si>
  <si>
    <t>RT @JerieQuinty: Just a little morning encouragement to fight the good fight and hold on to the freedoms granted to you in Christ. 
Jewel L…</t>
  </si>
  <si>
    <t>RT @PeteS77252077: (68) But I think you are strong, &amp;amp; you will BEGIN TO ACT.
“We are not weak if we make a proper use of those means which…</t>
  </si>
  <si>
    <t>RT @BigLeague2020: @Saphina77 @POTUS @realDonaldTrump @Saccone4PA18 Saphina, without a doubt, The Greatest President.
He was one of us ton…</t>
  </si>
  <si>
    <t>RT @watspn1013: @SusanStormXO @realDonaldTrump President Trump did the right thing for this young sailor!  Well done Sir!</t>
  </si>
  <si>
    <t>RT @SusanStormXO: #Bravo @realDonaldTrump 
Finally 
 #JUSTICE FOR THIS FAMILY 
🖲#Pardoned Sailor Kristian Saucier Unleashes on Crooked Hil…</t>
  </si>
  <si>
    <t>RT @RickFilon: We've got to regain knowledge again, regain an understanding again, of who we are. Not just those chosen to fuel systems, bu…</t>
  </si>
  <si>
    <t>@Snitfit EWW! I hope gay guys aren't coming up with their own costumes!</t>
  </si>
  <si>
    <t>@Snitfit Racist??? White girl displaying her whiteness oh and her flaming(inflammed) accessories, haha hopefully that's  nothing that a round of Monostat can't clear up. Girl's gotta me miserable.</t>
  </si>
  <si>
    <t>RT @joel_capizzi: Josh Hawley you STILL won't tell MO voters where you stand on Mitch McConnell who along with Bushite Carl Rove recruited…</t>
  </si>
  <si>
    <t>RT @Lady_Vi_2U: Gonna print this out so I can take RED marker and X them out as they go down!!  The STORM is here and it's name is TRUMP!!…</t>
  </si>
  <si>
    <t>RT @RealJamesWoods: You might have a little trouble getting Jewish Americans to embrace this look. Do you have some shiny jackboots and bro…</t>
  </si>
  <si>
    <t>RT @SaucierSadie: https://t.co/yQC2zxSjv5</t>
  </si>
  <si>
    <t>RT @realDonaldTrump: Congratulations to Kristian Saucier, a man who has served proudly in the Navy, on your newly found Freedom. Now you ca…</t>
  </si>
  <si>
    <t>RT @Lady_Vi_2U: Hmmmm... bet it has something to do with gun running!  But that would only be a guess.. LOL  Never expected to lose.. it's…</t>
  </si>
  <si>
    <t>RT @Str8DonLemon: @JaneDueker Testified to what ? 
She kept seeing him. She had another encounter with him SAME DAY. And kept seeing him.…</t>
  </si>
  <si>
    <t>RT @JerieQuinty: Russians everywhere. Kind of makes me wonder if the Russian Mafia is trying to undermine Putin. You know a globalist elite…</t>
  </si>
  <si>
    <t>RT @Str8DonLemon: Yes or no @MOpoliticalguy &amp;amp; @JaneDueker 
⁉️Do they have police report?
⁉️Probable cause?
⁉️Evidence, not hearsay.
⁉️Isn'…</t>
  </si>
  <si>
    <t>RT @sigi_hill: Dear Missourians, We need to stand up for our hard working Gov. Greitens. Every day we see democRATs racketeering our countr…</t>
  </si>
  <si>
    <t>RT @ScreamngEagle: NEVER underestimate a well-trained Security Officer who knows their job ! https://t.co/rWnhxQjQTy</t>
  </si>
  <si>
    <t>RT @ReneeCarrollAZ: #JobsReport
#friyay 
#TinyLivesAtStake 🙏🙏
"My goal is to not just make abortion illegal. My goal is to make it unthink…</t>
  </si>
  <si>
    <t>RT @SykesforSenate: Proud for Kristian Saucier and his family. We need to protect our service members from Washington politics. @SECNAV, th…</t>
  </si>
  <si>
    <t>RT @MaryEllen2204: She ought to be in jail!! https://t.co/9CzCTchn7L</t>
  </si>
  <si>
    <t>RT @GOPPollAnalyst: Oh My God. This is from Kristian Saucier's fundraising page.  @SaucierSadie 👀
Thank you, Jack Purcell!!! ❤️❤️❤️
https:…</t>
  </si>
  <si>
    <t>RT @joel_capizzi: @SykesforSenate, a Navy veteran yourself, thank you for supporting and standing with your shipmate Kristian Saucier. 
#V…</t>
  </si>
  <si>
    <t>RT @SaucierSadie: Thank you so much @realDonaldTrump OUR family’s future is bright. https://t.co/OjaevYofbe</t>
  </si>
  <si>
    <t>RT @JerieQuinty: Praise God!  
Trump pardons former Navy sailor imprisoned for taking photos on nuclear submarine, White House says via the…</t>
  </si>
  <si>
    <t>RT @betsyamc: @Hope4Hopeless1 https://t.co/hTdDsmBGR6</t>
  </si>
  <si>
    <t>RT @SaucierSadie: Thank you everyone FOR BELIEVING and supporting my Husband kris saucier and the words and support you all stood by in our…</t>
  </si>
  <si>
    <t>RT @Hope4Hopeless1: @SaucierSadie Oh Sadie, THIS IS PHENOMENAL NEWS! SO THANKFUL for our President! Please hug Kris for me &amp;amp; tell him he ha…</t>
  </si>
  <si>
    <t>@SaucierSadie Oh Sadie, THIS IS PHENOMENAL NEWS! SO THANKFUL for our President! Please hug Kris for me &amp;amp; tell him he has a Nation of Patriots that are celebrating today &amp;amp; that I hope along will Joel that we'll get to meet you guys in person someday soon. Bless ya'll as you move forward in LIFE</t>
  </si>
  <si>
    <t>@betsyamc Oh MY GOSH!!! BETSY, THANK YOU SO MUCH FOR TELLING ME!!! This is PHENOMENAL NEWS!!! WE HAVE THE BEST PRESIDENT EVER!!!</t>
  </si>
  <si>
    <t>RT @GmanFan45: #DavidHogg Twitter account not even real? looks like his leftist anti Trump anti2a mom is running his account! what kid is t…</t>
  </si>
  <si>
    <t>RT @AnnaApp91838450: https://t.co/X3bDC0F8h0
Roseanne Barr Is a real Patriot
Stands 💯with PRESIDENT Trump
#MAGA 
🙏🇺🇸💯</t>
  </si>
  <si>
    <t>@akaginacaputo @SultryAssassin1 @EricGreitens @GOPLeader @GOPChairwoman @Jim_Jordan @JudgeJeanine @SebGorka @seanhannity Because the leftist Establishment is a machine void of morals &amp;amp; they will do absolutely ANYTHING to gain back control.</t>
  </si>
  <si>
    <t>#WeThePeople LOVE &amp;amp; RESPECT JUSTICE &amp;amp; will not stand by &amp;amp; watch it being used &amp;amp; perverted to bring down political opponents!
Americans, &amp;amp; especially #MISSOURIANS PLEASE take the time to read these POWERFUL threads about what's happening to our duly elected Governor @EricGreitens https://t.co/ZD2POEpJ7j</t>
  </si>
  <si>
    <t>@cindymccain @SenJohnMcCain Hopefully @SenJohnMcCain lives long enough to face the punishment he deserves under UCMJ for his lifetime of TREASON!!!</t>
  </si>
  <si>
    <t>RT @30SecMilitary: Wait for it .. https://t.co/xU7kwq4vs6</t>
  </si>
  <si>
    <t>RT @jetrotter: While Black Americans were being terrorized by the Democrat Party KKK in the 1960's, where the Klan were sometimes aided by…</t>
  </si>
  <si>
    <t>RT @Chicago1Ray: "When Ala Govr George Wallace refused to obey a Federal court order to desegregate the schools, #JFK sent in the Natl Guar…</t>
  </si>
  <si>
    <t>RT @magathemaga1: @antel_rusty Lol whenever I ask real questions about this from the political people in MO about the glaring shadiness of…</t>
  </si>
  <si>
    <t>https://t.co/IaWm3iWBLF</t>
  </si>
  <si>
    <t>RT @tracybeanz: This is beautiful. https://t.co/RbkqYmOXfI</t>
  </si>
  <si>
    <t>RT @Lady_Vi_2U: We ALL know what is going on in the MSM .. total control from the Deep State .. it's not enough to call them FAKE News any…</t>
  </si>
  <si>
    <t>RT @sadciti_wapper: @RealDJSlash @RealSaavedra He may be innocent.  A patsy.  Manipulated.  Used.</t>
  </si>
  <si>
    <t>RT @ReneeCarrollAZ: @VivaLaAmes12 @RepStevenSmith @bocavista2016 @jko417 @AmericanHotLips @RuthieRedSox @MistaBRONCO @VFL2013 @KamVTV @carr…</t>
  </si>
  <si>
    <t>@tkinder @IamRemoWilliams @bec1743 @Monetti4Senate @SebGorka @SykesforSenate https://t.co/47229LDqoa</t>
  </si>
  <si>
    <t>@tkinder @IamRemoWilliams @bec1743 @Monetti4Senate @SebGorka @SykesforSenate  https://t.co/mkQwHAXKgu</t>
  </si>
  <si>
    <t>@tkinder @IamRemoWilliams @bec1743 @Monetti4Senate @SebGorka @SykesforSenate https://t.co/2dJtJ3iibM</t>
  </si>
  <si>
    <t>@tkinder @Monetti4Senate @SykesforSenate  is a TRUE Patriot with grassroot support, who's started to gain attn from larger donors.
In light of the attached tweet that the person @Monetti4Senate has as GATEKEEPER in his Campaign, the fact that he is $HIGHLY FUNDED$ is worrisome! https://t.co/2uIvLUpABn</t>
  </si>
  <si>
    <t>@tkinder @IamRemoWilliams @bec1743 @Monetti4Senate @SebGorka @SykesforSenate Nah, I'll pass. This Foreign National is running all @Monetti4Senate Social Media for his Campaign &amp;amp; the last thing I want is for "them" to have any of my personal information. It's really sad that I'm a potential Constituent, &amp;amp; I don't feel that I can trust "him" w/ that. #MOSEN</t>
  </si>
  <si>
    <t>@tkinder @IamRemoWilliams @bec1743 @Monetti4Senate @SebGorka @SykesforSenate Problems go deeper than him just not being #AmericaFirst
If you could please get a msg 2 @Monetti4Senate that the British Globalist he's hired has a glitch in his Algorithm. I'm a MO citizen who was blocked eventhough at the time I respected his candidacy.
https://t.co/pKbQ2tVgnR</t>
  </si>
  <si>
    <t>RT @Hope4Hopeless1: @GeorgWebb Hey Bub, you're slippin with your cover. Effective larping isn't rocket science. You might need to get more…</t>
  </si>
  <si>
    <t>@Greggorj @wordpressdotcom G, I wish I could give you a whole stream of ♡♡♡♡♡♡♡♡♡♡♡♡♡♡♡♡♡♡♡♡♡♡♡♡'s for tweeting this article. THIS IS RICH!!!</t>
  </si>
  <si>
    <t>@GeorgWebb Hey Bub, you're slippin with your cover. Effective larping isn't rocket science. You might need to get more sleep.
#WeThePeopleArePISSED
&amp;amp;
NOW
#TraitorsMeetUCMJ
IF you're an American Patriot, don't MISINFORM!!!
Operation Cassandra launched in 2008 ...
https://t.co/VnnmJB1hK7</t>
  </si>
  <si>
    <t>RT @SykesforSenate: SEND THIS MESSAGE TO CONGRESS: Tell Mueller to do the right thing. Drop all false charges against Gen. Michael Flynn ➡️…</t>
  </si>
  <si>
    <t>RT @ChanelRion: Her #Hollywood Holiness #MerylStreep. 
#Oscars #HollywoodAgenda https://t.co/wwBBLP5fkC</t>
  </si>
  <si>
    <t>RT @joel_capizzi: As much as I wish Twitter was the public square where all speech is protected by the 1st Amendment, that's not the case.…</t>
  </si>
  <si>
    <t>RT @HDowning113: @Nov2018election @michaelbeatty3 @SykesforSenate Syked for SYKES!🇺🇸🇺🇸 https://t.co/kVvhmi4ba8</t>
  </si>
  <si>
    <t>RT @RealSugarLily: .🚨Suit up Missouri, here's your guy ⬇
👉COURTLAND SYKES👈
MISSOURI MAGA CANDIDATE
VOTE 4 @SykesforSenate
✔Pro-Conservat…</t>
  </si>
  <si>
    <t>RT @tzbauknight: And let's not forget, these aren't small-town cops. These are the police for New York, New York. What kind of monsters are…</t>
  </si>
  <si>
    <t>RT @eagleonetowanta: In preparation for arrests that will need to be made, This amendment signed March 1st by Trump is significant. https:/…</t>
  </si>
  <si>
    <t>RT @awaken_to_maga: Instead of sleepy, lazy, and incompetent, could it be that Jeff Sessions is calm, calculating, and cunning?
#DrainTheSw…</t>
  </si>
  <si>
    <t>@EJ_Atwood Yes, I will be praying for him and your family.</t>
  </si>
  <si>
    <t>RT @Pickles0201: @Hope4Hopeless1 #TinyLivesAtStake 
#FeticideIsMurder 
#ChooseAdoption 
#ChooseLife</t>
  </si>
  <si>
    <t>RT @alohabrianb: @Lady_Vi_2U @President1Trump @PatriotMarie @KrisKobach1787 @realDonaldTrump @JamesOKeefeIII @Project_Veritas 
O'Keefe won…</t>
  </si>
  <si>
    <t>#WeThePeopleArePISSED 
#TrumpTheEstablishmentNOW
#TraitorsMeetYourJUSTICE
https://t.co/jRfOzK8eRG via @youtube</t>
  </si>
  <si>
    <t>RT @SiddonsDan: “In America, children can be legally killed through all nine months of pregnancy, at any time, and for any reason. This vid…</t>
  </si>
  <si>
    <t>THIS video WILL WAKE UP ANYONE WITH A HEART that has bought into the LIES of the Pro-DEATH Party!!! 
#DefundPlannedParenthood
#AllLivesMatter
#StopTheSLAUGHTER
https://t.co/bUDCdxqOf8</t>
  </si>
  <si>
    <t>RT @KimDotcom: Every single American should thank @JulianAssange for exposing how corrupt &amp;amp; criminal your govt agencies are. He’s done more…</t>
  </si>
  <si>
    <t>RT @KimDotcom: What the Deep State means when they scream “National Security”: Don’t look at our crimes, don’t expose our crimes, we are ab…</t>
  </si>
  <si>
    <t>RT @ShaaaaaNaNa: This mornings 4am talking point instructions to the media was this.
 #HRCVideo #QAnon #ClintonRape #ChelseaKnows
https://t…</t>
  </si>
  <si>
    <t>I MEANT *THEIR ELITE PEDOS BRAZENLY being SUPPLIED/FED! 
240 Police saw thru a door &amp;amp; tear a terrorized child frm the arms of her brave Aunt &amp;amp; returned her to ABUSERS! ☆SIGN WH PETITION☆ linked in video to STOP THIS AUNT'S EXTRADITION!
https://t.co/0IrTySKhNm via @youtube</t>
  </si>
  <si>
    <t>RT @CraigRSawyer: If we REALLY want to help children, rescuing victims, arresting their predators, cleaning up gov’t, or educating children…</t>
  </si>
  <si>
    <t>@IAmDustMadeFree @2runtherace @mflew2 @realDonaldTrump @POTUS @FLOTUS @Scavino45 @seanhannity @SebGorka @DonaldJTrumpJr @IvankaTrump @EricTrump https://t.co/Hc1VOhxK5B</t>
  </si>
  <si>
    <t>RT @IAmDustMadeFree: @PatriotHope @2runtherace @realDonaldTrump @POTUS @FLOTUS @Scavino45 @seanhannity @SebGorka @DonaldJTrumpJr @IvankaTru…</t>
  </si>
  <si>
    <t>Here's Hoping...https://t.co/GFGHsSlA3p via @youtube</t>
  </si>
  <si>
    <t>PLS BE WARNED, THIS WILL TEAR YOUR HEART OUT!
EVIL OFFICIALS OF LITHUANIA BRAZENLY RETURN A 
TERRIFIED LITTLE GIRL TO THEY'RE "ELITE" PEDOPHILES!
 @CraigRSawyer
Now THEY'RE trying to extradite her Aunt who COURAGEOUSLY tried to protect her! 
https://t.co/0IrTySKhNm via @youtube</t>
  </si>
  <si>
    <t>RT @2runtherace: This! @realDonaldTrump https://t.co/3onZrcLM7I</t>
  </si>
  <si>
    <t>RT @Brandonbowser45: When all the guns have been banned, 
When all the words have been censored, 
When all the history has been erased,…</t>
  </si>
  <si>
    <t>Hahahaha..."You been catfished little Bro" "You better check if that's an automatic or a stick shift"  hahahaha "She's a Transmissioner" "That's what you are, a Transmissioner" Hahahahahahahahahahahahahahahahahahahahahahahahahahahahahahaha...
https://t.co/UFNlcKVt6E</t>
  </si>
  <si>
    <t>RT @Hope4Hopeless1: @KennedyHDnation Oops! I,ve outed myself as one of the millions that tune in hoping to see the proverbial "Happy Ever A…</t>
  </si>
  <si>
    <t>@KennedyHDnation Oops! I,ve outed myself as one of the millions that tune in hoping to see the proverbial "Happy Ever After" 
I seriously pray these girls are scripted/paid &amp;amp; not truly invested in this human trainwreck "reality" TV aired clips of live last night. Tweeting is sweet stress relief!</t>
  </si>
  <si>
    <t>Alex, I'll take DULL NARCISISTIC
NERDS for $1000
HOST: Name type of jerk who smiles &amp;amp; admires the ring  he's taking back so he can propose
to another woman
NEXT BACHELORETTE for $1500 please
HOST: Name a strong beautiful woman who won't be runnin back 2 her obsessed
$hunky$ EX https://t.co/q1y9sMHzam</t>
  </si>
  <si>
    <t>RT @DavidPattriot: Just a reminder that @HillaryClinton made deals through the @ClintonFdn where she used children as currency. 
#qanon #W…</t>
  </si>
  <si>
    <t>RT @whitewolf2226: @JessWap12 #Qanon We Are Not Your Sheep! https://t.co/ExGYLmwOQm</t>
  </si>
  <si>
    <t>RT @Shelleyflower77: @realDonaldTrump #KrisSaucier SLAMS it out the park today on @foxandfriends now the ball is in your court Mr President…</t>
  </si>
  <si>
    <t>RT @foxandfriends: Former Navy Sailor Kristian Saucier: I mishandled classified info, pled guilty to that mistake and continue to be punish…</t>
  </si>
  <si>
    <t>RT @PardesSeleh: Anybody wanna join me for a jeffsesh? https://t.co/uD9ez60wh2</t>
  </si>
  <si>
    <t>RT @RealKyleMorris: Tonight is the night that Hollywood’s liars, hypocrites, gun-control advocates, pedophiles, and pro-abortion activists…</t>
  </si>
  <si>
    <t>RT @HairedBoy: Wake up people. 
1.They are trying to disarm you.
2.They are interrupting the flow of information.
3.They are attacking the…</t>
  </si>
  <si>
    <t>RT @gal_deplorable: Interesting communications from 1985 between Clowns and Rep Brooker.
Clowns were looking for a way around the Privacy…</t>
  </si>
  <si>
    <t>RT @outlawjw: NOTE: SkyKing messages are used by the US Military when there are orders that require immediate attention. In short things ar…</t>
  </si>
  <si>
    <t>RT @NoMoreLabels73: His name was SETH RICH!
#HisNameWasSethRich #Justice #corruption #FridayFeeling #Qanon #GreatAwakening @POTUS https://…</t>
  </si>
  <si>
    <t>RT @5Strat: The CIA was officially downgraded as an Agency today and made a Department under the NSA. The era of the CIA is officially over…</t>
  </si>
  <si>
    <t>RT @2runtherace: Anon Regarding EO’s #ReleaseTheCures #QAnon #TheStormIsUponUs #GreatAwakening #WeThePeople #TruthBelongsWithThePeople #Int…</t>
  </si>
  <si>
    <t>Why Military Tribunals are the only way these BRAZEN Deep State cockroaches will face Justice for their  crimes against The U.S.A. which include unspeakable crimes against the most vulnerable.
Thanks @POTUS for 3/1 EO  &amp;amp; for your strong leadership to #MAGA
https://t.co/333yQ29zxU</t>
  </si>
  <si>
    <t>RT @Liz_Wheeler: Planned Parenthood to spend $20 MILLION in 2018 to oppose Trump.
We, the taxpayers, give Planned Parenthood $500 MILLION…</t>
  </si>
  <si>
    <t>RT @Jillibean557: You already lost your fuking testicles. Grow up. https://t.co/QH2tUOjvz2</t>
  </si>
  <si>
    <t>RT @Hope4Hopeless1: @Jillibean557 I'll donate the rubber bands! https://t.co/sqd8VRU1Lp</t>
  </si>
  <si>
    <t>@Jillibean557 I'll donate the rubber bands! https://t.co/sqd8VRU1Lp</t>
  </si>
  <si>
    <t>@trumpluver2016 @W_C_Patriot @POTUS Net! I a needa net helpa to BLOCK your ass &amp;amp; your pitiful little troll acct.</t>
  </si>
  <si>
    <t>RT @WayneDupreeShow: 😂Brother Meets Younger Brother’s Girlfriend For First Time; She’s A Transmissioner! 
 https://t.co/J13ZuvK1jF via @Wa…</t>
  </si>
  <si>
    <t>RT @AntonioParis: Uranus is unique among all the planets of the solar system because it essentially orbits on its side, with its axis tilte…</t>
  </si>
  <si>
    <t>RT @TruthFeedNews: ICYMI: How Did Teens Magically Form a Massive ‘Gun Control’ Movement in Just 2 Weeks? https://t.co/mTf1vuaDYq #MAGA #Tru…</t>
  </si>
  <si>
    <t>RT @2runtherace: The Art of War! #QAnon #WeThePeople #GreatAwakening #InternetBillOfRights @realDonaldTrump https://t.co/rlr09gZslC</t>
  </si>
  <si>
    <t>RT @BigLeague2020: @Hope4Hopeless1 @POTUS  https://t.co/l7yqgkHpre</t>
  </si>
  <si>
    <t>@2runtherace @realDonaldTrump If this theory is correct then 11/10's Q correlates with 3/01(day EO signed) said POTUS in Natl Security briefing at 3:02am =3/02 &amp;amp; msg STANDBY. So did he sign this in the Oval Office and it's a GO on 3/2-STANDBY? https://t.co/ysQKb8jo32</t>
  </si>
  <si>
    <t>@2runtherace @realDonaldTrump https://t.co/ayRi4jiLPc</t>
  </si>
  <si>
    <t>@2runtherace @realDonaldTrump https://t.co/g35D2WO6AD?amp=1</t>
  </si>
  <si>
    <t>@BettyLuscious @axlejazzo @realDonaldTrump @POTUS @UN I'm not sure if you follow the Q phenomenon but if you do please read &amp;amp; enjoy the clarity that this brings. 11/10's Q, which if theory is correct, correlates with 3/01(day signed) said POTUS in Natl Security Briefing at 3:02am =3/02 &amp;amp; msg STANDBY.
https://t.co/g35D2WO6AD?amp=1</t>
  </si>
  <si>
    <t>@BettyLuscious @axlejazzo @realDonaldTrump @POTUS No Betty, thank you for tweeting this. I read &amp;amp; reread the Order in your tweet and went looking for explaination. Thanks again, the fact this isn't getting out on here makes me even more suspicious &amp;amp; also more convinced of it's significance.</t>
  </si>
  <si>
    <t>@axlejazzo @BettyLuscious @realDonaldTrump @POTUS Aww you're welcome. They say it's darkest right before the dawn &amp;amp; It has seemed hopelessly dark since them pulling off another Deep State massacre. My strong belief that this is in the works has been seriously shook, but this news has completely restored my faith in this process.</t>
  </si>
  <si>
    <t>@LouisTabor3 Aww you're welcome. They say it's darkest right before the dawn. It's seemed hopelessly dark since them pulling off another Deep State massacre. My strong belief that this is in the works has been seriously shook, but this news has completely restored my faith in this process.</t>
  </si>
  <si>
    <t>@2runtherace @realDonaldTrump https://t.co/SpkUpOFHJQ</t>
  </si>
  <si>
    <t>I'M SO ENCOURAGED, I'M SHAKING!!!
THIS IS HUGE!!!
WE HAVE THE BEST @POTUS EVER!!!
LOOKS LIKE THESE FILTHY TRAITORS WILL BE HEADED TO GTMO SOON!!! https://t.co/iTUtzlSDUi</t>
  </si>
  <si>
    <t>@BettyLuscious @realDonaldTrump @POTUS Reddit - CBTS_Stream - very interesting NEW executive order from 3/1 - coincidence? https://t.co/RTnBJlPl7h</t>
  </si>
  <si>
    <t>@axlejazzo @BettyLuscious @realDonaldTrump @POTUS Reddit - CBTS_Stream - very interesting NEW executive order from 3/1 - coincidence? https://t.co/RTnBJlPl7h</t>
  </si>
  <si>
    <t>RT @intheMatrixxx: RIP Andrew Brietbart. Died 3/1/2012 after calling out PEDOesta #MAGA 👇🏻#QAnon https://t.co/HLcnwfw5ZZ</t>
  </si>
  <si>
    <t>RT @C_3MAGA: Meet Ben Rhodes
Bro of David, Pres. of CBS News
He has a Creative Writing Degree(lol)
Ben FAILED his FBI Security Clearance
MS…</t>
  </si>
  <si>
    <t>RT @SaucierSadie: A TURN AROUND AFTER RECENT NOTIFICATION OF SUIT..? @PressSec @MikePenceVP @DonaldJTrumpJr @ https://t.co/3xNVNkg1De</t>
  </si>
  <si>
    <t>RT @2runtherace: #SethRich #HisNameWasSethRich #QAnon #GreatAwakening #WeThePeople #TruthBelongsWithThePeople #InternetBillOfRights @realDo…</t>
  </si>
  <si>
    <t>RT @KimDotcom: #SethRich
https://t.co/JjAp0n56JO</t>
  </si>
  <si>
    <t>RT @MikeTokes: WOW: Parkland teacher who saw the shooter says he was in SWAT gear, with helmet, mask, &amp;amp; bulletproof vest. She said he looke…</t>
  </si>
  <si>
    <t>RT @MikeTokes: WOW: An old video has recently surfaced from one of David Hogg's classmates saying David "shouldn't even be in our school, h…</t>
  </si>
  <si>
    <t>RT @BigLeague2020: @joel_capizzi @SykesforSenate 🇺🇸Vote COURTLAND SYKES For U. S. Senate🇺🇸
THE REAL #MAGA CANDIDATE
♦️@SykesforSenate♦️…</t>
  </si>
  <si>
    <t>RT @BigLeague2020: @HDowning113 @Nov2018election @SykesforSenate ♦️SYKED FOR SYKES♦️
#MISSOURI, DO THE RIGHT THING
🇺🇸VOTE FOR COURTLAND S…</t>
  </si>
  <si>
    <t>@Education4Libs So just about every BBQ joint in the Midwest needs to take down their signs because depicting a pig somehow represents humans? What about the Arkansas Razorbacks? Ya'll need to call Soros because fat people need to UNITE! This is "BMI insensitive"</t>
  </si>
  <si>
    <t>@Education4Libs https://t.co/pIb5Hj47Js</t>
  </si>
  <si>
    <t>@jdnurnberg There is college town in Kansas that has statues of their mascot EVERYWHERE! Huge Gorrillas, made of bronze, at the banks, stores, restaurants etc &amp;amp; these statues are also in nearly every yard lining the main street. I dare these nuts to try any of their nonsense in that town.</t>
  </si>
  <si>
    <t>RT @PressSec: Tax cuts, booming economy, and jobless claims lowest in half-century. Reporters who are focused on palace intrigue are missin…</t>
  </si>
  <si>
    <t>RT @Education4Libs: It’s pretty sad how liberals say 18 year olds are too immature to buy guns then turn around &amp;amp; let 8 year olds decide th…</t>
  </si>
  <si>
    <t>RT @Nov2018election: 🇺🇸 November Midterms Are Rapidly Approaching. Please Remember To Vote In Your State Primary🇺🇸 Primary Dates By State 🔽…</t>
  </si>
  <si>
    <t>RT @joel_capizzi: Hawley's all over those bump stocks but backing the President on Mueller, not so much. 
https://t.co/Uw0w77R2VE</t>
  </si>
  <si>
    <t>RT @LarrySchweikart: It's the same way SpewMore reacted when Trump said "I'll sign whatever you bring me"--- till SoewMore brought a bill &amp;amp;…</t>
  </si>
  <si>
    <t>RT @LarrySchweikart: U.S. Real Disposable Incomes Up Most in Five Years on Tax Cuts https://t.co/yT3sb1lf32 via @markets</t>
  </si>
  <si>
    <t>RT @LarrySchweikart: U.S. jobless claims plunge to 49-year low of 210,000  https://t.co/yRPmxSh7wG</t>
  </si>
  <si>
    <t>RT @LarrySchweikart: US Awards $73M Contract for Border Wall Work in New Mexico | Texas News | US News https://t.co/gXUBA3kQun
Winning.</t>
  </si>
  <si>
    <t>RT @Ecnebs: @LarrySchweikart The age issue hopefully will settle down. If laws are going to be changed to keep 18-20yro's from buying certa…</t>
  </si>
  <si>
    <t>RT @TruthMatters13: No more RINOs. No more Liberals. No more Senate Failures.
WATCH FULL VIDEO HERE:  https://t.co/GyNgN5JEEd  
#MAGA #MOSE…</t>
  </si>
  <si>
    <t>RT @RealMAGASteve: The reason I own an AR-15. It’s recommended by the NRA to be the best choice to protect you and your family.
The AR is…</t>
  </si>
  <si>
    <t>RT @PatriotLexi: 📍RUSH: The Left-Wing Groups Propping Up the #ParklandKids📍
Their tragedy's been hijacked by the Dems &amp;amp; converted into the…</t>
  </si>
  <si>
    <t>RT @Pickles0201: Guns Are A Right Not A Question
By giving up 2A we give away all!
✔Missouri 🇺🇸 do the right thing in #MAGA! ❤ 
✔Vote for…</t>
  </si>
  <si>
    <t>RT @ar15m4mid: 🚫🚫🚫🚫Gun🚫🚫🚫🚫
🚫🚫🚫🚫Free🚫🚫🚫🚫
🚫🚫🚫🚫Zones 🚫🚫🚫🚫
Saved a life on Valentine's Day 2018
Nicolas Cruz👈 No one was allowed to defend them…</t>
  </si>
  <si>
    <t>RT @Goz_1911: The TRUTH about the AR Style Rifles‼️                                             By Malena Chastain  https://t.co/2p6Y2IHEBw</t>
  </si>
  <si>
    <t>RT @Jim_Peoples_: This CHAPPAQUIDDICK Thriller Movie Trailer Is A Must See! Liberals Will Fight This One! https://t.co/vyRPO2wVS4 via @Wayn…</t>
  </si>
  <si>
    <t>@Breaking911 @MrEightball1 https://t.co/eHDxxkzyzT</t>
  </si>
  <si>
    <t>@ABC @MrEightball1 https://t.co/eHDxxkzyzT</t>
  </si>
  <si>
    <t>@Fuctupmind @JennyR8675309 Or to join the military.</t>
  </si>
  <si>
    <t>@JerieQuinty @MrEightball1 I know, right?</t>
  </si>
  <si>
    <t>@DrMartyFox @realDonaldTrump https://t.co/eHDxxkzyzT</t>
  </si>
  <si>
    <t>@MrEightball1 LOVE YOUR MESSAGE "Don't just walk past people. If you can help, do so"
Mike Lewis II, you are A STAR HUMAN BEING, who is destined to go far! 
Thank you for inspiring us all to do better! https://t.co/4ueYFmV4FJ</t>
  </si>
  <si>
    <t>@JTGilgo @MammaLon @Jennifer4130 Ha, just another Commie making a complete ass of themselves making pathetically stupid points "trying" to reinforce the Deep State's latest gun grab attempt.</t>
  </si>
  <si>
    <t>@Jennifer4130 Ya'll it would be very wise to realize... #WeThePeopleArePISSED and won't be taking any shit from you!!!
https://t.co/KVNyoXUGI2</t>
  </si>
  <si>
    <t>@BradleyMoles @Jennifer4130, where you at? I would LOVE to run into you here in Missouri, introduce myself and just hang out with your crazy ass until the cops arrived.
#WeThePeopleArePISSED</t>
  </si>
  <si>
    <t>RT @BradleyMoles: Aggravated assault with a deadly weapon(felony), intentional battery, robbery of a firearm(felony), brandishing a firearm…</t>
  </si>
  <si>
    <t>RT @DrMartyFox: In 1991 @realDonaldTrump Left His Comfortable Limo To Stop A Mugging In NYC
In 2016 #PresidentTrump Left His Comfortable B…</t>
  </si>
  <si>
    <t>RT @KimDotcom: Former Prime Minister and full-time US fanboy John Key has also wired $13 million of New Zealand tax payer money to the Clin…</t>
  </si>
  <si>
    <t>RT @KimDotcom: My solicitude to @SimonBridgesNZ. He has heroically volunteered to captain the NZ Hindenburg through a Dotcom lightning stor…</t>
  </si>
  <si>
    <t>RT @KimDotcom: I will take the meaning of ‘backfired’ to a whole new level. Watch me.</t>
  </si>
  <si>
    <t>RT @worldnetdaily: There is enough evidence now to arrest former Democratic Party presidential nominee Hillary Clinton and send her... http…</t>
  </si>
  <si>
    <t>RT @JohnTDolan: Good Morning Patriots!!!  Let’s stand together for the common cause “Love of Country”🇺🇸 https://t.co/B1t2BPMQYE</t>
  </si>
  <si>
    <t>RT @thebradfordfile: Hope Hicks blah blah. What about:
👉 Hillary Clinton
👉 John Podesta
👉 Peter Strzok
👉 Bruce Ohr
👉 Nellie Ohr 
👉 Samantha…</t>
  </si>
  <si>
    <t>RT @Nov2018election: @Hope4Hopeless1 @joel_capizzi @SykesforSenate  https://t.co/JAWILjh69q</t>
  </si>
  <si>
    <t>RT @PGutierrez630: H.R.377 - 115th Congress (2017-2018): Muslim Brotherhood Terrorist Designation Act of 2017 | https://t.co/LfXMhu7rF5 | L…</t>
  </si>
  <si>
    <t>RT @Pickles0201: MISSOURI 🇺🇸❤🇺🇸
VOTE ✔ for:
 ➡ @SykesforSenate ⬅ 2018
✔ Do the RIGHT thing! 
✔ Help #MAGA
It's time to drain DC of the corr…</t>
  </si>
  <si>
    <t>RT @Hope4Hopeless1: @joel_capizzi @SykesforSenate FELLOW #MISSOURIANS! 
MSM &amp;amp; every one of the ESTABLISHMENT'S outlets are BLOCKING WORD o…</t>
  </si>
  <si>
    <t>RT @Hope4Hopeless1: ESTABLISHMENT'S #1 recruit HAWLEY as #6RINO
MO BEWARE of HAWLEY &amp;amp; PETERSEN BOTH RINOS @SykesforSenate #AmericaFirst
Co…</t>
  </si>
  <si>
    <t>@joel_capizzi @SykesforSenate FELLOW #MISSOURIANS! 
MSM &amp;amp; every one of the ESTABLISHMENT'S outlets are BLOCKING WORD of this #AmericaFirst #Veteran #Patriot
COURTLAND SYKES 
@SykesforSenate cuz he's a STRONG VIABLE Anti-Estab candidate for US Senate #MOSEN that's NOT INTIMIDATED!!! https://t.co/b8NqfAaYYW</t>
  </si>
  <si>
    <t>RT @joel_capizzi: Is Josh Hawley MAGA?
Here are the facts:
He's the GOP Swamp's #1 recruit.
He was hand picked by never-Trumper Sen John…</t>
  </si>
  <si>
    <t>RT @fanatic_bama: Voter Fraud is A Concern on All Of Our Minds Are Illegals Bring Allowed To Vote ??? The Laws Are There For A Reason https…</t>
  </si>
  <si>
    <t>RT @AnthemRespect: The #NRA (founded in 1871) was heavily involved in protecting the rights of Black Americans to arm themselves #2A agains…</t>
  </si>
  <si>
    <t>RT @CollinRugg: I’m being attacked for pointing out how happy all the Florida shooting survivors on CNN seem.
I guess liberals don’t like…</t>
  </si>
  <si>
    <t>RT @RedNationRising: Americans on Organ Transplant lists have to wait and struggle through the pain of being ill. Most don’t get new organs…</t>
  </si>
  <si>
    <t>RT @Education4Libs: After a school shooting in 1974, Israel passed a law mandating armed security in schools, provided gun training to teac…</t>
  </si>
  <si>
    <t>RT @marydiller818: Even if Becca’s ex is crazy he’s still hawt 💁🏻‍♀️ #TheBachelor</t>
  </si>
  <si>
    <t>RT @Chuuga_1: @AllenKeanna They not ready to catch all this loyalty 😅 they'll prob run back to their ex lmao</t>
  </si>
  <si>
    <t>RT @SavingAmerica4U: 🔴FLASHBACK: New York Daily News
For all the people who are mocking Trump, saying he wouldn't run in to stop a school…</t>
  </si>
  <si>
    <t>RT @MagaApplePie: 🚨Students are protesting the suspension of Tim Locke, a beloved teacher &amp;amp; Iraq War veteran at a NJ HS, for voicing concer…</t>
  </si>
  <si>
    <t>RT @RealSaavedra: #BREAKING: Kentucky school district just voted to let teachers carry concealed guns https://t.co/RMMrRlUL24</t>
  </si>
  <si>
    <t>RT @DMShockley: 😔🙏 https://t.co/7WszeXLYHE</t>
  </si>
  <si>
    <t>@DMShockley As a momma to a radiantly beautiful daughter like Meadow, I can't imagine the level of RIGHTEOUS ANGER  you are dealing with, but I want to thank you for funneling it by allowing Meadow's life to be a powerful voice for truth. Thank you, Sir and I'm so so sorry for your loss.</t>
  </si>
  <si>
    <t>@RealAlexJones @a3auntie https://t.co/B5rn2e5McJ</t>
  </si>
  <si>
    <t>@davidhogg111 @davidhogg111 this goes for you too. You SUCK as a crisis actor/propagandist &amp;amp; ARE MAKING A COMPLETE ASS OF YOURSELF!
https://t.co/T79hkPRjdp</t>
  </si>
  <si>
    <t>ESTABLISHMENT'S #1 recruit HAWLEY as #6RINO
MO BEWARE of HAWLEY &amp;amp; PETERSEN BOTH RINOS @SykesforSenate #AmericaFirst
Courtland Sykes
@SykesforSenate
An open letter to RINO NUMBER SIX: Josh Hawley
(link: https://t.co/UKYI83NSpY) https://t.co/j4jqZQcQRg #DrainTheSwamp #MAGA #MoSen</t>
  </si>
  <si>
    <t>RT @alohabrianb: @Hope4Hopeless1 @tyra_hemans @NRA Lefties sure push the narrative they're told to, don't they? Sad really
Meanwhile @NRA…</t>
  </si>
  <si>
    <t>@tyra_hemans @NRA @tyra_hemans Honey, you need to hang it up as a crisis actor/propagandist.
You made a complete ass of yourself on HLN this morning "attempting"&amp;amp; majorly failing to be able to read your scripted answers. You &amp;amp; #HLN should be ASHAMED of yourselves!!! #FakeNews</t>
  </si>
  <si>
    <t>RT @hrenee80: I’m a patient person. I’m lost. I’m pissed. I’m tired of the chatter. 
How are these people getting away with these horrible…</t>
  </si>
  <si>
    <t>RT @BigLeague2020: @Hope4Hopeless1 @ChanelRion @SykesforSenate Grace, Elegance and Intellect a winning combination.</t>
  </si>
  <si>
    <t>@RobbieRae61 @SykesforSenate https://t.co/Cb94htkgOy</t>
  </si>
  <si>
    <t>All you radical feminists being fooled &amp;amp; used by this highly funded "feminist"movement, ya'll need to just chill cuz @ChanelRion has the type of beauty and grace that @sykesforsenate has sought as a wife and to be the mother of his children.  
https://t.co/tquAvfrTBs</t>
  </si>
  <si>
    <t>@RobbieRae61 Robbin, did I miss something? @sykesforsenate is engaged to an extremely beautiful and intelligent woman. What he said has nothing to do with what he wants from you or other women.</t>
  </si>
  <si>
    <t>RT @GmanFan45: #Skippy, AKA dave #Hogg now linked to a Podesta group, look at the pics below. Is it possible out of a school of 1,000s CNN…</t>
  </si>
  <si>
    <t>RT @Thomas1774Paine: UPDATED: VIDEO Surfaces of Broward Sheriff Providing Weapons Training to Radical Mosque Linked to Terrorist Factions h…</t>
  </si>
  <si>
    <t>RT @SykesforSenate: I am deeply honored to announce today, that Judge Roy Moore of Alabama, unequivocally endorsed my candidacy for the Mis…</t>
  </si>
  <si>
    <t>RT @BenFordham: LISTEN - This is what Michael Wolff was HEARING in his earpiece when he claimed he couldn’t hear my question on @TheTodaySh…</t>
  </si>
  <si>
    <t>RT @SiddonsDan: “If we want to get serious about stopping gun violence, let's talk about the deterioration of the family.”~.@ConservMillen…</t>
  </si>
  <si>
    <t>@tracybeanz @MarchJustice @MarchJustice
https://t.co/ui5fjsfBl8
#WeThePeopleArePISSED
https://t.co/P0eH5h6dpX</t>
  </si>
  <si>
    <t>RT @CoreyLMJones: What two things do liberals want to abolish?
1)Guns
2)Borders
Wait, so Liberals want to import criminals and export our…</t>
  </si>
  <si>
    <t>RT @DJGreenwald: My Current Mood! 👇 https://t.co/gL3DHoazth</t>
  </si>
  <si>
    <t>RT @JohnKStahlUSA: DimLibs never think of unintended consequences. They never use common sense and logic in their ideas. They remain cluele…</t>
  </si>
  <si>
    <t>RT @ord3001: @PrisonPlanet @Hope4Hopeless1 Or get a job, because Barnum &amp;amp; Bailey folded! https://t.co/wGA3WH9143</t>
  </si>
  <si>
    <t>RT @Furrow74Shannon: According to the CDC, 4,400 children commit suicide each year because of bullying at school...
An average of 10 kids…</t>
  </si>
  <si>
    <t>RT @PrisonPlanet: The mind boggles. https://t.co/Ryji8Vt714</t>
  </si>
  <si>
    <t>RT @MrEdTrain: New Song "BIG DON" Is Going Viral for All the Right Reasons https://t.co/YyK6LwIXIa</t>
  </si>
  <si>
    <t>RT @lanele123: @thebradfordfile  https://t.co/qGsQqkuUBY</t>
  </si>
  <si>
    <t>RT @SiddonsDan: Abortion advocates are quickly moving us toward a Nazi-style society where we eliminate people who don't meet their subject…</t>
  </si>
  <si>
    <t>RT @thebradfordfile: America: All of the Amendments work together. Freedom wasn't free... https://t.co/zOk2m2N5Di</t>
  </si>
  <si>
    <t>TWO PARKLAND school bus barns TORCHED at 3AM(Bewitching HOUR) in Houston(HOSP JFK taken to) &amp;amp; Pittsburg!
#DeepStateTREASON in our face with
BLATANT THREAT!
EVIL#DeepState 
DESPERATE PANIC or ARROGANT CONFIDENCE?
Either way #WeThePeopleArePISSED &amp;amp; DEMAND JUSTICE for TREASON!!! https://t.co/g2dvWizWHM</t>
  </si>
  <si>
    <t>RT @Thomas1774Paine: We need to stop calling the Left "Liberals" They Truly Meet ALL the Tenets of Communists:
-Want to change Constitution…</t>
  </si>
  <si>
    <t>RT @DavidRas666: https://t.co/wZmjay4UuT</t>
  </si>
  <si>
    <t>RT @SteveZmann: #QAnon https://t.co/eHidP0B7ZV</t>
  </si>
  <si>
    <t>RT @James_Taylor78: #Q
#Qanon
#ParklandStudents 
#MAGA
#DeepState
#TheStormHasArrived 
#SheriffIsraelWatched https://t.co/rFNLn1YLMN</t>
  </si>
  <si>
    <t>RT @On_The_Hook: #AustinPetersen is 💯% 
‼️ANTI-TRUMP‼️ 
Austin can not be trusted to support the #MAGA agenda, in fact, he thinks it’s stu…</t>
  </si>
  <si>
    <t>RT @annvandersteel: Now this is BRAND LOYALTY!
@SykesforSenate 
#Veterans
#MAGA
@Nov2018election @MAGAGunslinger @On_The_Hook https://t.co/…</t>
  </si>
  <si>
    <t>RT @MrEdTrain: These heroic cops ran toward Florida school shooting https://t.co/1NkbWEHvJr via @nypost</t>
  </si>
  <si>
    <t>RT @TrumpsBlonde: Grieving young teens wanting to dictate #2A gun laws while hitting the media circuit which enhances their “acting” resume…</t>
  </si>
  <si>
    <t>RT @Stonewall_77: Something's fishy in Parkland. A teenage actor ends up in 2 crisis situations in 6 mos, visits CNN ahead of latest, makes…</t>
  </si>
  <si>
    <t>#WakeUpAmerica
THIS is what students &amp;amp; teachers were expecting! CRAP is exactly like what the NON crisis actors described &amp;amp; state they thought was transpiring until they realized THE MASKED SHOOTERS WEREN'T SHOOTING BLANKS!
#DeepStateGunGrab
https://t.co/LdVJRZtaH2 via @youtube</t>
  </si>
  <si>
    <t>RT @ScottPresler: Caleb is a blue-haired, former Bernie Sanders supporter, who now wears a "Socialism Sucks" button. 
I love this new Repu…</t>
  </si>
  <si>
    <t>RT @RyanAFournier: Just remember this man created the gun-free zone act of 1990, 98% of mass shootings have occurred in gun-free zones. htt…</t>
  </si>
  <si>
    <t>RT @linnie13: @dbongino Dan, how quick the media forgets. https://t.co/GtwKIuXwsD</t>
  </si>
  <si>
    <t>RT @JGilliam_SEAL: I am calling for the immediate firing of @browardsheriff @ScottJIsrael &amp;amp; for @FLGovScott to open an investigation into h…</t>
  </si>
  <si>
    <t>RT @SonofLiberty357: Students/parents at Parkland HS shouldn’t be mad at NRA, they should be totally pissed off with Broward County Sheriff…</t>
  </si>
  <si>
    <t>RT @cnille619: #WeThePeople DO NOT CONSENT‼️ #GeoEngineering #LOOKUP 👀☝️☝️☝️ https://t.co/YBodR9QytX</t>
  </si>
  <si>
    <t>RT @Nick_O_Tean: #ResignSheriffIsrael  @browardsheriff You pathetic, gutless, leftist POS.  Thank God for the @CoralSpringsPD officers who…</t>
  </si>
  <si>
    <t>RT @Paul_Meares: @MediaJuggernaut @CoralSpringsPD The look on Sheriff Israel's face when Trump thanks the @CoralSpringsPD first responder:…</t>
  </si>
  <si>
    <t>RT @RealMAGASteve: While Broward deputys were outside hiding from shooter, this hero,  @CoralSpringsPD Sgt. Jeff Heinrich went in school to…</t>
  </si>
  <si>
    <t>RT @DLoesch: Coral Springs PD, in their letter blasting the Broward Co Sheriff, said the truth would come out, and it looks like it is now.…</t>
  </si>
  <si>
    <t>RT @wsvn: @CoralSpringsPD Sgt. Jeff Heinrich was off duty and working on the Stoneman Douglas field when shots rang out. He immediately hel…</t>
  </si>
  <si>
    <t>RT @solentgreenis: What was the name of that County?
Special shout out to @Phyremedic63 for an idea......
#solmemes https://t.co/lSp4jCng…</t>
  </si>
  <si>
    <t>RT @Thomas1774Paine: Broward County Sheriff Would have been Hillary's FBI Director. Think About That.</t>
  </si>
  <si>
    <t>RT @StefanMolyneux: We live in a society where some schoolchildren get suspended for chewing a poptart into the shape of a gun - yet other…</t>
  </si>
  <si>
    <t>RT @wraithvenge: Now the pieces are falling into place. The reason why, after 39 calls, the shooter was never arrested is because the distr…</t>
  </si>
  <si>
    <t>RT @Brazos_n_TX: @TheLastRefuge2 @JohnBouchell @POTUS @seanhannity @ScottPresler 
This thread is profound, John I think it answers question…</t>
  </si>
  <si>
    <t>RT @TheLastRefuge2: Again, the Broward County Sheriff's Office (BSO) didn't make policy or procedure *mistakes*. The approach of ignoring r…</t>
  </si>
  <si>
    <t>RT @threadreaderapp: Trending right now on Thread Reader: https://t.co/mFLjGAZ0Vu</t>
  </si>
  <si>
    <t>RT @RealJamesWoods: It’s difficult to decide which aspect of this is the saddest... https://t.co/dfny28BFNH</t>
  </si>
  <si>
    <t>THIS IS BY FAR THE MOST POWERFULLY INCRIMINATING THREAD I'VE EVER READ!!! https://t.co/LfIbZ6cW2V</t>
  </si>
  <si>
    <t>RT @RealSaavedra: A Convicted felon BANNED from owning guns is charged w/possessing guns that he built:
-13 semi-auto rifles
-11 “ghost gu…</t>
  </si>
  <si>
    <t>RT @ElderLansing: When many women think killing an innocent baby in their womb is "empowering" but carrying a gun to protect themselves and…</t>
  </si>
  <si>
    <t>RT @C_3MAGA: 2018 Democrat Platform 
1. Resist the 2A
2. Resist tax cut wages/bonuses
3. Resist border security
4. Resist job creation
5.…</t>
  </si>
  <si>
    <t>RT @GmanFan45: #CowardofBroward #SheriffIsraelResign #SheriffIsrael  
Corrupt #Browardcounty allows students to commit crimes unreported so…</t>
  </si>
  <si>
    <t>@debz526 @JerieQuinty @GmanFan45 I'm not convinced that he's the perpetrator. IF he was, he DEFINITELY wasn't the sole shooter. Sadly, I think he's a sick &amp;amp; brainwashed tool/ patsy used to push #GunGrabbing agenda. 
This kid's "caretaker" has already filed suit to get the $800K he is to inherit when he turns 22</t>
  </si>
  <si>
    <t>@debz526 @NancyPelosi @SenSchumer @TheJusticeDept @POTUS @PamBondi @FLGovScott @marcorubio @FoxNews @CNN @FEC #GunGrabbing activists are being duped as fools and being used to dupe others. 
#WeThePeople will NEVER give up #2A and allow America to be led to slaughter. Got that? https://t.co/IJiHAbGG4X</t>
  </si>
  <si>
    <t>@harveyharvelson @debz526 @NancyPelosi @SenSchumer @TheJusticeDept @POTUS @PamBondi @FLGovScott @marcorubio @FoxNews @CNN @FEC Harvey, you need to admit that you and ALL your like-"minded" #GunGrabbing activists are being duped as fools and being used to dupe others. 
#WeThePeople will NEVER give up #2A and allow America to be led to slaughter. Got that? https://t.co/kzRAwCauRV</t>
  </si>
  <si>
    <t>RT @Education4Libs: Pay attention, liberals.
Guns were banned in Venezuela in 2012, &amp;amp; now 90% of their population lives in poverty, while…</t>
  </si>
  <si>
    <t>RT @Hope4Hopeless1: @MarkDice @terresapeterson These kids are texting &amp;amp; Face Timing while driving, even "Live" Streaming deaths when they c…</t>
  </si>
  <si>
    <t>@MarkDice @terresapeterson These kids are texting &amp;amp; Face Timing while driving, even "Live" Streaming deaths when they crash, so let's talk about Smart Phone CONTROL- requiring people to be 21 &amp;amp; must prove they're not reckless narcistic attention whores that obsessively post selfies. https://t.co/eoXS8LHUK7</t>
  </si>
  <si>
    <t>RT @JakeHighwell: Liberals would like you to believe gun control is the answer
It doesn't work!
The city of Chicago had almost 1,500 murd…</t>
  </si>
  <si>
    <t>RT @ScreamngEagle: @WOODLAYER77 @Hope4Hopeless1 @YouTube @TrishaDishes -- Here's another Sandy Hook coincidence.  Sandy Hook also was plann…</t>
  </si>
  <si>
    <t>RT @JerieQuinty: @Hope4Hopeless1 This just gets uglier by the day.   Kids got shot and our gov shot them, then used kids to push a politica…</t>
  </si>
  <si>
    <t>This little piece of Soros shit is getting seriously put in his place on Instagram.
#CrisisActorTRAITOR EXPOSED
#FailedDeepStateGunGrab
https://t.co/bMqsRcjWVt https://t.co/33G2cIz2ru</t>
  </si>
  <si>
    <t>RT @tierney_jason: @CNN 
How do you explain this town hall person holding a GMAIL printout titled "Your Question"?
#QAnon 
#CNN lied again…</t>
  </si>
  <si>
    <t>RT @lsmith4680: @realDonaldTrump I agree with all of the above EXCEPT raising the age to 21, UNLESS you plan on raising the military enlist…</t>
  </si>
  <si>
    <t>RT @WOODLAYER77: PARKLAND was "scheduled" for an active shooter drill THE SAME DAY (Teach... https://t.co/BuoxAVTthk via @YouTube #Florida…</t>
  </si>
  <si>
    <t>RT @MammaLon: Prove that the NRA is under investigation for laundering $30 million from the Russians. @lawdood article? Indictment? Just li…</t>
  </si>
  <si>
    <t>RT @Hope4Hopeless1: @DanRather you need to fade off into history as the DISGRACED old poster "boy" turned pathetic Grandaddy of #FakeNews t…</t>
  </si>
  <si>
    <t>@DanRather you need to fade off into history as the DISGRACED old poster "boy" turned pathetic Grandaddy of #FakeNews that you are. 
NEWS FLASH: You're irrelevant! 
A Has Been propagandist PUPPET!
NOBODY believes a word that comes out of your lying mouth! https://t.co/ZjH6Eh3GoH</t>
  </si>
  <si>
    <t>@thebradfordfile @DanRather you need to fade off into history as the DISGRACED old poster "boy" turned pathetic Grandaddy of #FakeNews that you are. 
NEWS FLASH: You're irrelevant! 
A Has Been propagandist PUPPET!
NOBODY believes a word that comes out of your lying mouth!</t>
  </si>
  <si>
    <t>RT @SonofLiberty357: ➡️➡️ Former Navy SEAL: The AR-15 Is A Citizen’s Best Defense Against Terrorism
"Why would you want to ban the gun you…</t>
  </si>
  <si>
    <t>RT @Hope4Hopeless1: @CoreyLMJones Our President @realDonaldTrump showed that he truly cares and has a strong and reasonable plan to avoid s…</t>
  </si>
  <si>
    <t>@CoreyLMJones Our President @realDonaldTrump showed that he truly cares and has a strong and reasonable plan to avoid school massacres. 
I think he just Red Pilled many of those kids that #DeepStateGunGrab are SHAMELESSLY trying to use to disarm America.
https://t.co/IGMnNW7fwp</t>
  </si>
  <si>
    <t>RT @FaithReeI: Baby Is Seeing Mom For The First Time, And His Reaction Is Heart Melting! CLICK-&amp;gt;&amp;gt;-&amp;gt; -&amp;gt; 
  &amp;gt;&amp;gt;&amp;gt;&amp;gt;  https://t.co/UjRDXaWViX htt…</t>
  </si>
  <si>
    <t>RT @jojoh888: As if the situation in #Parkland can't get any weirder. 
"They told us they were going to have fake...um like people being t…</t>
  </si>
  <si>
    <t>RT @On_The_Hook: If you’re seriously considering #GunControlNow I have a little #WednesdayWisdom for all that’s interested.
(This will be…</t>
  </si>
  <si>
    <t>@Transamerica  https://t.co/EVxCD17scm</t>
  </si>
  <si>
    <t>@420liveshere @NDfan1981 @CONNORFORTRUMP  https://t.co/U1XSOTQ52H</t>
  </si>
  <si>
    <t>@RealBobAxelrod @POTUS https://t.co/4ZVg2zN6OS</t>
  </si>
  <si>
    <t>WHOA @RealBobAxelrod this is POWERFUL!
#WeThePeople
#UnitedAndPersistent
WILL
#MAGA
https://t.co/qzKiUKPk85</t>
  </si>
  <si>
    <t>@RealBobAxelrod At :53 there's something flesh colored (haha clarification Caucasian flesh colored) that flashes over your right shoulder.</t>
  </si>
  <si>
    <t>RT @RealBobAxelrod: I changed this video after the #TwitterLockOut.  We are strong like our @POTUS .
🚂🇺🇸❤️
#WednesdayWisdom https://t.co/j…</t>
  </si>
  <si>
    <t>WTH??? Why is this Anti 2A propaganda from Socialist Chicago PD showing up on my feed ONLY because someone I follow apparently follows them. Not liked or retweeted and I don't follow CPD's twitter. Deep state propaganda twits need to be STOPPED NOW!!!
#WeThePeople UNITE!!! https://t.co/lBCl6xL9WQ</t>
  </si>
  <si>
    <t>RT @AnonymissEve: Posted this video and in less than 12 hours @twitter I am added to the list of people lost about 100 followers. Take this…</t>
  </si>
  <si>
    <t>RT @RealSaavedra: Nancy Pelosi Heckled At Town Hall While Criticizing Tax Reform: “How Much Are You Worth, Nancy?”
She replies: "We're not…</t>
  </si>
  <si>
    <t>RT @S_A_Patriot: #QAnon #WeThePeople 
#TheAwakening 
@realDonaldTrump
When the truth haunts you: That moment when you slip up and admit yo…</t>
  </si>
  <si>
    <t>RT @Snitfit: Only way to get @jack's attention is hit his pocketbook. Please reply with this to every promoted tweet. Let's get #TwitterPur…</t>
  </si>
  <si>
    <t>RT @Cowgirls4Trump: @Hope4Hopeless1 @michaelbeatty3 Now that #Persistance‼️‼️💪👍
Excellent Idea‼️👍✅
#letsDoIt https://t.co/1Iz0ew9vKw</t>
  </si>
  <si>
    <t>RT @hickorymtnman: This is what censorship looks like 
#TwitterPurge targets us
I believe all our pro gun tweets and all the stories expo…</t>
  </si>
  <si>
    <t>RT @C_3MAGA: Liberal Hypocrisy Explained:  
Gun Control = Fast n Furious  
Carbon Footprint = Private Jets 
War on Women = Bill Clinton 
O…</t>
  </si>
  <si>
    <t>RT @KimDotcom: Unfortunately the Nobel Peace Prize has no meaning since @BarackObama got one in 2009 and then went on to drone hundreds of…</t>
  </si>
  <si>
    <t>@thebradfordfile https://t.co/axPGit0E1C</t>
  </si>
  <si>
    <t>RT @michaelbeatty3: 🇺🇸THANKS JACK👌🏼
The #TwitterLockOut has awoken
the sleeping giant once again
Feuds &amp;amp; differences be damned
the #MAGA AR…</t>
  </si>
  <si>
    <t>@michaelbeatty3 https://t.co/axPGit0E1C</t>
  </si>
  <si>
    <t>@mitchellvii https://t.co/axPGit0E1C</t>
  </si>
  <si>
    <t>@Thomas1774Paine @LouisTabor3 https://t.co/axPGit0E1C</t>
  </si>
  <si>
    <t>RT @DeplorableJon: Since Twitter thinks it is acceptable to censor and target conservatives, I've decided to block every account that shows…</t>
  </si>
  <si>
    <t>RT @REALtrumpbureau: @TWITTER
70MM OF US ARE ABOUT TO FLOOD YOUR LITTLE PLANTATION
ALL OF US ARE NOW CONTACTING THE FOLLOWING AGENCIES!
@FC…</t>
  </si>
  <si>
    <t>RT @thebradfordfile: Twitter Land is FREAKING OUT.
#TwitterLockout #TwitterPurge https://t.co/2wOr4q3dYw</t>
  </si>
  <si>
    <t>@AngeloRayGomez @TweetTweetHAR Yes, received at 2:46 CT didn't open. Good luck getting to the bottom of this.</t>
  </si>
  <si>
    <t>RT @Thomas1774Paine: I'll be the first 'bot' to ever file a multi million dollar law suit. Wait until the jury sees me. My skin, my feature…</t>
  </si>
  <si>
    <t>RT @cooldogfacts: I'm suspicious of people who don't like dogs, but I trust a dog when it doesn't like a person. #dogsknow https://t.co/w0l…</t>
  </si>
  <si>
    <t>RT @cooldogfacts: If the kindest souls were rewarded with the longest lives, dogs would outlive us all. ♡ https://t.co/3NDswrCgqW</t>
  </si>
  <si>
    <t>RT @joel_capizzi: If you agree,  RT. https://t.co/lVlCQbuJyA</t>
  </si>
  <si>
    <t>https://t.co/7Q9uo9fjqX</t>
  </si>
  <si>
    <t>https://t.co/YHdBgpC6RV</t>
  </si>
  <si>
    <t>https://t.co/NCsGug6cbP</t>
  </si>
  <si>
    <t>This kid says he wasn't worried because they told them that they would be shooting blanks during the "drill".
THIS explains why that kid narrated &amp;amp; took video for Snap Chat where the girl in floral dress sat indian style in the middle of floor &amp;amp; didn't take cover.
#FalseFlag https://t.co/1ZC20YVsJJ</t>
  </si>
  <si>
    <t>RT @jordie_ray: George Soros spent 100s of millions of dollars to influence our election and ""the 13 Russians"" spent "46k". 
Someone ask…</t>
  </si>
  <si>
    <t>RT @JerieQuinty: @Hope4Hopeless1 @mclatterbu And all of Oz rejoiced! https://t.co/MIcvHxqkow</t>
  </si>
  <si>
    <t>RT @ExDemLatina: I’m so sorry for what happened in Florida High School but there is no way I’m letting the generation that was eating Tide…</t>
  </si>
  <si>
    <t>RT @ReneeCarrollAZ: #MondayMotivation
#PresidentsDay2018 
#TinyLivesAtStake 🙏
#AllLivesMatter 
The body INSIDE your body...
...IS NOT YOU…</t>
  </si>
  <si>
    <t>HAHAHAHAHA...@mclatterbu 
"DING DONG THE BITCH IS GONE"
and now it's
"HIGH HO, HIGH HO it's off to GTMO she goes"</t>
  </si>
  <si>
    <t>RT @Lrihendry: I don’t remember the left screaming for gun control when Kate Steinle was killed by an illegal alien.</t>
  </si>
  <si>
    <t>RT @GmanFan45: MUST READ THREAD ABOUT PARKLAND  
💥DC March organized 2 days before shooting
💥Son of antiTrump FBI agent DavidHogg involved…</t>
  </si>
  <si>
    <t>RT @montgomerychamp: Of ALL the insane-o shenanigans the Left has pulled since Trump was elected, using kids that just went through a traum…</t>
  </si>
  <si>
    <t>RT @Hope4Hopeless1: @montgomerychamp @judykins11 https://t.co/MoYxzDb7vC</t>
  </si>
  <si>
    <t>@montgomerychamp @judykins11 https://t.co/MoYxzDb7vC</t>
  </si>
  <si>
    <t>RT @KatTheHammer1: "Nearly all men can stand adversity, but if you want to test a man's character, give him power."
 ~Abraham Lincoln http…</t>
  </si>
  <si>
    <t>RT @geraldine9484: Our Second Amendment is why the traitor NWO, Communist, and the Illumi-NUTTY can't take over the U.S.A.  NO MORE GUN CON…</t>
  </si>
  <si>
    <t>@t193931 @TrumpTheFelon @kittykatt527 check, check THANKS!</t>
  </si>
  <si>
    <t>RT @ProudArkgirl: Is this for Real????? Where are the real survivors? this is exploitation!! https://t.co/OEnJRAkmJh</t>
  </si>
  <si>
    <t>RT @LiteSeeker18: @wolfspirit1 ALL THE WORLD IS A STAGE! #crisisactors https://t.co/j0E0Q2Vy1Q</t>
  </si>
  <si>
    <t>@davidhogg111 @realDonaldTrump @marcorubio @FLGovScott https://t.co/l0l1taDwpQ</t>
  </si>
  <si>
    <t>@BruinsfanCook @jimlibertarian @BruinsfanCook I just wanted to make sure that you know that it's confirmed everyone is safe and accounted for.</t>
  </si>
  <si>
    <t>RT @Harlan: .@AnthonyGonzalez’ campaign manager ACCIDENTALLY tweeted a personal tweet from an account impersonating (and making SEXIST atta…</t>
  </si>
  <si>
    <t>@TinaTomblin @dadadadawn2017 @AGerberBaby @BrianMeadow0117 That's great news, but how do know this?</t>
  </si>
  <si>
    <t>@clayfeathers @realDonaldTrump Are they fearing the loss of their parents because it's covering the area where they live?</t>
  </si>
  <si>
    <t>RT @mclatterbu: #sundaymotivation https://t.co/hg5rWWaHO9</t>
  </si>
  <si>
    <t>@clayfeathers @realDonaldTrump Oh I know, they seem so at a loss what to do. Maybe they're waiting for their parents.</t>
  </si>
  <si>
    <t>@AndreasTrolf @jimlibertarian @realDonaldTrump Scat freak!!! https://t.co/FK4OfATkc0</t>
  </si>
  <si>
    <t>DISGUSTING!!! #MSM too busy trying to destroy @realDonaldTrump to report REAL NEWS!!!
WARNING! This is heartwrenching to watch, these people seem utterly doomed. PRAY! PRAY! PRAY! https://t.co/9IRWkthqWj</t>
  </si>
  <si>
    <t>RT @QanonPosts: We are the Army of Truth,
We are the the people,
We are American Patriots 
And we are taking our country BACK.
#QAnon #TheS…</t>
  </si>
  <si>
    <t>@sxdoc @WashTimes https://t.co/N9LrT07yr0</t>
  </si>
  <si>
    <t>RT @sxdoc: Trump Press motorcade driver stopped after gun found in his possession; All Press Motorcade Drivers Replaced; Don’t Trust the #D…</t>
  </si>
  <si>
    <t>RT @lsmith4680: Happy #PresidentsDay2018!
"The People of these United States, are the rightful masters of both Congresses &amp;amp; Courts. Not to…</t>
  </si>
  <si>
    <t>RT @julieaallen1958: 💙🇺🇸💙 Sharing This ...
I 💙 This !! 
@realDonaldTrump 
HAPPY PRESIDENTS DAY !!! 
WE LOVE YOU!!! 😪🇺🇸💙🙏🙏 https://t.co/0hVF…</t>
  </si>
  <si>
    <t>@julieaallen1958 Aw thank you and thank you sooo much for everything. I can't tell you the relief I had to wake up and see that someone had takin over when  I finally gave up searching at 3am.</t>
  </si>
  <si>
    <t>RT @julieaallen1958: 💙🇺🇸💙🇺🇸💙🇺🇸💙🇺🇸💙🇺🇸💙🇺🇸 https://t.co/iJ8birriF1</t>
  </si>
  <si>
    <t>@julieaallen1958 @RobiRamey @ghostdancer2016 @lucindajonesV01 @BrianMeadow0117 DM me I have additional info</t>
  </si>
  <si>
    <t>@julieaallen1958 @RobiRamey @ghostdancer2016 @lucindajonesV01 @BrianMeadow0117 I just called Polk County Sheriff's office and they said they've been getting calls on this and are trying to locate him.</t>
  </si>
  <si>
    <t>RT @BrianMeadow0117: I just want to say good bye to anyone who care . To nx ex wife and beautiful angels I love u to dead and I will show y…</t>
  </si>
  <si>
    <t>@julieaallen1958 @RobiRamey @ghostdancer2016 @lucindajonesV01 @BrianMeadow0117 I DMd Robi asking him to call that County's Sheriff's office for a welfare check.</t>
  </si>
  <si>
    <t>@julieaallen1958 https://t.co/AHCcc9N4mm</t>
  </si>
  <si>
    <t>@BrianMeadow0117 Why isn't this showing up on Brian's TL or mine when I retweet it?</t>
  </si>
  <si>
    <t>@julieaallen1958 Brian's original tweet doesn't appear to be deleted but it's not showing up either on his TL or mine when I retweet it. Does this mean it's being shadowbanned?</t>
  </si>
  <si>
    <t>@ghostdancer2016 @lucindajonesV01 @RobiRamey @BrianMeadow0117 But Brian "A" Meadows makes me think thats his real name.</t>
  </si>
  <si>
    <t>RT @Hope4Hopeless1: @BrianMeadow0117 Brian, hon you have some absolutely adorable children and 2 very precious reasons to live and show the…</t>
  </si>
  <si>
    <t>RT @wolferkitten: @BrianMeadow0117 I called Atlanta PD but they can't do anything without an address. I also reported the tweet, I don't kn…</t>
  </si>
  <si>
    <t>@lucindajonesV01 @RobiRamey @BrianMeadow0117 Yes I've been doing a ppl search in GA, w/o any success. There doesn't appear to be any pictures of him on internet to be able to confirm it's the right Brian Meadows.</t>
  </si>
  <si>
    <t>RT @RealJamesWoods: I can’t even explain how much I relate to a person who spends his/her alone time totally devising ways to drive their d…</t>
  </si>
  <si>
    <t>@BrianMeadow0117 Brian, did you just delete your tweet? Just know that you have a lot of people here on twitter that care very much. Please let us know how you're doing.</t>
  </si>
  <si>
    <t>@BruinsfanCook @jimlibertarian Thanks</t>
  </si>
  <si>
    <t>@CallingAstro424 We all know how well reporting things to the FBI goes.</t>
  </si>
  <si>
    <t>@smith_mlsmith @bfraser747 I don't do Facebook. Maybe that picture will come up on there.</t>
  </si>
  <si>
    <t>PRAY for the safety of this precious family. This has been reported to twitter many times &amp;amp; I can't find this guys location, this picture doesn't show up on google &amp;amp; few #s I found for Brian A there's no answer. https://t.co/BROHXuXWQA</t>
  </si>
  <si>
    <t>@BrianMeadow0117 Brian, hon you have some absolutely adorable children and 2 very precious reasons to live and show them that no matter what challenges they face in life they can conquer them. Please make some calls! Please? https://t.co/gC71mPPMgZ</t>
  </si>
  <si>
    <t>@RobiRamey @BrianMeadow0117 Do you know where Brian lives so you can call the police?</t>
  </si>
  <si>
    <t>RT @brutalistPress: Keep this in mind when politicians try to take your guns away https://t.co/x9U8OWIny8 https://t.co/MryfmqHcN0</t>
  </si>
  <si>
    <t>RT @Education4Libs: Every genocide in recent history has been preceded by disarming civilians.
Governments murdered more than 170 million…</t>
  </si>
  <si>
    <t>RT @christianllamar: @realDonaldTrump @ChuckGrassley @DevinNunes @RepGoodlatte Who's superior to Inspector General? Rosenstein. Who's head…</t>
  </si>
  <si>
    <t>RT @MilitaryEarth: How many likes? https://t.co/0brpXWOE6n</t>
  </si>
  <si>
    <t>RT @PMNOrlando: BEST EXPLANATION OF Q YET! Who is QAnon? A quick primer on "Q" and the Hidden Revolution https://t.co/apYDe5zs5S @POTUS @Re…</t>
  </si>
  <si>
    <t>RT @Patriotic_Va: FACT:Women are NOT physically equal 2men! Mentally a woman can do ANYTHING a man can do but a woman’s body is not physica…</t>
  </si>
  <si>
    <t>RT @WhoWolfe: Wow, while other law enforcement officials are saying gun laws would not have stopped Cruz, the Broward County Sheriff is tou…</t>
  </si>
  <si>
    <t>RT @OliverMcGee: Retweet so your friends see this. Obama "This is my last election. After my election I have more flexibility." Russian Pre…</t>
  </si>
  <si>
    <t>RT @realDonaldTrump: I never said Russia did not meddle in the election, I said “it may be Russia, or China or another country or group, or…</t>
  </si>
  <si>
    <t>RT @realDonaldTrump: If it was the GOAL of Russia to create discord, disruption and chaos within the U.S. then, with all of the Committee H…</t>
  </si>
  <si>
    <t>RT @ReneeCarrollAZ: #SaturdayMorning
#satchat
#TinyLivesAtStake 🙏
#AllLivesMatter
Would you still be 'Pro-Choice'...
...If YOU were the o…</t>
  </si>
  <si>
    <t>RT @1Romans58: @RedNationRising @ouchinagirl @Uncle_Jimbo Oh some of us our paying attention. https://t.co/hYOASIydVv</t>
  </si>
  <si>
    <t>RT @JulianAssange: Obama VP Joseph Biden brags about how he rigged the judicial system of another country. https://t.co/BC4u7AUPHB</t>
  </si>
  <si>
    <t>RT @polishprincessh: I would love to see a republican win Utah but we do not need a RINO. If a democrat wins at least we know that there wi…</t>
  </si>
  <si>
    <t>RT @GoldenxxJames: @freenaynow @kristinemontel1 @AprilTa7589876 @Matthew45786265 @dinmark2 @MrPuma2072 @Deplor4ble @veteran423 @TerryFi6991…</t>
  </si>
  <si>
    <t>RT @ConservGayGuy: MAKE. NO. MISTAKE. The left hates free speech! I've followed Sassy Gay Republican for a while, and he was always 1000x k…</t>
  </si>
  <si>
    <t>RT @RealSaavedra: ROTC Student: “If Coach Feis had had his firearm in school that day, I believe that he most likely could’ve stopped the t…</t>
  </si>
  <si>
    <t>RT @LucySullivan888: https://t.co/xOtF6UKIRm</t>
  </si>
  <si>
    <t>RT @elguapo64: #LiberalismIsAMentalDisorder 
@NancyPelosi @SenFeinstein 
@BarackObama @HillaryClinton 
#Liberals #HillaryClinton #BarackOba…</t>
  </si>
  <si>
    <t>RT @mcaffer62: @Deplorable80210 @JulianAssange #TheGreatAwakening https://t.co/IvcydY8Ppu</t>
  </si>
  <si>
    <t>RT @mcaffer62: @Deplorable80210 @JulianAssange #TheGreatAwakening 
#MindControl https://t.co/cXa1miIHV2</t>
  </si>
  <si>
    <t>RT @QanonPosts: Stay strong.
#QAnon https://t.co/f9T2QV6C3e</t>
  </si>
  <si>
    <t>RT @TimothyFyock: I have an idea.  For those teachers that want to conceal carry.  Let them get tactical training by military/police and gi…</t>
  </si>
  <si>
    <t>RT @hrenee80: Whoa...The FBI made a mistake? 
A waitress getting someone’s order wrong at a restaurant, is a mistake. 
Being totally bias…</t>
  </si>
  <si>
    <t>RT @mitchellvii: There are roughly 300 million guns in the US. If you declared them illegal tomorrow, 10's of millions would remain availab…</t>
  </si>
  <si>
    <t>RT @ARsRcool: Protect your children don’t be the fools the Democrats in Congress think you are!   Terrorists target Gun Free Zones!…</t>
  </si>
  <si>
    <t>RT @vannsmole: The FBI was UNABLE to identify someone whose username was his real name? 
Again, .@FBI you knew.
You failed. https://t.co/…</t>
  </si>
  <si>
    <t>RT @mitchellvii: Just speaking broadly here, doesn't the USA "interfere" in the elections of other nations pretty much constantly?  Don't w…</t>
  </si>
  <si>
    <t>RT @starcrosswolf: Interesting that you say that and 'babies'. l seem to remember that you stand fully for the slaughtering of unborn CHILD…</t>
  </si>
  <si>
    <t>RT @gaye_gallops: A HEARTBREAKING TRAVESTY.... ALL THE WARNING FLAGS WERE FLYING...INNOCENT CHILDREN GONE...THE FBI IS THE PREMIER LAW ENFO…</t>
  </si>
  <si>
    <t>RT @Fuctupmind: FBI : "Hmmmm, only if we had a clue. A name, or something..." https://t.co/pBqTYR8RWk</t>
  </si>
  <si>
    <t>RT @Isa4031AMP: Criminals obey gun laws like politicians follow their oaths of office 
Just Sayin 😎 #fridayfeeling #2A https://t.co/4rPFRin…</t>
  </si>
  <si>
    <t>RT @mitchellvii: HEARTBREAK. THE FBI COULD HAVE STOPPED THIS INSTEAD OF CHASING RUSSIAN GHOSTS AND PROTECTING HILLARY: Parkland FL High Sch…</t>
  </si>
  <si>
    <t>RT @Hope4Hopeless1: @HighImpactFlix did a great job pointing out exactly why we shouldn't accept what the #FakeNews propaganda puppets #Gun…</t>
  </si>
  <si>
    <t>RT @RealMattCouch: Shepard Smith, LITERALLY just broke in and LIED about these Idictments and stated the Indictments show that the Russians…</t>
  </si>
  <si>
    <t>@HighImpactFlix did a great job pointing out exactly why we shouldn't accept what the #FakeNews propaganda puppets #GunControl are trying to CRAM down our throats as factual or real. WAKE UP Americans #WeThePeople this IS the #GreatAwakening
https://t.co/3tUj1QhXo8 via @youtube</t>
  </si>
  <si>
    <t>@northernboy333 I'm thoroughly convinced what this amazing man #AndrewBreitbart did for his Country will go down throughout history. https://t.co/aIbD6uURWx</t>
  </si>
  <si>
    <t>RT @northernboy333: Even with his murder his legacy continues! He nailed them on this! He knew they would kill him! #PizzaGate https://t.co…</t>
  </si>
  <si>
    <t>RT @motmemes: @AMErikaNGIRLBOT @rogerolson308 @realDonaldTrump @StockMonsterVIP  https://t.co/QdYrIHVnBB</t>
  </si>
  <si>
    <t>RT @DallasIrey: We have a much Bigger Problem than Gun Control.  #Trumpville https://t.co/5JL5CshpyW</t>
  </si>
  <si>
    <t>RT @AGerberBaby: They were too busy covering up all the crimes of Killary and the Obama administration. https://t.co/pCPZLD03Yl</t>
  </si>
  <si>
    <t>RT @CaptObvious63: enough with the #CivilWar gun control talk **yawn** https://t.co/2LZBqczf09</t>
  </si>
  <si>
    <t>RT @ArizonaKayte: #REDFriday reminds us to wear RED.  Remember.Everyone.Deployed.
Keep our brothers and sisters in harms way, all those dep…</t>
  </si>
  <si>
    <t>RT @w_terrence: 🤨 I don’t care if you like Obama or not I couldn’t hold back after seeing this‼️Who ever painted this need to call me ! We…</t>
  </si>
  <si>
    <t>RT @SiddonsDan: Feminists are giving .@KellyannePolls Sh*t for not sitting “Ladylike” on a couch. Remember, these are the same people who m…</t>
  </si>
  <si>
    <t>RT @davidsirota: The CIA is now essentially declaring that it has the legal right to leak classified info to friendly reporters, while also…</t>
  </si>
  <si>
    <t>RT @bfraser747: I don’t the answers why we keep seeing these shooing in schools.I find it a little ironic on-the same day as FL shooting a…</t>
  </si>
  <si>
    <t>RT @I___A__M____Q__: CAR control?
https://t.co/Txvg9a5jEf
Statement by the driver?
Fairytale? 
AS THE WORLD TURNS.
THIS IS BIGGER THAN ANYO…</t>
  </si>
  <si>
    <t>RT @fxstc14me: GM Freedom https://t.co/yYLGo9tHSg</t>
  </si>
  <si>
    <t>RT @SykesforSenate: Lock them up. #MAGA https://t.co/brnY4u858w</t>
  </si>
  <si>
    <t>RT @Corrynmb: WOW 🇺🇸
 https://t.co/v82kBUALy8</t>
  </si>
  <si>
    <t>RT @YoungDems4Trump: FBI knew about Cruz.
FBI knew about the NJ/NY bomber.
FBI knew about the husband &amp;amp; wife in San Bernardino.
FBI knew ab…</t>
  </si>
  <si>
    <t>RT @BigLeague2020: @Nov2018election @esqonfire @SykesforSenate GUNS ARE A RIGHT NOT A QUESTION
ANY elected bureaucrat in Washington DC who…</t>
  </si>
  <si>
    <t>RT @MountaineerFan4: America, Nazis were National Socialists. Progressives are Democratic Socialists Ideologically, they're clones. https:/…</t>
  </si>
  <si>
    <t>RT @RealSaavedra: Here's a chart of American gun ownership and American gun homicide rates. 
Please explain how more guns inevitably means…</t>
  </si>
  <si>
    <t>RT @Thomas1774Paine: It's all starting to make MORE sense.
The FBI hasn't clamped down on ANTIFA because these radicals can be employed for…</t>
  </si>
  <si>
    <t>RT @JacobAWohl: In Israel every school is armed. They don't have school shootings.</t>
  </si>
  <si>
    <t>RT @realDonaldTrump: In times of tragedy, the bonds that sustain us are those of family, faith, community, and country. These bonds are str…</t>
  </si>
  <si>
    <t>RT @PatriotLexi: President Trump Addressed The Nation Re The Florida School Shooting 
'Let us come together as one nation to wipe away the…</t>
  </si>
  <si>
    <t>RT @NatPoliceAssoc: Good Samaritan steps in to help Kansas City police officer take down suspect https://t.co/uClpwD0BTL #BackTheBlue</t>
  </si>
  <si>
    <t>RT @skb_sara: Today is suppose to be a day to celebrate our love for one another. Please pray for the Family’s involved in this horrific in…</t>
  </si>
  <si>
    <t>RT @tomfornd: Thank you for your support! https://t.co/VdRvSp0Njc</t>
  </si>
  <si>
    <t>I find many things about these kids' behavior very alarming, especially the kid filming and narrating during gunfire so that he could post it to his Snap Chat. I think there's a lot that is way off about this entire situation.</t>
  </si>
  <si>
    <t>@tess_babbs @DrMartyFox No that's just the flowers on her dress.</t>
  </si>
  <si>
    <t>@LARGESSE9826 No, many things concern me about this scene. These kids' behavior in this situation I find very alarming.
Both her and the kid filming/narrating during gunfire so he could post it to his Snap Chat says there's lots about this situation that is WAY OFF!</t>
  </si>
  <si>
    <t>RT @carrieksada: Cue up drama queen @ShepNewsTeam reading all the high schools where shootings took place. Maybe if some of those teachers…</t>
  </si>
  <si>
    <t>Why on earth would the girl in floral dress sit indian style in the middle of the floor and not be taking cover? https://t.co/dZUgj891X0</t>
  </si>
  <si>
    <t>@Breaking911 Why on earth would the girl in floral dress sit indian style in the middle of the floor and not be taking cover?</t>
  </si>
  <si>
    <t>@ShaniDavis https://t.co/0z2baINrau</t>
  </si>
  <si>
    <t>RT @exercisewhiz: Speed Skater Shani Davis Has HUMILIATING Olympic Finish https://t.co/cl7ENGquNF Don't  have to worry about the WH , loser!</t>
  </si>
  <si>
    <t>RT @JohnKStahlUSA: If you wanted to hand pick a better team to commit sedition and treason, it would be tough. They were the best. #tcot #R…</t>
  </si>
  <si>
    <t>RT @thebradfordfile: Pres. @realDonaldTrump presents his #ValentinesDay gift to America.
❤️ maga 🇺🇸 https://t.co/9eBpxGvr3K</t>
  </si>
  <si>
    <t>RT @Hope4Hopeless1: @RealSaavedra Sadly $$$ &amp;amp; fame can go to ppls head &amp;amp; degrade them to nothing but rich low lifes.
WTH #ShaunWhite
Court…</t>
  </si>
  <si>
    <t>@RealSaavedra Sadly $$$ &amp;amp; fame can go to ppls head &amp;amp; degrade them to nothing but rich low lifes.
WTH #ShaunWhite
Court docs/settlement alledge sexualizing human feces
NOW recklessly throwing helmet into crowd &amp;amp; COMPLETELY disrespecting the American Flag=SICK SELF ABSORBED UNPATRIOTIC SCUM!</t>
  </si>
  <si>
    <t>RT @JohnTDolan: Hey Adam!  Your “Drama Queen” antics are getting nauseating!  The Olympics are NOT all about you &amp;amp; your Gayness. Stop disre…</t>
  </si>
  <si>
    <t>RT @CdLutetia: 🇰🇵🇨🇳 The real Face of Communism... https://t.co/WN4KFx1rnG</t>
  </si>
  <si>
    <t>RT @Trump45Michael: #FirstBlackPOTUS
The Great Divider in Chief Barack Hussein Obama 
Commissions Racist White Genocide painter...
Smithson…</t>
  </si>
  <si>
    <t>RT @USFreedomArmy: The double standard here is blatantly obvious. PATRIOTS ----&amp;gt; We need you to join our army at https://t.co/oSPeY48nOh. S…</t>
  </si>
  <si>
    <t>RT @thebradfordfile: Why do liberals love "art" that depicts decapitated people?
#ObamaPortraits https://t.co/ceoZ0Mgcu8</t>
  </si>
  <si>
    <t>@iamjoonlee Lol, are these supposed to be depicting foreign males? If not, then I suspect Korean Media Ctr (MSM) is very FAKE NEWS!</t>
  </si>
  <si>
    <t>RT @Cory_1077: They say that a #dog is #mansbestfriend and for #NavySeal Jon Tumilson and beloved dog Hawkeye not even death could break th…</t>
  </si>
  <si>
    <t>RT @Hope4Hopeless1: @SaucierSadie @realDonaldTrump @RealJamesWoods @HagmannReport @SarahPalinUSA @PressSec @SaraCarterTC @joel_capizzi @She…</t>
  </si>
  <si>
    <t>RT @SykesforSenate: And... This is exactly why I'm running. Where is our Senate republican leadership? @SenateMajLdr, no wall and we're kee…</t>
  </si>
  <si>
    <t>RT @JakeHighwell: The Statue of Liberty welcomed my family to America generations ago. My family endured rough seas and long lines at Ellis…</t>
  </si>
  <si>
    <t>RT @Smartassy4now: Black Man Grabs White Man By Arm, Says 6 Unexpected Words That Leaves Bystanders Shocked https://t.co/xLSrdvLlyr
A small…</t>
  </si>
  <si>
    <t>RT @DonaldJTrumpJr: A special thanks today to the great men &amp;amp; women of the @NYPDnews @FDNY @SecretService @NewYorkFBI and the Joint Terrori…</t>
  </si>
  <si>
    <t>https://t.co/GEGYvUBOoK</t>
  </si>
  <si>
    <t>RT @caitoz: Establishment propaganda playbook: 
Step 1: Use neocon think tanks and plutocrat-owned media to establish intelligence communit…</t>
  </si>
  <si>
    <t>RT @Nov2018election: @gr8tjude @jimlibertarian Hey Jude 🎶 Michelle Mortensen is a NEVER TRUMPER. She rt’s Establishment DC Dean Heller🤔 She…</t>
  </si>
  <si>
    <t>RT @DonnaWR8: Wondering exactly *WHAT* #ObamaGate is? 
It’s WHY they’re SCARED⬇️
#MAGA #FISA #DeepState @POTUS  https://t.co/R6AlMMsdRQ</t>
  </si>
  <si>
    <t>https://t.co/My0fzaPhGy</t>
  </si>
  <si>
    <t>Globalist Masters say:
Stupid Americans...
You MUST trust COMMUNIST News Network[CNN]
My brother All Glorius Leader[FAT CIA puppet]-
We not want to STEAL your Freedom, EAT your souls and STARVE your bodies-
That all rumor-NO BELIEVE! 
Signed, Dir of Propaganda and Agitation https://t.co/jzVBaSy46d</t>
  </si>
  <si>
    <t>RT @TheRickCanton: 🎼 One of these things is not like the other.
One of these things just doesn't belong. 🎼 #ObamaPortrait https://t.co/Nswq…</t>
  </si>
  <si>
    <t>RT @DineshDSouza: Today is the birthday of the first and greatest Republican president https://t.co/r7E8RYI2LA</t>
  </si>
  <si>
    <t>RT @StefanMolyneux: Why exactly did Barack Obama choose Kehinde Wiley to paint his presidential portrait? Kehinde Wiley has a habit of pain…</t>
  </si>
  <si>
    <t>RT @tapp_cheryl: This is what a Presidential Portrait looks like! 🇺🇸 Happy Birthday to the first republican slavery abolishing President Ab…</t>
  </si>
  <si>
    <t>RT @Hope4Hopeless1: USA! USA! USA! 
America! THIS IS OUR "GOLDEN GIRL" IN THE HALFPIPE!!! 
#OlympicsUSA 
Chloe Kim's parents, who are LE…</t>
  </si>
  <si>
    <t>RT @michaelbeatty3: 🤣WOW....THAT'S NOT VERY NICE
#VisibleWomen #ObamaPortraits 
#MAGA #Hannity #Tucker #ObamaGate https://t.co/xF1ywHrgJR</t>
  </si>
  <si>
    <t>What could possibly go wrong with commissioning a FLAMBOYANT "artist" in a Jute suit to do a paint by numbers &amp;amp; stick a Kenyan FRUIT in it? https://t.co/vdX67MRCYq</t>
  </si>
  <si>
    <t>RT @PaulLee85: I wish Obama could leaf us along and disappear like his “Legacy”. https://t.co/dI33J5rO8Z</t>
  </si>
  <si>
    <t>RT @SykesforSenate: A narrow beam of truth emerging from a demented cloud of US media propaganda. Bravo Zulu, @IAMMGraham . https://t.co/B5…</t>
  </si>
  <si>
    <t>RT @On_The_Hook: The lower 48 State DOT can build over 3K miles of sound barriers to help with traffic noise but mention building 1100 mile…</t>
  </si>
  <si>
    <t>RT @Hope4Hopeless1: @BuildingSTL @HawleyMO @AP4Liberty @Monetti4Senate @SykesforSenate @clairecmc https://t.co/Gn8J2AEK76
@SykesforSenate I…</t>
  </si>
  <si>
    <t>RT @Hope4Hopeless1: @BuildingSTL @HawleyMO @AP4Liberty @Monetti4Senate @SykesforSenate @clairecmc Missourian Mark Twain spoke of the IMPORT…</t>
  </si>
  <si>
    <t>RT @CB618444: ONCE AGAIN, an #American #Olympian I refuse to cheer for.  Gay U.S. Figure Skater Plans ANOTHER Political Stunt Against the T…</t>
  </si>
  <si>
    <t>RT @SusanStormXO: Dear #PATRIOTS #RT 
  For all the #VETERAN 
SUPPORTERS WITHIN OUR 
#MAGA Train 🚂 
SHOW this 30 year old Vet 
some love…</t>
  </si>
  <si>
    <t>RT @_ROB_29: @POTUS @realDonaldTrump 
The positive impact you've had, not just here in the #USA but around the 🌍 is nothing short of amazi…</t>
  </si>
  <si>
    <t>RT @ChicagosFines19: Plz RT, 
WOW! This #Video is #Awesome
#GodBlessAmerica #GodBlessOurMilitary #GodBlessOurVeterans #FreedomAintFree #F…</t>
  </si>
  <si>
    <t>RT @shiftfrequency: Aging and the Perception of Time https://t.co/zdbiYq44X0 https://t.co/Y78Py1vQ62</t>
  </si>
  <si>
    <t>USA! USA! USA! 
America! THIS IS OUR "GOLDEN GIRL" IN THE HALFPIPE!!! 
#OlympicsUSA 
Chloe Kim's parents, who are LEGAL immigrants &amp;amp; PROUD Americans say...
   "Chloe is our American DREAM" 
USA! USA! USA! USA! USA! USA! USA!...
https://t.co/DS9fuuicAY via @youtube</t>
  </si>
  <si>
    <t>RT @yigsstarhouse: It appears we have some names that have been flying below the radar https://t.co/ls7WoMn9Oc</t>
  </si>
  <si>
    <t>RT @Debradelai: WANTED
Psychopathic mass murderer. 
Last seen having her arse kissed by @ChrisCuomo https://t.co/LutsJJ6o7k</t>
  </si>
  <si>
    <t>RT @marcthiessen: This is the Korean Peninsula at night. The bottom, awash in light, is the free and democratic South. The North is in comp…</t>
  </si>
  <si>
    <t>@Lrihendry https://t.co/8P3o4gkD90</t>
  </si>
  <si>
    <t>I'm Vice Director of your CIA's  Propaganda and Agitation Department in N. Korea. How am I and these Clowns' &amp;amp; Comrades at CNN Communist News Network doing? https://t.co/jzVBaSy46d</t>
  </si>
  <si>
    <t>RT @FedupWithSwamp: Hi. I'm Vyacheslav Ivanov. I'm the Russian that Hussein, Hillary, Valerie and the Clinton's were colluding with. https:…</t>
  </si>
  <si>
    <t>RT @bfraser747: Just remember this..... Heaven has a gate &amp;amp; WALL and extreme vetting is required. #BuildTheWall https://t.co/gHzB81ydYe</t>
  </si>
  <si>
    <t>RT @C_3MAGA: I am convinced:
Donald Trump was put on this Earth for this exact moment in time for this exact reason. No one else could wit…</t>
  </si>
  <si>
    <t>RT @SKYRIDER4538: Exactly! Up until now, I played the nice &amp;amp; gave every1 the benefit of the doubt. From this point on, NO MORE GAMES, IF I…</t>
  </si>
  <si>
    <t>RT @thebradfordfile: 🇰🇵CNN: Bringing hope to murderous dictators around the world.
Kim Yo Jong + CNN https://t.co/W7qDVlSnvs</t>
  </si>
  <si>
    <t>RT @RedNationRising: We should make all Politicians wear sponsor jackets like Nascar drivers, then we know who owns them. https://t.co/MvdY…</t>
  </si>
  <si>
    <t>RT @RealBobAxelrod: Sad to see the @GOPChairwoman not getting @AjaforCongress the resources she need. She would be the 1st black American f…</t>
  </si>
  <si>
    <t>RT @foxandfriends: .@GovMikeHuckabee: Nobody is fooled by the theatrics of North Korea https://t.co/EAafWLJnbY</t>
  </si>
  <si>
    <t>RT @President1Trump: DISGRACEFUL: If you needed anymore proof that the Mainstream are COMMIES, look no further! They gush all over the NK d…</t>
  </si>
  <si>
    <t>RT @historylvrsclub: Construction workers resting on а steel beam above Manhattan, 1932 https://t.co/hgE9lpbGVV</t>
  </si>
  <si>
    <t>RT @USAlivestrong: Question---Who is the militia, the only Constitutionally recognized citizen paramilitary force??? Patriots better get th…</t>
  </si>
  <si>
    <t>RT @USAlivestrong: These malware accounts are becoming very pernicious- no bio, RTs only, no personal posts, usually coming as something "c…</t>
  </si>
  <si>
    <t>RT @jerome_corsi: Trump DESTROYS Adam Schiff, Tells Him: Redo Your Crap Response Memo and "Send Back in Proper Form" https://t.co/58ps4goG1…</t>
  </si>
  <si>
    <t>RT @TrumpGirlStrong: Just a little #SaturdayMotivation. #Integrity is a quality that seems to be lacking. Funny thing is it's really very s…</t>
  </si>
  <si>
    <t>RT @KressFCambers: As your Congressman I will fight for you, the American people. Not illegal immigrants. #cambersforcongress #AmericaFirst…</t>
  </si>
  <si>
    <t>RT @marty713: @B75434425 #MAGA ⌚🇺🇸🚨💥❗💖🌎❗🙏 https://t.co/dJRdmWJDMU</t>
  </si>
  <si>
    <t>RT @martel_al: Love it! 
   #SaturdayMorning #satchat #CouldBeatTrumpIn2020 #USSFPresident #WeThePeople #ObamaGate #GreatAwakening #Qanon h…</t>
  </si>
  <si>
    <t>RT @CraigRSawyer: Ask yourself why the globalist commies keep frantically demanding to flood our populous with criminal invaders when we ha…</t>
  </si>
  <si>
    <t>RT @SykesforSenate: I'm so proud of my family, our hard work, what we've built, and our dedication to Making America Great Again! #MOSen #M…</t>
  </si>
  <si>
    <t>RT @MemeWarNoDeals: #qanon #GreatAwakening #WeThePeople #FullofSchiff #MAGA #TheStormIsHere  #ObamaGate #SchiffHitsTheFan #FolllowTheWhiteR…</t>
  </si>
  <si>
    <t>RT @SavingAmerica4U: Reporter: Do you have any misgivings about being told to plan a military parade?
Mattis: “I’m not paid for my feeling…</t>
  </si>
  <si>
    <t>RT @jeepsuzih2: Kansas Was Fabulous🎶🎶🎤 https://t.co/eECWWxNYHq</t>
  </si>
  <si>
    <t>This guy should be pissed that the CROOKED TRAITOROUS FILTH at the FBI is giving him a bad image. https://t.co/vvzmGtnRKE</t>
  </si>
  <si>
    <t>RT @President1Trump: MOVE OVER RINOS: @RepMattGaetz is on his way to becoming a Trump Republican and knows how to get @POTUS attention! #MA…</t>
  </si>
  <si>
    <t>RT @DrMartyFox: #PresidentTrump  @realDonaldTrump 
#McConnell could advance the #Trump Agenda if he would end The Filibuster Rule
BUT he…</t>
  </si>
  <si>
    <t>@CassandraRules Seriously? Go get yourself a big glass of water and finish getting dressed.</t>
  </si>
  <si>
    <t>RT @mitchellvii: Democrat 2020: https://t.co/cakxlrTB6W</t>
  </si>
  <si>
    <t>RT @ColumbiaBugle: #Editorial Glad to be rid of these ridiculous #GovernmentShutdown games, at least for now. 
The big fight is next week.…</t>
  </si>
  <si>
    <t>@LinaCovfefe @TruthMatters13 @trinareyes @JulietPatriot @Voices4Humanity @truth_pray @pjbowles @penleyvic @DanaBougon @votedtrump_p @laineymel @JMReflection @keny_berd @xolexieox @LoveUSADawn Very strange activity on her acct before she was suspended. Even close friends were blocked. Then although acct suspended still sometimes giving msg that ppl are blocked and even flashed active and let me re-follow her before back to suspended.</t>
  </si>
  <si>
    <t>RT @SykesforSenate: https://t.co/cAzN5agtrG</t>
  </si>
  <si>
    <t>RT @michaelbeatty3: So Nancy rambles incoherently for 8 hours &amp;amp; in 2 minutes is destroyed by THIS GUY!
Kudos .@RepHensarling 
#GoNancyGo #M…</t>
  </si>
  <si>
    <t>@pnehlen https://t.co/gYbbuxnFO5</t>
  </si>
  <si>
    <t>I sincerely hope  @realDonaldTrump put that old evil bastard on notice and that he walked out of there with the same "understanding" that Chuckie got. Thanks for visiting the WH Hank. https://t.co/frt3qUNwUN</t>
  </si>
  <si>
    <t>RT @realDonaldTrump: As long as we open our eyes to God’s grace - and open our hearts to God’s love - then America will forever be the land…</t>
  </si>
  <si>
    <t>RT @Maggieb1B: #WeThePeople have demanded justice for over a year. Outlets of info have given us Tick-Tock moments. Are we truly ready to K…</t>
  </si>
  <si>
    <t>RT @ChristieC733: That feeling you get when corrupted government officials are finally being exposed of all of their dirty deeds. 
Thank y…</t>
  </si>
  <si>
    <t>RT @jetrotter: 10 Poorest Cities in America - % below poverty level
1. Detroit 32.5%
2. Buffalo 29.9%
3. Cincinnati 27.8%
4. Cleveland 27.…</t>
  </si>
  <si>
    <t>RT @Nov2018election: @joel_capizzi @SykesforSenate  https://t.co/wPv7mtZaUf</t>
  </si>
  <si>
    <t>RT @KayaJones: Do you know why the flag is facing this way? Because when going into battle the flag is meant to never retreat. It flies int…</t>
  </si>
  <si>
    <t>RT @MrPeanut55: Keep draining the swamp! https://t.co/eS6MJAqSfB</t>
  </si>
  <si>
    <t>@DidYouMissThis1 @B75434425 I know Dopey is supposed to be remaining in Saudi Arabia as condition of release, but that looks like it could be him and his wife (who's reportedly arranged &amp;amp; completely fed up)
"last guest" has Dopey's coloring, stature &amp;amp; goofy head shape that get's very broad above the ears.</t>
  </si>
  <si>
    <t>RT @RealKyleMorris: Things Nancy Pelosi can stand 8 hours for:
• Illegal Aliens
Things Nancy Pelosi cannot stand 8 hours for:
• War Heroes…</t>
  </si>
  <si>
    <t>RT @hyland114: Please keep this going. Obama slips and admits his Muslim Faith, Then Stephenopoulas  quietly corrects him by whispering alm…</t>
  </si>
  <si>
    <t>RT @mitchellvii: White House Confirms Donald Trump Wish for Military Appreciation Parade - Breitbart https://t.co/Hdj7UC368h</t>
  </si>
  <si>
    <t>RT @Thomas1774Paine: Liberals Are Already Planning on Standing in Front of Tanks if Military Parade Happens (VIDEO) https://t.co/xoMq8odpRl</t>
  </si>
  <si>
    <t>RT @FriendlyJMC: Democrats will hold the country hostage over foreigners. Let that soak in!!
They will stop funding for programs for Ameri…</t>
  </si>
  <si>
    <t>RT @ScottPresler: VICTORY: Congratulations to Peggy McGaugh (R) on her 2-1 win in Missouri's 39th House District! 
#TheFutureIsFemale #Red…</t>
  </si>
  <si>
    <t>RT @TrumpsBlonde: AWAN IT Scandal - EASY TO UNDERSTAND - Q said to Keep Public Interest HIGH on this. Please save and share everywhere.
#Q…</t>
  </si>
  <si>
    <t>RT @RedRisingUSA: @Courage1791 @jskrepak @Rsmundo @TrappedinCalif @jstines3 @StefanoforTx @CruzaderGal @Dlw20161950 @JamesFriedman73 @Chill…</t>
  </si>
  <si>
    <t>RT @vannsmole: NEW MAP: Cost of Illegal Immigration, By State.
This map doesn’t include federal costs.
When federal costs are included, il…</t>
  </si>
  <si>
    <t>RT @DineshDSouza: Eric Holder running for president reminds me of the Corleone family’s ambition to one day make it to the highest levels o…</t>
  </si>
  <si>
    <t>@GeorgWebb https://t.co/UozO6RT5zM</t>
  </si>
  <si>
    <t>RT @EClark1946: @Hope4Hopeless1 @Janaa_Vet @SykesforSenate Term limits is something we as voters must start to plant the seed we want chang…</t>
  </si>
  <si>
    <t>@factfinder2018 @haywarmi @SykesforSenate @AdamSchiffCA "Jerry" you are weak &amp;amp; pathetic!  You must be a bargain basement paid troll desperately trying to make those pennies. Your "service" must not be thriving that you have nothing better to do than open a troll account just to troll Courtland &amp;amp; then make asinine comments like that. https://t.co/lmAEVBnprF</t>
  </si>
  <si>
    <t>@bonnybluetruck @SurvivantFatale @Nov2018election @SykesforSenate @AdamSchiffCA I hope this Raging Feminist will dare to take a serioys look at what she's involved with &amp;amp; redirect all that hurt &amp;amp; anger.
https://t.co/PZFFyLF97c</t>
  </si>
  <si>
    <t>@SurvivantFatale Ok half face, you obviously are like a vast number of us on twitter that don't use our names &amp;amp; faces for obvious security reasons. I will tell you I'm an authentic person. I'm not Chanel or Courtland or am I being paid by them. I'm a wife &amp;amp; mother living in MO &amp;amp; concerned for USA</t>
  </si>
  <si>
    <t>@SurvivantFatale @SykesforSenate @AdamSchiffCA Ok half face, you obviously are like a vast number of us on twitter that don't use our names &amp;amp; faces for obvious security reasons. I will tell you I'm an authentic person. I'm not Chanel or Courtland or am I being paid by them. I'm a wife &amp;amp; mother living in MO &amp;amp; concerned for USA</t>
  </si>
  <si>
    <t>@SurvivantFatale @ChanelRion @SykesforSenate Ok half face, you obviously are like a vast number of us on twitter that don't use our names &amp;amp; faces for obvious security reasons. I will tell you I'm an authentic person. I'm not Chanel or Courtland or am I being paid by them. I'm a wife &amp;amp; mother living in MO &amp;amp; concerned for USA</t>
  </si>
  <si>
    <t>@SurvivantFatale @SykesforSenate @AdamSchiffCA This 4th wave is not an authentic grassroots movement, the people are being manipulated and USED by highly funded/organized by the machine that you think you're fighting. Reading of your horrific experience, I think your heart is in the right place..Please dare to do research.</t>
  </si>
  <si>
    <t>@GeorgWebb George you know full well that Obamanation is up to his huge ears in ALL of this. Attempting to dismiss &amp;amp; downplay Hussein's crimes, demonstrates far more than blind loyalty &amp;amp; brings your motives &amp;amp; the honesty of your "investigations" into question.</t>
  </si>
  <si>
    <t>RT @ihvh: @joe_benetic @B75434425 10 U.S. Code § 894 - Art. 94.
(b) A person who is found guilty of attempted mutiny, mutiny, sedition, or…</t>
  </si>
  <si>
    <t>RT @Megan4MAGA: When did supposedly kkk supporters date black women for a few years? 🤔Her name is Kara young they dated back in the 90s htt…</t>
  </si>
  <si>
    <t>RT @michaelbeatty3: ⛅️GOOD MORNING PATRIOTS
⚖️TRUTH &amp;amp; JUSTICE ARE ON THE WAY
GOD BLESS YOU &amp;amp; YOUR FAMILY
STAY STRONG-HAVE A GREAT DAY
🇺🇸#MA…</t>
  </si>
  <si>
    <t>RT @deanbc1: We love you Skylar.  We will not forget you or why you died needlessly. So young and so beautiful inside and out.
You used to…</t>
  </si>
  <si>
    <t>RT @fmempamal: @MikeTokes @m_bolg_heather https://t.co/CLuZFA7m56</t>
  </si>
  <si>
    <t>RT @realDonaldTrump: Congratulations @ElonMusk and @SpaceX on the successful #FalconHeavy launch. This achievement, along with @NASA’s comm…</t>
  </si>
  <si>
    <t>RT @Hope4Hopeless1: @JulianAssange @JulianAssange you're a much loved &amp;amp; appreciated HERO who has blessed the World w/ your KEEN MIND, BRAVE…</t>
  </si>
  <si>
    <t>@JulianAssange @JulianAssange you're a much loved &amp;amp; appreciated HERO who has blessed the World w/ your KEEN MIND, BRAVE HEART &amp;amp; I suspect a very WISE &amp;amp; AWAKENED SPIRIT. 
Hoping you're peaceful &amp;amp; confident knowing  you're DIVINELY PROTECTED &amp;amp; now very likely to be basking in the JOY of FREEDOM! https://t.co/l8fYJHHq7o</t>
  </si>
  <si>
    <t>RT @RedPillKen: Valerie Jarret PHONE CALL WITH Adam Schiff, 42 Mins 13 Secs. https://t.co/B1NYVcJkAY</t>
  </si>
  <si>
    <t>RT @larrycraft57: #Qanon US &amp;amp; Musks first SECRET PAYLOAD launch Zuma was a Targeting Satellite(MSM said its lost)
.. Nope! This Heavy Falco…</t>
  </si>
  <si>
    <t>RT @PMNOrlando: @ POTUS @RealDonaldTrump  #qanon twitter #qanon4chan #Qanon8chan  #CBTS #thestorm #MAGA @RealAlexJones @seanhannity @RealJa…</t>
  </si>
  <si>
    <t>@ar15m4mid YAAS! It's our pleasure!  Congrats!!! https://t.co/z75eB3paIU</t>
  </si>
  <si>
    <t>RT @ar15m4mid: Thank You All For Following!😎
#MAGA ON PATRIOTS!🇺🇸🇺🇸🇺🇸 https://t.co/mHj4eyCixR</t>
  </si>
  <si>
    <t>RT @JulianAssange: Court has adjourned in my arrest warrant case. Judgment next Tuesday, 13 February 2018.
https://t.co/8PtKyiUEbc</t>
  </si>
  <si>
    <t>@SurvivantFatale @SykesforSenate @AdamSchiffCA .@SurvivantFatale
Serious question: Why do REAL Men upset you???
This 4th wave "Movement" is nothing but a group of IGNORANT NASTY women being used by SOROS &amp;amp; his minions to RAGE against the HONOR &amp;amp; DIGNITY of TRUE feminism in an attempt to destroy our American Society.</t>
  </si>
  <si>
    <t>RT @BigLeague2020: @Hope4Hopeless1 @SykesforSenate @BillClinton @StephenAtHome The Choice Is Clear, Go Bold MO
Leadership You Can Believe…</t>
  </si>
  <si>
    <t>RT @Thomas1774Paine: You and your pals may have plenty of time "up the River" before this whole thing is over ... https://t.co/R78oMMNsRS</t>
  </si>
  <si>
    <t>RT @ReneeCarrollAZ: #TuesdayThoughts
If we are pronounced dead when our heart stops, why are we not pronounced alive when our heart starts…</t>
  </si>
  <si>
    <t>RT @jeepsuzih2: #HumanTrafficking  https://t.co/OxXWJyknLL</t>
  </si>
  <si>
    <t>RT @JennyR8675309: #GreatSleuth https://t.co/61w6sD83kC</t>
  </si>
  <si>
    <t>@haywarmi @SykesforSenate @AdamSchiffCA Well what do we have here?
■■■ A Master of the OBVIOUS troll!■■■
I'm curious what does a stupid trolling tweet like that earn? I'm guessing a fraction of a cent. Whatever it is, you're a waste of someone's $</t>
  </si>
  <si>
    <t>@IvanKaramazovD @SykesforSenate @AdamSchiffCA Bargain basement troll w/ 19 alter-ego
"Followers" now slither away &amp;amp; collect a couple of pennies for this unimaginative tweet.</t>
  </si>
  <si>
    <t>@bearrows @SykesforSenate Not even original. You're just a pathetic plagiarizing troll w/ only alter ego troll accounts as "followers"</t>
  </si>
  <si>
    <t>RT @Trump45Michael: I’m a Racist AntiAmerica THUG and I Ain’t Going to 
No White House...
Says Nobody Important❗️❗️❗️ https://t.co/UewOJQ4h…</t>
  </si>
  <si>
    <t>RT @Hope4Hopeless1: @Trump45Michael GREAT! More time &amp;amp; attention for your teamates that will cherish the incredible honor of being invited…</t>
  </si>
  <si>
    <t>@Trump45Michael GREAT! More time &amp;amp; attention for your teamates that will cherish the incredible honor of being invited &amp;amp; Congratulated by our Great President!
Oh &amp;amp; Congratulations to everyone on the Eagle's team except those that have dishonored the United States of America! #MAGA #StandForUSA</t>
  </si>
  <si>
    <t>RT @USMarineCorps: When our Nation calls, #Marines answer. See how the battle is won. #BattlesWon https://t.co/H72gMjpMLb</t>
  </si>
  <si>
    <t>RT @JennyR8675309: @DaveNYviii @B75434425  https://t.co/uzXUQ0bSCM</t>
  </si>
  <si>
    <t>@Its_John_Doe_ @RedNationRising I don't doubt what you're saying is true about his connection to Soros, but this is not Heather Podesta in this picture.</t>
  </si>
  <si>
    <t>RT @chuckwoolery: #JeffSessions Recused himself from all things #Russia because he talked to a Russian Diplomat in the course of his busine…</t>
  </si>
  <si>
    <t>RT @jerome_corsi: Busting Sex Tourists in Dominican Republic https://t.co/XBJ7kQ0tpZ We are going to follow the lead of #QAnon #qanon4chan…</t>
  </si>
  <si>
    <t>RT @Saphina77: @jerome_corsi #TheGreatAwakening #QAnon. We will find all involved in this Evil Sex Trafficking. We will #LockThemAllUp. Fro…</t>
  </si>
  <si>
    <t>RT @On_The_Hook: Executive Director Democratic Coalition Nate Lerner on MSNBC's The Beat with Ari Melber *Video
August 21, 2017 👈
https://…</t>
  </si>
  <si>
    <t>RT @bfraser747: 🚨🚨 FOLLOW ALERT
Please follow my good friend @ClintonM614 Clinton has great tweets, he’s a super guy. Ex law enforcement a…</t>
  </si>
  <si>
    <t>RT @joel_capizzi: My account was hacked and used at least once to post inappropriate material. 
I'm a very happily married Christian, here…</t>
  </si>
  <si>
    <t>RT @YoungDems4Trump: Maxine Waters lives in a $4.5M mansion, got her husband $12M of taxpayers TARP bailout money, pays her daughter $750k…</t>
  </si>
  <si>
    <t>RT @GartrellLinda: RT if you support patriot @GenFlynn
Now we know he was illegally wiretapped so ALL charges should be dismissed
Let  our…</t>
  </si>
  <si>
    <t>RT @realDonaldTrump: Thank you to @foxandfriends for exposing the truth. Perhaps that’s why your ratings are soooo much better than your un…</t>
  </si>
  <si>
    <t>Wimpy TRAITOR Andy when he get's the news he's GTMO bound and has a likely appt with the Firing Squad!!! https://t.co/KuCbcZahpm</t>
  </si>
  <si>
    <t>RT @Hope4Hopeless1: Adrew Breitbart was FIERCE Patriot who declared WAR on the EVIL Force trying to destroy America. https://t.co/3me1lm3QTo</t>
  </si>
  <si>
    <t>RT @Jali_Cat: Ever been fired for being a lying dishonest unethical law violating lawyer?? 
@HillaryClinton has. 
How GRATEFUL are you sh…</t>
  </si>
  <si>
    <t>RT @RealDrGina: It’s always darkest before the dawn. 🌄</t>
  </si>
  <si>
    <t>RT @TrumpsDC: I will not be watching the Super Bowl this year but if I was I'd be rooting for Tom Brady and and the New England Patriots. A…</t>
  </si>
  <si>
    <t>RT @Hoosiers1986: #SuperBowlSunday
Instead of focusing on spoiled brats who disrespect our Flag &amp;amp; our Military this #SuperBowl Sunday, I'm…</t>
  </si>
  <si>
    <t>RT @starcrosswolf: Phil Mudd threatened President Trump, “You’ve Been Around for 13 Months, We’ve Been Around Since 1908. We’re Going to Wi…</t>
  </si>
  <si>
    <t>RT @TT45Pac: So here is the PLAN... in Phases &amp;amp; Memos
#TheMemo we saw is only 10% of what is yet to come. https://t.co/eruBQcTjV1</t>
  </si>
  <si>
    <t>RT @SykesforSenate: Please join Chanel and I in prayers for victims, family members, and first responders. https://t.co/FY994q8iXm</t>
  </si>
  <si>
    <t>RT @ar15m4mid: Future site of the 2020👈🎈
#DemocRATic Convention 🔗
Maximum🔗Security🔗
Treason should carry maximum sentences for ALL involved…</t>
  </si>
  <si>
    <t>RT @AnnaApp91838450: https://t.co/m2Zbfujz98
Unbelievable how Corrupt Lying Fake Media and Criminal DEMOCRATS treat PRESIDENT
that Stands 💯…</t>
  </si>
  <si>
    <t>RT @bchapman151: hmmm
i am trying really hard not to read into this https://t.co/k3kYpVxa8l</t>
  </si>
  <si>
    <t>RT @AMike4761: A pedophile priest with HIV, who admitted to raping 30 children aged between 5 and 10 years old, was forgiven by the POPE ,…</t>
  </si>
  <si>
    <t>@ThomasWictor Comey: Lead FBI?Golly shucks guy's, all a guy like me really wants to do is go play "It's Howdy Dooty Time"</t>
  </si>
  <si>
    <t>RT @gaye_gallops: Take a deep breath and contemplate the ramifications of this statement... at the present time we have the upper echelon o…</t>
  </si>
  <si>
    <t>RT @JacobAWohl: Rudolph Contreras was the FISA Judge who issued a warrant to spy on Carter Page because of a Yahoo News article and a Phony…</t>
  </si>
  <si>
    <t>RT @yigsstarhouse: Why is London based GS4 Security company running superbowl this year. The same company that hired pulse night club shoot…</t>
  </si>
  <si>
    <t>RT @GmanFan45: #Superbowl security changed last minute to company linked to #crisisactors from  #LasVegasShooting #Pulse #SanBernardino liv…</t>
  </si>
  <si>
    <t>@Chris85232978 @Thelargelagoon @Briligerent @SykesforSenate @fernandofgonz Haha I don't feed Trolls so slither back into your hole with your 40 "Followers" or more like your 40 alternate troll accounts. Bye..next!</t>
  </si>
  <si>
    <t>RT @CoreyLMJones: We stand to honor those who fought and died defending the greatest nation the world has ever known. God bless our vets!…</t>
  </si>
  <si>
    <t>RT @RealMattCouch: I'm very very concerned about the Security for the Superbowl being lead by former Washington D.C. Chief of Police Cathy…</t>
  </si>
  <si>
    <t>RT @thebradfordfile: .@PulitzerPrize: It's over. May as well announce the 2018 Investigating Reporting Winners--NOW.
Sara A. Carter ✔️
John…</t>
  </si>
  <si>
    <t>RT @KimDotcom: The memo confirms a political weaponization of law enforcement in the United States with serial abuses of power under @Barac…</t>
  </si>
  <si>
    <t>@NYCMW @LaraMRobbins @SykesforSenate @BillClinton @StephenAtHome It's nice to see that you agree with me about Stephen Colbert.</t>
  </si>
  <si>
    <t>RT @Thomas1774Paine: Report Finds Immigrants in U.S. Sent Home $138 Billion in 2016 https://t.co/oLgQZJTBQ2</t>
  </si>
  <si>
    <t>RT @DawnRenee64: @frenz4_evr @B75434425 My prayer from this morning... https://t.co/wzE8EhMkeG</t>
  </si>
  <si>
    <t>@LaraMRobbins @SykesforSenate @BillClinton @StephenAtHome Yes I agree that Stephen Colbert is an idiot, but I do appreciate the publicity he's giving this excellent Candidate @SykesforSenate</t>
  </si>
  <si>
    <t>RT @SebGorka: Rosenstein should be suspended from his position immediately and the veracity of this claim determined. https://t.co/Lr0ZGL10…</t>
  </si>
  <si>
    <t>RT @mclatterbu: #BoycottSuperBowl#BoycottSuperBowl#BoycottSuperBowl#BoycottSuperBowl#BoycottSuperBowl#BoycottSuperBowl#BoycottSuperBowl#Boy…</t>
  </si>
  <si>
    <t>RT @JennyR8675309: @B75434425 This seems like a threat! Can you be sure this gets seen by the right people? Thanks B! https://t.co/GviKMd3C…</t>
  </si>
  <si>
    <t>RT @SaraCarterDC: When did certain people in the intelligence community and @FBI become so all powerful that they feel they can threaten th…</t>
  </si>
  <si>
    <t>RT @PGutierrez630: Claire McCaskill and her PinkHat Lefties want to use your Tax $$ for Late-Term Abortions: https://t.co/zrBD3COxt7
So yo…</t>
  </si>
  <si>
    <t>RT @SykesforSenate: An open letter to RINO NUMBER SIX: Josh Hawley. WATCH FULL VIDEO HERE:
https://t.co/04BdJoerha #DrainTheSwamp #MAGA #Mo…</t>
  </si>
  <si>
    <t>RT @Hope4Hopeless1: @SykesforSenate @BillClinton @StephenAtHome With over 200,000 views, I seriously hope this HILLARIOUS skit Colbert did…</t>
  </si>
  <si>
    <t>RT @SykesforSenate: #StephenColbert is to Late Night TV what @BillClinton is to politics. Nobody knows how he's gotten away with it for so…</t>
  </si>
  <si>
    <t>@SykesforSenate @BillClinton @StephenAtHome With over 200,000 views, I seriously hope this HILLARIOUS skit Colbert did on @SykesforSenate  goes VIRAL. 
Thanks Stephen for helpin to get the word out about this  BOLD &amp;amp; OUTSPOKEN Conservative that's set his Anti-Estab sights on unseating #FireClaire 
https://t.co/sfOQFZ3owd</t>
  </si>
  <si>
    <t>@Thelargelagoon @Briligerent @carrieksada @SykesforSenate No @Thelargelagoon but with your one follower being a self professed Cuban born Liberal "named" Fernando Gonzalez @Fernandofgonz
I'm not surprised that you know the word for TROLL in your sister language. Now you "both" can slither away back under your rock or bridge.</t>
  </si>
  <si>
    <t>RT @carrieksada: Obama Admin's First Request to Spy on Trump Campaign Was Rejected by FISA Court -- 
So They Added the Fake Dossier Knowing…</t>
  </si>
  <si>
    <t>RT @RealJamesWoods: When Hillary Clinton screeched that “if that f***ing bastard wins we all hang from nooses,” I assumed it was a hangover…</t>
  </si>
  <si>
    <t>RT @johncardillo: If they did it to @realDonaldTrump, they did it to others far less powerful. 
How many conservatives were framed by a bi…</t>
  </si>
  <si>
    <t>RT @mikandynothem: First, President Trump hits a home run with his State of the Union speech. Then the #NunesMemo reveals the failed coup d…</t>
  </si>
  <si>
    <t>RT @MyBrianLeyh: https://t.co/YZVI8oDIx4</t>
  </si>
  <si>
    <t>RT @SharylAttkisson: Why did the FBI Director testify under oath there had been no abuse of surveillance authority ("702") when mounds of e…</t>
  </si>
  <si>
    <t>RT @RealJamesWoods: So Obama’s government, the #DNC, and members of the #MSM all conspired to fix a presidential election by deceiving a se…</t>
  </si>
  <si>
    <t>RT @BoycottBertha: https://t.co/Zi5orPZCN5</t>
  </si>
  <si>
    <t>RT @DisneySorceror: Courtland Sykes-the man for the senate! True American Conservative, Alpha Male, GR8 American patriot and pro-2nd Amendm…</t>
  </si>
  <si>
    <t>RT @carrieksada: Just the fact that @Courtland_Sykes makes the pink pussy hat brigade go nuts, makes me know he’s the right man 4 #Missouri…</t>
  </si>
  <si>
    <t>RT @StockMonsterVIP: FAKE CARTER PAGE WARRANT WAS USED MULTIPLE TIMES WITH SIGN OFF BY THESE CRIMINALS !!
#JamesComey
#AndrewMcCabe
#Sally…</t>
  </si>
  <si>
    <t>@angel_star39 He is legend. I would like to believe that he's looking down and seeing these  miraculous changes.</t>
  </si>
  <si>
    <t>RT @RepMattGaetz: Not only did the Memo lay bare a systemic pattern of abuse within the FBI &amp;amp; DOJ, it confirmed my worst fear: America’s fr…</t>
  </si>
  <si>
    <t>RT @joel_capizzi: Chanel Rion, fiance of MO Republican Senate candidate Courtland Sykes is being ruthlessly attacked for her traditional fa…</t>
  </si>
  <si>
    <t>@JacobAWohl @JJYS0913 https://t.co/XWZXaoVzhl</t>
  </si>
  <si>
    <t>RT @GregTosto: @JamesComeyFBI gst your pink #Toothbrush ready. You sir are headed for jail. #CrookedComey you got paid by the #CrookedClint…</t>
  </si>
  <si>
    <t>RT @SassyT_Joy: #Berghdahl was allowed to keep back pay for years he spent as a #deserter while #KrisSaucier has suffered financial ruin.
.…</t>
  </si>
  <si>
    <t>@ScottPresler @SusieCa00964694  https://t.co/peEO1csyGF</t>
  </si>
  <si>
    <t>RT @joel_capizzi: @SaucierSadie @WattersWorld @JesseBWatters @Shelleyflower77 @realDonaldTrump @RealAlexJones @seanhannity @freedomondeck @…</t>
  </si>
  <si>
    <t>Adrew Breitbart was FIERCE Patriot who declared WAR on the EVIL Force trying to destroy America. https://t.co/3me1lm3QTo</t>
  </si>
  <si>
    <t>Today, we HONOR this amazing man's Birthday... 
A TRUE and FIERCE American Patriot in this Movement to Save The Republic... 
He will never be forgotten... 
  Andrew Breitbart
       1969-2012 https://t.co/OZpr26crL5</t>
  </si>
  <si>
    <t>RT @PaulLee85: Happy Birthday to the late Andrew Breitbart. He did a lot to expose our corrupt Government, and to this day I think Podesta…</t>
  </si>
  <si>
    <t>RT @RedNationRising: I will not be watching the #SuperBowl this year.
My team wears camouflage.
#BoycottSuperBowl https://t.co/VeXIH61AYy</t>
  </si>
  <si>
    <t>RT @President1Trump: He’s the best..@POTUS says don’t call DACA recipients dreamers, don’t fall into that trap! American’s are the DREAMERS…</t>
  </si>
  <si>
    <t>Psst, you litlle Commie B!*TCH, it's  OBVIOUS you know, but in case you've forgot "You're goin to GTMO"
https://t.co/9urWzO1cup via @youtube</t>
  </si>
  <si>
    <t>RT @LaunaSallai: I am asking again for Prayers for my Momma.  She is now doing Chemo, and is taking it really hard.  She is not eating, ver…</t>
  </si>
  <si>
    <t>@LaunaSallai Aww, I'm so sorry. I will definitely be praying for your Momma. Please stay strong and keep your chins up.</t>
  </si>
  <si>
    <t>RT @Hope4Hopeless1: @molsballou @jonlovett @AkilahObviously @IjeomaOluo If the name fits, then it'll go well with those Pussy Hats with the…</t>
  </si>
  <si>
    <t>RT @THE_KATZ: @Hope4Hopeless1 @bfraser747 @molsballou @jonlovett @AkilahObviously @IjeomaOluo @SykesforSenate Gotta love the satire, smilin…</t>
  </si>
  <si>
    <t>RT @Hope4Hopeless1: @THE_KATZ @bfraser747 @molsballou @jonlovett @AkilahObviously @IjeomaOluo @SykesforSenate That seriously gets me tickle…</t>
  </si>
  <si>
    <t>@THE_KATZ @bfraser747 @molsballou @jonlovett @AkilahObviously @IjeomaOluo @SykesforSenate That seriously gets me tickled every time I play it and I'm not going to admit how many times I've played it, lol.
Yep, and those NASTY B!&amp;amp;CHES
are just goin have to deal with it. https://t.co/RszXdpJqJL</t>
  </si>
  <si>
    <t>@molsballou @jonlovett @AkilahObviously @IjeomaOluo If the name fits, then it'll go well with those Pussy Hats with the black fringe sewn on em. May I suggest that on the back print: FILTHY NASTY WOMAN
and..
for everyone else please print a HUGE number that say:
REAL WOMEN with GRACE &amp;amp; DIGNITY VOTE @SykesforSenate</t>
  </si>
  <si>
    <t>@SarahSlsnow13 @realDonaldTrump @CourtlandSykes @clairecmc Pretty sure someone in Claire's camp set up the parody account that  you've tagged because they know that @SykesforSenate is definitely the Anti-Establishment Pro-Trump Candidate who can #unseatClaire and send her packin. #MOSEN</t>
  </si>
  <si>
    <t>RT @living4Gd: @Briligerent @carrieksada @SykesforSenate I am from Missouri and we need more people like Courtland Sykes to tell the truth…</t>
  </si>
  <si>
    <t>RT @Fuctupmind: RETWEET if you can smell the fear coming from the left...
... And it smells delicious
#ReleasetheMemo https://t.co/O5Bofb…</t>
  </si>
  <si>
    <t>@Briligerent @carrieksada @SykesforSenate "According" to your profile, you do live in this beautiful State of Missouri. By the looks of how you are 1rst to reply to everything Courtland posts you're probably living in your mother's basement (doubtful if that's really in MO) &amp;amp; either obsessed or a paid TROLL.</t>
  </si>
  <si>
    <t>RT @SykesforSenate: #PinkHatRot - How #ClaireMcCaskill and her radical feminists are trying to destroy the American family and Missouri Val…</t>
  </si>
  <si>
    <t>@VFL2013 @On_The_Hook @DonnaWR8 @KatTheHammer1 @thebradfordfile @GrizzleMeister @Hoosiers1986 @GaetaSusan @carrieksada @SparkleSoup45 @GartrellLinda @IWillRedPillYou @On_The_Hook is a legend &amp;amp; is a must Follow!!!</t>
  </si>
  <si>
    <t>RT @VFL2013: Big S/O to the Dude who put me on Twitter and Help me... Who Lost 40k followers at one time.. Please everyone follow My Dude @…</t>
  </si>
  <si>
    <t>RT @DeeDambrosia: @Hope4Hopeless1 @SykesforSenate @ValerieJarrett @ChanelRion @ChanelRion #smart #sexy #tough and still has American #value…</t>
  </si>
  <si>
    <t>RT @SykesforSenate: ANY representative in Washington who questions our #2ndAmendment RIGHTS is a threat to our Republic and should be VOTED…</t>
  </si>
  <si>
    <t>RT @SykesforSenate: .@NancyPelosi, this brings new meaning to the phrase #TimesUp. Your gestapo politics will soon end. #MAGA https://t.co/…</t>
  </si>
  <si>
    <t>@tracybeanz Here's the Urban Definition of the term Kristol used "Jump the Shark" 
means;
The precise moment when you know a program, band, actor, politician, or other public figure has taken a turn for the worse, gone downhill, become irreversibly bad, is unredeemable, etc</t>
  </si>
  <si>
    <t>@Greggorj Too bad death by Flame Throwers isn't the standard method of Corporal Punishment for Treason.</t>
  </si>
  <si>
    <t>RT @trumpcrypto2018: @B75434425  https://t.co/fSZTsdrxmW</t>
  </si>
  <si>
    <t>RT @CovfefeCake: @GarleniaDavis_ @B75434425 July 4 2018 is going to be a great holiday this year! 🇺🇸 and I propose Freedom Day to be our 2n…</t>
  </si>
  <si>
    <t>RT @RJ13835606: @B75434425 #DrainTheSwamp https://t.co/KNRxsrdKTg</t>
  </si>
  <si>
    <t>HILLARY CLINTON:  
Hey Siri... 
asking for a friend....
What's quicker and less painful, being hung by the neck until dead or death by firing squad?  https://t.co/9uwwrEhLG4</t>
  </si>
  <si>
    <t>RT @CharlieDaniels: Tuesday night I saw into the soul of the leadership of the democrat party and it’s a cold, self centered place that car…</t>
  </si>
  <si>
    <t>RT @DrSchmalz: Happy #Memo Day !!!
Question for @TheJusticeDept :
Out of curiosity, what is the penalty for HIGH TREASON in the U.S.A.?
Is…</t>
  </si>
  <si>
    <t>@Thomas1774Paine Is he wearing his team colors?</t>
  </si>
  <si>
    <t>@Thomas1774Paine @CMaschera Is he wearing his team colors?</t>
  </si>
  <si>
    <t>RT @markpack44: @B75434425  https://t.co/7mBOnYgLu1</t>
  </si>
  <si>
    <t>RT @michaelbeatty3: 🤔#ThursdayThoughts 
Interesting how a famous portrait 
of traitor Benedict Arnold looks 
just like #AdamSchiff ☠️
🇺🇸#MA…</t>
  </si>
  <si>
    <t>RT @esqonfire: George Soros is getting involved in Missouri politics?
Our Senate race truly is the big one this year.
#MOSEN #FireClaire #m…</t>
  </si>
  <si>
    <t>RT @ChanelRion: 🇺🇸🇰🇷 May we possess as much courage to destroy evil as you have had the courage to survive it: #화이팅 Ji Seong Ho. #Sotu2018…</t>
  </si>
  <si>
    <t>@ChanelRion https://t.co/p5cIW6cnDT</t>
  </si>
  <si>
    <t>RT @KelemenCari: https://t.co/8IOP9celI1</t>
  </si>
  <si>
    <t>@michaelbeatty3 When I saw that, I just figured the little RABID Liberal INBRED was FOAMING at the mouth.</t>
  </si>
  <si>
    <t>RT @RSIDareYa7221: @itsPeteRepeat @NoScience4War @POTUS #Operationpaperclip
#OperationNorthwoods
#Qanon https://t.co/3nB8VrZUxZ</t>
  </si>
  <si>
    <t>RT @VFL2013: RT Only If You Feel That Our @POTUS Is Truly Making America Great Again!!!! #MAGA @realDonaldTrump Once Again What An Awesome…</t>
  </si>
  <si>
    <t>RT @SykesforSenate: True to his word, in support of the #AmericaFirst vision, President Trump reminded all of us that Washington belongs to…</t>
  </si>
  <si>
    <t>RT @PGutierrez630: This map shows the US really has 11 separate 'nations' with entirely different cultures https://t.co/BVhGhV33vT https://…</t>
  </si>
  <si>
    <t>RT @NASAAmes: A #SuperBlueBloodMoon is coming on Jan. 31!
The 🌕 is SUPER when it’s closer to 🌎 in its orbit.
The 🌕 is BLUE when it’s the 2n…</t>
  </si>
  <si>
    <t>RT @FoxNews: If you see the #SuperBlueBloodMoon, share your photos with us @ Fox News! https://t.co/QV1u9Khb5Y</t>
  </si>
  <si>
    <t>RT @MilitaryCourage: Stay low, move fast. 🇺🇸 https://t.co/tIgb662QpM</t>
  </si>
  <si>
    <t>RT @RealJamesWoods: That moment when you realize an entire nation dodged a bullet... https://t.co/DfXDuKkBkF</t>
  </si>
  <si>
    <t>RT @HDowning113: @Nov2018election @SykesforSenate Support SYKES
     Follow SYKES
          Donate SYKES
                Vote SYKES
MISSOUR…</t>
  </si>
  <si>
    <t>RT @RealErinCruz: Can you imagine a man encouraging a woman to be a wife and mother?
-
We saw how hard you fought against Muslim brotherhoo…</t>
  </si>
  <si>
    <t>RT @DeeDambrosia: @RealErinCruz @ValerieJarrett you wouldn't know a #real man if you moved in with him and his wife #corruption Missourians…</t>
  </si>
  <si>
    <t>RT @Nov2018election: @MAGAGunslinger @SykesforSenate #ILIKESYKES #MOSEN #MO #SYKES4SENATE https://t.co/UaZUHqsJhf</t>
  </si>
  <si>
    <t>RT @GartrellLinda: Thank you @POTUS @realDonaldTrump   
WE ARE WINNING FOR AMERICA!
#MAGA for all citizens to prosper https://t.co/knhc4K8I…</t>
  </si>
  <si>
    <t>RT @MAGAGunslinger: #DarkHorse
Who is he?
- A modern day James Bond?
- A Deep Cover CIA operative
- A Movie Star?
- A Harvard Educated Bus…</t>
  </si>
  <si>
    <t>RT @MAGAGunslinger: #DarkHorse
Something tells me he knows his way around a kitchen but who is he?
- A modern day James Bond?
- A CIA oper…</t>
  </si>
  <si>
    <t>RT @Hope4Hopeless1: @SykesforSenate @SenateMajLdr Missouri's NEWLY elected AG, Josh Hawley, IS McConnell's HIGHLY FUNDED #1RinoRecruit who'…</t>
  </si>
  <si>
    <t>RT @Nov2018election: @Hope4Hopeless1 @Bryanc1111 @AP4Liberty Missouri’s Only MAGA Candidate @SykesforSenate #MOSEN #MAGA #MOGOP #MOPOL #Ter…</t>
  </si>
  <si>
    <t>RT @BigLeague2020: @Hope4Hopeless1 @AP4Liberty @SykesforSenate #MOSEN #MAGA
Support .@SykesforSenate 
Introduction: https://t.co/7cWWrsBs…</t>
  </si>
  <si>
    <t>RT @OliverMcGee: So while Hillary Clinton was reading Fire and Fury at the #Grammys in front of Hollywood elite, President Trump was prepar…</t>
  </si>
  <si>
    <t>RT @Thomas1774Paine: Nothing says Let's Stand Up to Sexual Assault Like Having A Woman at the Grammy's Who Threatened Other Women Who Stood…</t>
  </si>
  <si>
    <t>RT @redsteeze: Less than a week after a story drops of Hillary shielding a sexual predator, and intimidating his victims with an NDA, she g…</t>
  </si>
  <si>
    <t>@thebradfordfile @GenFlynn @LeahR77 @KamVTV @BasedMonitored @AppSame @bacon_texas @AmericanHotLips @ClintonM614 @GrizzleMeister @DanCovfefe1 @hidehunt1 https://t.co/WRKJsdFK1O</t>
  </si>
  <si>
    <t>@thebradfordfile @GenFlynn @LeahR77 @KamVTV @BasedMonitored @AppSame @bacon_texas @AmericanHotLips @ClintonM614 @GrizzleMeister @DanCovfefe1 @hidehunt1 https://t.co/E8hOQ90Wzp</t>
  </si>
  <si>
    <t>@thebradfordfile @GenFlynn @LeahR77 @KamVTV @BasedMonitored @AppSame @bacon_texas @AmericanHotLips @ClintonM614 @GrizzleMeister @DanCovfefe1 @hidehunt1 https://t.co/SNlrt5UhRA</t>
  </si>
  <si>
    <t>@thebradfordfile @GenFlynn @LeahR77 @KamVTV @BasedMonitored @AppSame @bacon_texas @AmericanHotLips @ClintonM614 @GrizzleMeister @DanCovfefe1 @hidehunt1 https://t.co/nl9T1PraFS</t>
  </si>
  <si>
    <t>RT @thebradfordfile: It's time to round up all the black hats. Thank you @GenFlynn. 
#ReleaseTheMemo https://t.co/wmXFFO6tIF</t>
  </si>
  <si>
    <t>RT @Nov2018election: Please Support These Conservative Patriotic Woman FOR THE PEOPLE In November 2018 🇺🇸  @RealErinCruz  @AjaforCongress @…</t>
  </si>
  <si>
    <t>RT @SykesforSenate: Claire McCaskill has always been against #VoterID laws. Understandable in her case. Unacceptable in ours. Fire ALL #Vot…</t>
  </si>
  <si>
    <t>@HunterRivett @CStamper_ @Monetti4Senate https://t.co/ZKYMFWF1CE</t>
  </si>
  <si>
    <t>RT @BigLeague2020: @CStamper_ #MOSEN https://t.co/wDHcnf5GEL</t>
  </si>
  <si>
    <t>@CStamper_ @vix_en_babe https://t.co/ZKYMFWF1CE</t>
  </si>
  <si>
    <t>@shadowban69 @Monetti4Senate @catdeeann @CStamper_ https://t.co/wfC7VWrdgL</t>
  </si>
  <si>
    <t>RT @TheLastRefuge2: 40.  .... And our White Hat team (CIA, NSA) just modified its operational use, to monitor and catch the Black Hat team.…</t>
  </si>
  <si>
    <t>RT @Hope4Hopeless1: ATTN #MAGA
#TRUTH of 9/11 &amp;amp; OP PELICAN  may just be THE INDISPUTABLE evidence THAT RED PILLS America! https://t.co/Qf5M…</t>
  </si>
  <si>
    <t>RT @Hope4Hopeless1: I trust this has ALL been INGENIUSLY DEACTIVATED/THWARTED &amp;amp; ALL the evidence WILL BE REVEALED! https://t.co/W3oB1TSMF3</t>
  </si>
  <si>
    <t>RT @TheLastRefuge2: 41.  I guess we'll never actually know....  Or will we?... 
/End https://t.co/9OT05U9nsN</t>
  </si>
  <si>
    <t>RT @1ofthegoodguyz: ATTENTION! Loyal Followers,
This is malware.
If you already clicked on it check your timeline. It'll be filled with twe…</t>
  </si>
  <si>
    <t>RT @Trump45Michael: 🇺🇸#MMGA🇺🇸
🚨Missouri 🗳VOTE 🗳 OUT 🗳 @clairecmc 🚨
🇺🇸#MAGA🇺🇸
🚨Arizona 🗳VOTE 🗳 OUT 🗳@JeffFlake 🚨
🇺🇸#MMGA🇺🇸
🚨Missourians 🗳VO…</t>
  </si>
  <si>
    <t>RT @HananyaNaftali: WATCH: The #Palestinian Authority "executed" President @realDonaldTrump  and @VP Pence.
And then they complain that th…</t>
  </si>
  <si>
    <t>RT @Lady_Vi_2U: DO NOT CLICK ON THIS .. IT IS A VIRUS AND WILL SELF GENERATE TONS OF THESE ON YOUR TIMELINE!  ONCE THAT HAPPENS .. TWITTER…</t>
  </si>
  <si>
    <t>RT @wikileaks: New docs show Pentagon &amp;amp; CIA attempting to influence the narratives of over 1,800 movies and TV shows https://t.co/uJ1xbsSTzK</t>
  </si>
  <si>
    <t>RT @EjHirschberger: #Liberals Attack Without Facts. A Picture Paints a Thousand Words &amp;amp; Let The Truth Be Told. #Trump Loves All Americans.…</t>
  </si>
  <si>
    <t>@Angel77904 @MBOKSR_MAGA @APTT45Babe @PIRATEDANTRAIN @MichelleRMed @Goobinator02 @Cooey1967 @kg_NewsAccount @Trump_4Scotland @ShelleyAnne333 @DeltaMike1776 @HotShot_78 @SusieCa00964694 @ksmitchell4 @Alexrory92Judi @AntoneCafe @DDonsmith007 @DonDonsmith007 @jimlibertarian @GeorgiaDirtRoad @BarbaraRedgate @bbusa617 @BluehandArea @_IamAnita_ @tracymelchior @Ollyollyoxinfre @KatTheHammer1 @SongBird4Trump I've reach my follow  limit but will follow back tommorrow.</t>
  </si>
  <si>
    <t>@APTT45Babe @MichelleRMed @Goobinator02 @Cooey1967 @kg_NewsAccount @Trump_4Scotland @ShelleyAnne333 @DeltaMike1776 @HotShot_78 @SusieCa00964694 @ksmitchell4 @Alexrory92Judi @AntoneCafe @DDonsmith007 @DonDonsmith007 @jimlibertarian @GeorgiaDirtRoad @BarbaraRedgate @bbusa617 @BluehandArea @_IamAnita_ @tracymelchior @Ollyollyoxinfre @KatTheHammer1 @SongBird4Trump I've reach my follow  limit but will follow back tommorrow.</t>
  </si>
  <si>
    <t>RT @APTT45Babe: Rolling on!
#AmericanPrideTT45
@MichelleRMed 
@Goobinator02 
@Cooey1967 
@kg_NewsAccount 
@Trump_4Scotland 
@ShelleyAnne3…</t>
  </si>
  <si>
    <t>RT @Thomas1774Paine: DANGEROUS week ahead. 
With FISA memo pending release, nothing these sick D.C. bastards pull would surprise me. Buckle…</t>
  </si>
  <si>
    <t>RT @APTT45Babe: General Michael Flynn (ret) has helped keep your country safe for almost 40 years. Now he needs YOUR help.
Now is the time…</t>
  </si>
  <si>
    <t>RT @PIRATEDANTRAIN: #AmericanPrideTT45 
Maximize your ride! Follow all Conductors, Engineers, &amp;amp; recommended patriots listed under the pinn…</t>
  </si>
  <si>
    <t>RT @PIRATEDANTRAIN: 🔥 #AmericanPrideTT45 🔥
2 trains launched! Hit both! If you're added, you'll be on one of these.
Follow Conductors:
@A…</t>
  </si>
  <si>
    <t>RT @APTT45Babe: Don't forget to visit the other train!😉
#AmericanPrideTT45
@trumpferh0 
@americanguy65 
@LaurieDumilieu 
@jilladairmakeup…</t>
  </si>
  <si>
    <t>RT @APTT45Babe: #AmericanPrideTT45 
Maximize your ride! Follow all Conductors, Engineers, &amp;amp; recommended patriots listed under the pinned t…</t>
  </si>
  <si>
    <t>RT @PIRATEDANTRAIN: How y'all doing?
VIP CAR
#AmericanPrideTT45
@jimlibertarian
@bbusa617
@GeorgiaDirtRoad
@Ollyollyoxinfre
@BluehandArea…</t>
  </si>
  <si>
    <t>@PIRATEDANTRAIN @jimlibertarian @bbusa617 @GeorgiaDirtRoad @Ollyollyoxinfre @BluehandArea @_IamAnita_ @SongBird4Trump @KatTheHammer1 @lofly727 @ArizonaKayte @GmanFan45 @RampsNO_BSRants @ksmitchell4 @starcrosswolf @RubyRockstar333 Ok, I think I'm on. Bare w/ me, I'm a 1rst xmer.  Followed all peeps RTs &amp;amp; RTd the 2 Pinned Tweets am I doing this right? https://t.co/eIKO1INx15</t>
  </si>
  <si>
    <t>RT @APTT45Babe: How y'all doing?
VIP CAR
#AmericanPrideTT45
@jimlibertarian
@bbusa617
@GeorgiaDirtRoad
@Ollyollyoxinfre
@BluehandArea
@_I…</t>
  </si>
  <si>
    <t>RT @APTT45Babe: No stopping, no brakes! 😆
#AmericanPrideTT45
@Jali_Cat 
@KenekhamJessica 
@JusticeSeeeker3 
@ChrisBF04
@chuker_tatts 
@Ku…</t>
  </si>
  <si>
    <t>@APTT45Babe @PIRATEDANTRAIN @jimlibertarian @bbusa617 @GeorgiaDirtRoad @Ollyollyoxinfre @BluehandArea @_IamAnita_ @SongBird4Trump @KatTheHammer1 @lofly727 @ArizonaKayte @GmanFan45 @RampsNO_BSRants @ksmitchell4 @starcrosswolf @RubyRockstar333 @BarbaraRedgate @tracymelchior Ok, I think I'm on. Bare w/ me, I'm a 1rst xmer.  Followed all peeps RTs &amp;amp; RTd the 2 Pinned Tweets am I doing this right? https://t.co/corFbJiMPm</t>
  </si>
  <si>
    <t>RT @APTT45Babe: 🔥 #AmericanPrideTT45 🔥
2 trains launched! Hit both! If you're added, you'll be on one of these.
Follow Conductors:
@APTT4…</t>
  </si>
  <si>
    <t>@bfraser747 Keep your chin up Babe &amp;amp; know you're  surrounded by lots &amp;amp; lots of Love &amp;amp; Prayer!</t>
  </si>
  <si>
    <t>RT @bfraser747: I’ll be back soon. Recovering and need a break but try to keep up with DMs very soon</t>
  </si>
  <si>
    <t>@yigsstarhouse Whoa! Beautiful! Where are you?</t>
  </si>
  <si>
    <t>RT @yigsstarhouse: Havent had a Zen moment for awhile now. Looked out the window and got a nice surprise. A new kid on the block and an add…</t>
  </si>
  <si>
    <t>RT @joel_capizzi: Liberal women think they speak for all women including Chanel Rion.
The implication is conservative women are too weak t…</t>
  </si>
  <si>
    <t>RT @IranLionness: This courageous woman, Vida Movahed stood up on this pillar box and said NO to the compulsory veil in #Iran, she is detai…</t>
  </si>
  <si>
    <t>I trust this has ALL been INGENIUSLY DEACTIVATED/THWARTED &amp;amp; ALL the evidence WILL BE REVEALED! https://t.co/W3oB1TSMF3</t>
  </si>
  <si>
    <t>@Greggorj @YouTube YES &amp;amp; Sooo MUCH MORE.... @POTUS DJT KNOWS think 28 pgs and HOPEFULLY soon VERY VERY the Nation will ALL KNOW TOO!!!
https://t.co/92ufJw4NX0</t>
  </si>
  <si>
    <t>ATTN #MAGA
#TRUTH of 9/11 &amp;amp; OP PELICAN  may just be THE INDISPUTABLE evidence THAT RED PILLS America! https://t.co/Qf5MJyZgo4 via @youtube</t>
  </si>
  <si>
    <t>RT @Nov2018election: “They all have to go. Either we have a country or we don’t.” -DJT #STOPDACA NO DACA NO AMNESTY https://t.co/h8DF3bxBzy</t>
  </si>
  <si>
    <t>RT @USAloveGOD: Women's Marchers Leave Garbage All Over The Streets, #MarchforLife Not So Much!
#WomensMarch are slobs! Clean up after you…</t>
  </si>
  <si>
    <t>RT @BigLeague2020: @Hope4Hopeless1 @SykesforSenate  https://t.co/iNVuWGVzMq</t>
  </si>
  <si>
    <t>RT @ArizonaKayte: Stand up, Speak up my brothers and sisters.
#ReleaseTheMemo
#NoDACA
#MAGA
#NoFear https://t.co/B0FFv18cej</t>
  </si>
  <si>
    <t>RT @jerome_corsi: Obama was a member of NATION OF ISLAM.  I wrote about it in THE OBAMA NATION in 2008.  He attended Farrakhan's MILLION MA…</t>
  </si>
  <si>
    <t>RT @DonnaWR8: @realDonaldTrump #ReleaseTheMemo https://t.co/wh2HhHfx6O</t>
  </si>
  <si>
    <t>RT @mitchellvii: I have to be honest with you.  I used to feel compassion for "Dreamers".  After their arrogant, demanding response to Trum…</t>
  </si>
  <si>
    <t>RT @bchapman151: if you are not aware of who Margaret Sanger is - founded Planned Parenthood
https://t.co/JzvIw5F59H
Here is some info on…</t>
  </si>
  <si>
    <t>@alxnikki @gaycatmom @SykesforSenate I'm simply pointing out that every single acct that is commenting have less than 100 followers with the majorty barely in the double digits. SO that makes you above average w/ 60, now run along &amp;amp; tend to your cats.</t>
  </si>
  <si>
    <t>RT @eatkinson48: “The point of my statement was to defend  traditional families. When I was asked how I feel about women’s rights,  frankly…</t>
  </si>
  <si>
    <t>@gaycatmom @SykesforSenate Ok @gaycatmom slither away w/ your 16 Followers</t>
  </si>
  <si>
    <t>@SeanHannity__ @seanhannity You need to take a picture holding a sign with the date to prove it's you</t>
  </si>
  <si>
    <t>RT @seanhannity: I’m baaaccckk... a lot to say- Thanks for the support all you deplorable, irredeemables. Can’t get rid of me that easy. To…</t>
  </si>
  <si>
    <t>@seanhannity @REALHEATHER63 #deepstategate</t>
  </si>
  <si>
    <t>@tedcruz https://t.co/SnxWV2n7H8</t>
  </si>
  <si>
    <t>@SykesforSenate @SteeleAndUngar @ChanelRion @MichaelSteele @rickungar https://t.co/kcvANOlHPk</t>
  </si>
  <si>
    <t>@gaycatmom @SykesforSenate https://t.co/kcvANOlHPk</t>
  </si>
  <si>
    <t>@SykesforSenate https://t.co/kcvANOlHPk</t>
  </si>
  <si>
    <t>RT @joel_capizzi: 3 Senate candidates in MO and who do feminazis go after?
Not Petersen, he's an open borders liberal and liberals LOVE op…</t>
  </si>
  <si>
    <t>RT @Hope4Hopeless1: WOW!!! I'm so incredibly proud of this STRONG OUTSPOKEN NON-POLITICALLY CORRECT Patriot @SykesforSenate who is a #USNav…</t>
  </si>
  <si>
    <t>RT @Hope4Hopeless1: This is such an incredibly tender &amp;amp; touching moment, when this elderly man sings the couple's song to his dying wife.
h…</t>
  </si>
  <si>
    <t>@Vet47Army Yes, an ACT passed in 2002 that allows US Citzens to be declared Enemy Combatants and tried under Military Justice at GTMO</t>
  </si>
  <si>
    <t>@mmenzel765 @Lrihendry @realDonaldTrump Here's hoping my daysdreams become reality.</t>
  </si>
  <si>
    <t>@4TrumpMovement @Lrihendry @realDonaldTrump Downright triggered, I'd say!!!</t>
  </si>
  <si>
    <t>RT @Nov2018election: Let’s take a look at the Arizona Senate Race As It’s Becoming Rather https://t.co/PXBgknRxdt has been #deflaked 💥 McSa…</t>
  </si>
  <si>
    <t>RT @Doodisgirl: Consider this.
❤️🇺🇸
President Trump respectfully touches the face of a U.S veteran who lost both arms, knowing he could no…</t>
  </si>
  <si>
    <t>RT @Lrihendry: Dear Mr President, the American people will be extremely offended if ‘Dreamers’ aka illegals are permitted to attend the #SO…</t>
  </si>
  <si>
    <t>RT @Hope4Hopeless1: @Lrihendry @realDonaldTrump Perfect way to round up the nervy little "entitled" bastards &amp;amp; have them escorted out by IC…</t>
  </si>
  <si>
    <t>@Lrihendry @realDonaldTrump Perfect way to round up the nervy little "entitled" bastards &amp;amp; have them escorted out by ICE! Hopefully, this followed by the President reading THE memo &amp;amp; all the the other TRAITORS being led away in cuffs and their asses shipped to #GTMO
to meet their justice!
#JusticeBeSWIFT</t>
  </si>
  <si>
    <t>@MsTessMcGill Hillary's MINDLESS minions are NASTY HATERS that are going to HATE no matter what! On the hand, WE L♡VE OUR President &amp;amp; ALL he's doin to save our Country frm these traitorous forces that are funding these "movements" that are HELL BENT on our destruction!
https://t.co/mFxUb7MZS8</t>
  </si>
  <si>
    <t>RT @BigLeague2020: President Trump, Leader Of The World
How one picture from #Davos2018 can debunk the false narrative of the corrupt #MSM…</t>
  </si>
  <si>
    <t>@BigLeague2020 They L♡VE our President!!!</t>
  </si>
  <si>
    <t>@lovemedietcoke Hahaha, you accuse others of exactly what you're doing. 
Hillarious that you're so ignorant that you use the word deflect while attempting to deflect!
NOW slither on down the road ignorant TROLL w/ very few Followers.
https://t.co/mFxUb7MZS8</t>
  </si>
  <si>
    <t>@Mat0816 @SykesforSenate Slither a way w/ your 20 Followers TROLL
https://t.co/mFxUb7MZS8</t>
  </si>
  <si>
    <t>@okokbehonest @LouisaDang @SykesforSenate Especially read my last sentence and run or slither away w/ your 30 Followers.
https://t.co/mFxUb7MZS8</t>
  </si>
  <si>
    <t>@rsienkiewicz @SykesforSenate https://t.co/kz0V0t5kY7</t>
  </si>
  <si>
    <t>@gp2howe @yellowdogfwd @GeorgWebb Disinfo!</t>
  </si>
  <si>
    <t>RT @PeteS77252077: @JamesMNHarris @AP @SykesforSenate “Consultant” .... let me tell you as somebody who has knocked on 10,000 doors in Miss…</t>
  </si>
  <si>
    <t>RT @RodStryker: Remember that time Obama encouraged Illegals #DACA to vote in 2016 election? He said when they vote, they ARE CITIZENS &amp;amp; wo…</t>
  </si>
  <si>
    <t>RT @Hope4Hopeless1: This beautiful Human Being SELFLESSLY ran through gunfire to rescue a child he saw still moving in a group of dead civi…</t>
  </si>
  <si>
    <t>RT @SiddonsDan: “Fascism has been somehow wrongly portrayed as something on the right, but the right is for individual rights and limited #…</t>
  </si>
  <si>
    <t>@ElectronSrprise @thereisnohurry @LouisaDang @SykesforSenate @YouTube https://t.co/mFxUb7MZS8</t>
  </si>
  <si>
    <t>RT @joel_capizzi: Libs are making the case for us that Sykes believes in traditional family values.
Of course they have a problem with tha…</t>
  </si>
  <si>
    <t>RT @SykesforSenate: Though I am making a list of swamp creatures, I don't think insects qualify. As a former member of the intelligence and…</t>
  </si>
  <si>
    <t>@sjcain @LouisaDang @SykesforSenate https://t.co/mFxUb7MZS8</t>
  </si>
  <si>
    <t>@privatemyth @SykesforSenate https://t.co/mFxUb7MZS8</t>
  </si>
  <si>
    <t>@April182000 @SykesforSenate @ChanelRion @CNN Some advice, if this VULGAR "Movement" wants to represent women in a way that portrays the strength &amp;amp; DIGNITY of good women, DROP the vulgarity &amp;amp; get some new marketing advice. Ya'll nasty &amp;amp; ridiculous in those costumes. Ya'll w/ these accts of less 50 followers can run along now</t>
  </si>
  <si>
    <t>RT @FoxNews: .@Jim_Jordan: "Before we got these text messages we all suspected the fix was in on the Clinton investigation. Now that we've…</t>
  </si>
  <si>
    <t>RT @Elucifer23: RETWEET
I'M CALLING ON ALL VETERANS AND AMERICANS TO BOYCOTT THE SUPER BOWL! Not only is kneeling disrespectful to the mili…</t>
  </si>
  <si>
    <t>RT @Thomas1774Paine: More FBI cartel members lawyered up today. You'll read about that in the coming days.</t>
  </si>
  <si>
    <t>@KevinClamato @LouisaDang @SykesforSenate Kev, you're not only NOT photogenic enough to be successful in the "career(s)" you purport to be pursuing, but your intuitive powers suck too. ICE ICE baby Adios</t>
  </si>
  <si>
    <t>RT @rsienkiewicz: New Generation of GOP Navy SEAL Team 5 intelligence Business owner and Patriot Courtland @SykesforSenate Missouri Candida…</t>
  </si>
  <si>
    <t>RT @Thomas1774Paine: Deep State never thought social media would become a BIGGER news platform than lap dogs like NY Times, Washing Post, C…</t>
  </si>
  <si>
    <t>@itscuincle Lol, I realize you probably utitilized all your creative energy. Sorry, complete waste of your time, now slither away...
BLOCKED</t>
  </si>
  <si>
    <t>RT @thebradfordfile: The F U T U R E :
1. FISA memo made public.
2. Democrat indictment parade.
3. 2018 elections
4. Trials on live TV.
4.…</t>
  </si>
  <si>
    <t>@thereisnohurry @LouisaDang @SykesforSenate @YouTube https://t.co/5wB8sqOIva</t>
  </si>
  <si>
    <t>@itscuincle Haha Ms. MaddyPants, that's kinda cute.
These VULGAR pieces of RANCID "Feminist" TRASH are NOT CUTE!
Oh &amp;amp; BTW...
#TheyKNEW
THEY
#AbsolutelyKNEW 
THE
#EvilHypocritsKNEW
YES, I'm PISSED &amp;amp; you should be too!
https://t.co/RYSM90n0h4</t>
  </si>
  <si>
    <t>@thereisnohurry @LouisaDang @SykesforSenate I'm talkin about THE SAFE &amp;amp; NURTURING fabric of women w/ grace &amp;amp; dignity LOVINGLY passing on true VALUES! VALUES that are being ASSAULTED by VULGAR Feminists like THIS ABSURD Multimillionaire FILTH ranting about paying taxes on bloody TAMPONS? https://t.co/VknDeD3VUj via @youtube</t>
  </si>
  <si>
    <t>RT @StevePieczenik: #Davos2018 #Davos https://t.co/K6bhHVGXbB SmokeOntheWater! #EliteDangerous #Globalists @DRUDGE @InfoWarsChannel @GrrrGr…</t>
  </si>
  <si>
    <t>@Thomas1774Paine hahahahahahahahahahahahahahahaha......At the rate he's  going with these meetings w FOREIGN POWERS, I think he'll be unavail, either he'll be enjoying the amenities at GTMO Resort &amp;amp; SPA or already had his appointment w/ Military Justice!</t>
  </si>
  <si>
    <t>@SlicksTweetz @WSJopinion I love to HEAR this!!!</t>
  </si>
  <si>
    <t>RT @SlicksTweetz: #GreatAwakening #TheStorm #RedPill - Have you heard about #TransHumanism 👇
Hearing Aid Breakthrough: Congress opens a ke…</t>
  </si>
  <si>
    <t>RT @Hope4Hopeless1: @SykesforSenate @ValerieJarrett @SykesforSenate  is bringing THE FIGHT to THEM &amp;amp; the HUNDS of HELL(Rabid P Hats) have b…</t>
  </si>
  <si>
    <t>RT @SykesforSenate: .@ValerieJarrett , do your friends in the Muslim Brotherhood support their daughters having an education and being succ…</t>
  </si>
  <si>
    <t>@APTT45Babe @GenFlynn @POTUS @realDonaldTrump @jimlibertarian @BluehandArea @Ollyollyoxinfre @bbusa617 @KatTheHammer1 @BarbaraRedgate @_IamAnita_ @GeorgiaDirtRoad @RubyRockstar333 @Golfinggary522 I think I'd love a Golden Ticket, but I'm still so unsure of what this entails and what are my responsibilities</t>
  </si>
  <si>
    <t>@Dasrht @JerieQuinty @SykesforSenate Here's a tip: if you(troll) have any hope of being taken seriously &amp;amp; being able to get the rise out of ppl that you've been hired &amp;amp; paid pennies/tweet to try &amp;amp; get, then you might want to upright the photo you're using &amp;amp; STOP using stupid ass Emojis...just trying to be helpful.</t>
  </si>
  <si>
    <t>@SiddonsDan @realDonaldTrump @BarackObama @DineshDSouza @KatTheHammer1 @WolfensPride @GrizzleMeister @AMErikaNGIRLBOT @Jillibean557 @ReneeCarrollAZ @AMccloggan @JoeBelsha1 @NIVIsa4031 This man is a TRUE PATRIOT that's sacrificed much for speaking out!</t>
  </si>
  <si>
    <t>RT @SiddonsDan: “If @realDonaldTrump is a Nazi for not calling out Nazis, was @BarackObama an Islamic terrorist for not calling out Islamic…</t>
  </si>
  <si>
    <t>On 10/28/2016 right after James Comey announced re-opening the Killary Email/TREASON Investigation,THESE 2 Seditious TRAITORS text about "their" statements affecting the STOCK MARKET!!!
https://t.co/cnyEVKg1XW</t>
  </si>
  <si>
    <t>@LouisaDang @SykesforSenate Did you sew "flaps" and black fringe on your pretty pink "hat"? I bet sharing your experience and ALL your photos made for some INTERESTING dinner conversation. I'm sure your children are VERY proud!!!</t>
  </si>
  <si>
    <t>RT @JerieQuinty: @SykesforSenate So he wants a prov 30 woman as a role model for Women. A help mate. Liberals kill unborn, reward single pa…</t>
  </si>
  <si>
    <t>@LouisaDang @SykesforSenate You're ALL either 
A. Choosing to IGNORE the TRUTH of THIS statement.
B. Deliberately trying to TWIST,  SPIN &amp;amp; OMIT word(s) to HIDE the TRUTH of THIS statement
C. Struggle w/ reading comprehension &amp;amp; "missed" the KEYWORD in THIS statement.
THE unacknowledged word is BEHAVIOR</t>
  </si>
  <si>
    <t>@SykesforSenate @ChanelRion @CNN #Missouri you CAN TRUST @SykesforSenate as a MAN of his word. As a #USNavalVeteran he has taken an Oath to DEFEND The U.S.A. from ALL enemies BOTH Foreign &amp;amp; Domestic &amp;amp; HE WILL NEVER BACK DOWN from that mission. 
IN
ALL
WAYS
#AmericaFirst
https://t.co/h6tgubI5M5</t>
  </si>
  <si>
    <t>RT @SykesforSenate: Listen to me celebrate strong successful women and discuss my experience with professional female mentors. Then watch t…</t>
  </si>
  <si>
    <t>RT @Hope4Hopeless1: @SykesforSenate Look you all...America is FED UP w/ the DISGUSTINGLY VILE, CRUDE, &amp;amp; INDECENT behavior of ppl in THIS 4t…</t>
  </si>
  <si>
    <t>@SykesforSenate Look you all...America is FED UP w/ the DISGUSTINGLY VILE, CRUDE, &amp;amp; INDECENT behavior of ppl in THIS 4th Wave of so-called "Feminist Movement" that is VEHEMENTLY trying to DESTROY America by degrading the wholesome &amp;amp; nurturing fabric of American families. Ya'll need to go to bed!</t>
  </si>
  <si>
    <t>RT @SykesforSenate: After asking @ChanelRion and I to be on repeatedly, @CNN has decided to cancel. What's going on CNN? Did you do your ho…</t>
  </si>
  <si>
    <t>RT @Hope4Hopeless1: @SykesforSenate @ChanelRion @CNN #CNN did their homework and realized that they COULDN'T put their  intellectual lightw…</t>
  </si>
  <si>
    <t>@SykesforSenate @ChanelRion @CNN #CNN did their homework and realized that they COULDN'T put their  intellectual lightweights, Brooke &amp;amp; Cuomo up against you guys!!!
#Missouri has their next U.S. Senator @SykesforSenate that will NEVER stop fighting for THE #AmericaFirst Agenda &amp;amp; to #MAGA
https://t.co/3toklcpMBJ</t>
  </si>
  <si>
    <t>@SykesforSenate @ValerieJarrett @SykesforSenate  is bringing THE FIGHT to THEM &amp;amp; the HUNDS of HELL(Rabid P Hats) have been unleashed! He &amp;amp; Fiance' @ChanelRion
whose a charming &amp;amp; powerful CONSERVATIVE SPITFIRE pictured below in TIME Magazine w/her Harvard Republican's Club will be interviewed on CNN tonight. https://t.co/wk8UdXrKXz</t>
  </si>
  <si>
    <t>RT @carrieksada: @VanessaG_TX @ResistNonsense @SykesforSenate @ValerieJarrett Yes there he is with his 5 pound weights now 😂😂
Better find a…</t>
  </si>
  <si>
    <t>RT @michaelbeatty3: 🤔REMEMBER WHEN #ClaireMcCaskill
WAS A COWARD &amp;amp; VOTED AGAINST 
💰TAX CUTS FOR #MISSOURI ❓
#FlashbackFriday #MAGA #MOSen
#…</t>
  </si>
  <si>
    <t>@ArizonaKayte "He" is not coming forward because "he" DOESN'T exist. This ABSOLUTELY  was NOT an accidental activation.</t>
  </si>
  <si>
    <t>RT @PGutierrez630: Instead of focusing on a MO Senate Candidate, you’d be better off zipping it due to criminal implications with your form…</t>
  </si>
  <si>
    <t>RT @Lady_Vi_2U: Billions of $$ yearly being wasted on "Sanctuary Cities"! Spending billions to fund ILLEGALS - and let's make no mistake ..…</t>
  </si>
  <si>
    <t>RT @Lady_Vi_2U: How much do you really know about our Government?  Go down thru the levels .. research what you don't recognize or understa…</t>
  </si>
  <si>
    <t>RT @CassandraRules: INTERVIEW: Missouri Senate Candidate Courtland Sykes Riles Up the Internet With Statement Against Feminism - Says ‘They…</t>
  </si>
  <si>
    <t>This is such an incredibly tender &amp;amp; touching moment, when this elderly man sings the couple's song to his dying wife.
https://t.co/JZU4YBSo9A</t>
  </si>
  <si>
    <t>RT @WhiteHouse: Davos draws some of the world’s most powerful politicians and business leaders. President Trump is attending because he wan…</t>
  </si>
  <si>
    <t>RT @Thomas1774Paine: The DEMS are acting extra kooky tonight. Must be something ready to break that embarrasses them ... Again.</t>
  </si>
  <si>
    <t>RT @alohabrianb: @ValerieJarrett @clairecmc You're TOTALLY taking his statements out of context. 
He's hoping for lots of Grandkids someda…</t>
  </si>
  <si>
    <t>RT @SykesforSenate: #MOSen #MAGA https://t.co/Zqm3gmrY9x</t>
  </si>
  <si>
    <t>RT @SykesforSenate: Just scheduled an interview with .@ChrisCuomo on #CNN tomorrow night. Tune in to see @ChanelRion and I discuss the camp…</t>
  </si>
  <si>
    <t>RT @Hope4Hopeless1: @SykesforSenate @ChrisCuomo @ChanelRion https://t.co/3d4REaRp8H</t>
  </si>
  <si>
    <t>RT @Hope4Hopeless1: @SykesforSenate @ChrisCuomo @ChanelRion Now, calm down...take a breath...and just relax...
We The People are here &amp;amp; CO…</t>
  </si>
  <si>
    <t>@SykesforSenate @ChrisCuomo @ChanelRion https://t.co/3d4REaRp8H</t>
  </si>
  <si>
    <t>RT @ChanelRion: I appreciate .@ChrisCuomo having me on tomorrow night to discuss women's   rights from a conservative Republican standpoint…</t>
  </si>
  <si>
    <t>RT @PeteS77252077: @ChanelRion @ChrisCuomo I loved @SykesforSenate letter. Don’t cower to their political correct BS!</t>
  </si>
  <si>
    <t>@SykesforSenate @ChrisCuomo @ChanelRion Now, calm down...take a breath...and just relax...
We The People are here &amp;amp; COMMITTED to making our Country GREAT AGAIN!!!
Signed,
#ThePersistence
https://t.co/baK1Az3o0T</t>
  </si>
  <si>
    <t>RT @MICHELL59952525: “A Picture Is Worth A Thousand 
Words” Indeed
🇺🇸#WeThePeople Want
@JohnKerry In Front Of Our
Congress To Explain His
S…</t>
  </si>
  <si>
    <t>RT @dick_tam: BUILD THE WALL NOW;
DEPORT ALL ILLEGAL ALIENS;
NEVER DACA AMNESTY
#BuildTheWall 
#NoDACA 
#DeportThemAll</t>
  </si>
  <si>
    <t>RT @SykesforSenate: Typical #CNN. Chanel and I chose to support traditional family values and celebrate women's own intelligence and succes…</t>
  </si>
  <si>
    <t>RT @KTrifonoff: MISSOURI, Be proud of your vote. Vote for Courtland Sykes. @SykesforSenate @Courtland_Sykes https://t.co/5d4ttcFKYe</t>
  </si>
  <si>
    <t>RT @Hope4Hopeless1: @jackduck1105 @SykesforSenate The only haters are EASILY triggered Snow FLAKES! HAHA crazy comments are completely EXPE…</t>
  </si>
  <si>
    <t>@jackduck1105 @SykesforSenate The only haters are EASILY triggered Snow FLAKES! HAHA crazy comments are completely EXPECTED &amp;amp; WELCOMED! The more ABSURD the BETTER! 
Signed,
The #Persistence
Vote
#AmericaFirst
Vote
@SykesforSenate for
U.S. Senate from #MISSOURI</t>
  </si>
  <si>
    <t>RT @SykesforSenate: Can we just remove these two from US soil? I don't want to waste tax dollars on their prison sentence. #MAGA https://t.…</t>
  </si>
  <si>
    <t>RT @PeteS77252077: @SykesforSenate @MOGOP_Chairman THE MAN HAS FIGHT!</t>
  </si>
  <si>
    <t>@SykesforSenate GTMO ORANGE!!!
and may
#JusticeBeSwift
and THEIR
#PunishmentBeJust</t>
  </si>
  <si>
    <t>RT @IsraelUSAforevr: President @realDonaldTrump is very deeply connected to the people! https://t.co/8rvJRfFpub</t>
  </si>
  <si>
    <t>RT @SiddonsDan: Missing text messages between two @FBI employees have been located, according to a Department of Justice official https://t…</t>
  </si>
  <si>
    <t>RT @DonaldJTrumpJr: Really fun watching main stream media defend law enforcement for the first time ever... even if it is just the 5 elitis…</t>
  </si>
  <si>
    <t>RT @DonaldJTrumpJr: This should be fun. https://t.co/bE2cW6KCdg</t>
  </si>
  <si>
    <t>RT @StacyLStiles: Rumor has it that traitorous Obama retained Counsel yesterday. As the Democrats scurry to make up yet ANOTHER fake docume…</t>
  </si>
  <si>
    <t>RT @sean_spicier: RT if you’re NOT a Russian bot and still want to #ReleaseTheMemo</t>
  </si>
  <si>
    <t>@FoxNews @ar15m4mid Cher needs to stop dressing like a crusty old corpse in drag!</t>
  </si>
  <si>
    <t>RT @Peoples_Pundit: Good for Ambassador Haley. When are we going to stop this charade? The Palestinians don't want, and have NEVER wanted,…</t>
  </si>
  <si>
    <t>RT @PGutierrez630: “Only 2 defining forces have ever offered to die for you...Jesus Christ and the American Soldier.  One died for your sou…</t>
  </si>
  <si>
    <t>RT @clayfeathers: This 👇👇👇👇👇. 
AT&amp;amp;T Calls for Legislation to Prevent Unfair Censorship on Google, Facebook - Breitbart https://t.co/aCDoL4N…</t>
  </si>
  <si>
    <t>RT @clayfeathers: More #Winning 👏👏👏
Trump's 2018 Farm Bill: 'Work Is Pathway to Self-Sufficiency' for Food Stamp Recipients - Breitbart htt…</t>
  </si>
  <si>
    <t>RT @JerieQuinty: #resist This is about saving our Republic from global governance/communism. You have it all wrong. What happened to you Am…</t>
  </si>
  <si>
    <t>@ar15m4mid Spot on, my friend!</t>
  </si>
  <si>
    <t>RT @ar15m4mid: We voted to #BuildTheWall 
We voted for #LawAndOrder
We voted to #DrainTheSwamp 
We voted #AmericansFirst 
The first year wa…</t>
  </si>
  <si>
    <t>RT @dianaprince1942: THROW-BACK THURSDAY. (Any old news that’s been forgotten) How well we see now that both eyes are open.  https://t.co/t…</t>
  </si>
  <si>
    <t>RT @OliverMcGee: Don't forget, President Obama encouraged "dreamers" and "undocumented citizens" to vote last election. Retweet to share wi…</t>
  </si>
  <si>
    <t>RT @Trumpism_45: @realDonaldTrump Let the name of 'Obama' be henceforth stricken from every history book, never to be spoken again!!! #MAGA…</t>
  </si>
  <si>
    <t>RT @TerranceCreamer: Honoring U.S. Army SP4 Douglas Michael Cady, 21 from Flint, Michigan, with A Company, 2nd Battalion, 14th Infantry, 25…</t>
  </si>
  <si>
    <t>This DESPERATE man entered a Police Station weilding a knife &amp;amp; was met by Police Officers with amazing kindness and understanding! The hug and all the support this man receives will MELT YOUR HEART!!!https://t.co/aocS0fpX0r via @youtube</t>
  </si>
  <si>
    <t>RT @alohabrianb: @marty_walsh Hey Marty, 
 Which country's fence can our kids jump to get Free College, Healthcare, Food &amp;amp; Housing? Just as…</t>
  </si>
  <si>
    <t>RT @Lady_Vi_2U: Insurance??  How about Sedition?  The little "SECRET Meetings" continue to this day...why did Barack move blocks down the s…</t>
  </si>
  <si>
    <t>RT @Jillibean557: JFK Knew!
##SecretSocieties
#NWO👇🏻👇🏻 https://t.co/K1XR23jyGy</t>
  </si>
  <si>
    <t>RT @AMccloggan: ☝️Remember, the 1952 McCarren Walters Act:
"Any immigration without Assimilation is an INVASION by Enemy Forces"!👊🇺🇸
#NoDAC…</t>
  </si>
  <si>
    <t>RT @MAGATrumpWins: Courtland Sykes for Senate in Missouri! Let's get behind this young Patriot for office and get him Elected! @SykesforSen…</t>
  </si>
  <si>
    <t>RT @Nov2018election: @Hope4Hopeless1 @SykesforSenate  https://t.co/3Nhm6RFuAm</t>
  </si>
  <si>
    <t>RT @Nov2018election: @Hope4Hopeless1 @SykesforSenate  https://t.co/uQc8dq7ovV</t>
  </si>
  <si>
    <t>WOW!!! I'm so incredibly proud of this STRONG OUTSPOKEN NON-POLITICALLY CORRECT Patriot @SykesforSenate who is a #USNaval Intelligence Veteran
running for the US Senate from #Missouri that PLEDGES to limit himself to 2 terms &amp;amp; staff w/ #USVeterans
(link:https://t.co/7SsPkqGzjd)</t>
  </si>
  <si>
    <t>RT @DineshDSouza: My file—obtained by the House Oversight Committee—shows FBI red-flagged me as an Obama critic &amp;amp; allocated $100 K to inves…</t>
  </si>
  <si>
    <t>RT @miamict: @SenateMajLdr @POTUS @federalreserve  https://t.co/SrjDBVprsY</t>
  </si>
  <si>
    <t>RT @REALtrumpbureau: @SiddonsDan #DACA WILL DIE A QUICK DEATH ONCE WE #RELEASETHEMEMO !
@SiddonsDan @realDonaldTrump</t>
  </si>
  <si>
    <t>RT @On_The_Hook: If a water line ruptured in your house, would you...
A) Turn off the water
or
B) Negotiate with the water, 
 •ask it to ge…</t>
  </si>
  <si>
    <t>@PrisonPlanet @mortimerberfel The keystone (fl)Ops</t>
  </si>
  <si>
    <t>RT @REALtrumpbureau: DEAR MR PRESIDENT
DO WE NEED TO BRING IN SOME PROFESSIONALS TO #RELEASETHEMEMO ?
@realDonaldTrump #Columbo 🔎 
#memoh…</t>
  </si>
  <si>
    <t>RT @ArizonaKayte: 🇺🇸Good Morning Patriots!🇺🇸
MY COUNTRY, MY ANTHEM, MY FLAG, MY PEOPLE ..Are the best in the world!
#AmericaFirst 
#USA
#…</t>
  </si>
  <si>
    <t>RT @USAlovesTrumpz: Trump's win was like when parents come home unexpectedly early after leaving teenagers alone in the house.....</t>
  </si>
  <si>
    <t>RT @thebradfordfile: Adam Schiff: Bots don’t make license plates—this angry American does. #NotABot https://t.co/nHwROs1BIM</t>
  </si>
  <si>
    <t>@Greggorj @SusanStormXO @JessicaTarlov @seanhannity @JesseBWatters She's in WAY over her head and looks utterly terrified by what's she's involved herself with.</t>
  </si>
  <si>
    <t>RT @KimDotcom: 5 Lies of the 5 Eyes
We spy to keep you safe
We spy to prevent terror
We are the good guys
We don't spy on you
What we do i…</t>
  </si>
  <si>
    <t>@kabamur_taygeta https://t.co/xlPMYb1Zyo</t>
  </si>
  <si>
    <t>RT @Hope4Hopeless1: @kabamur_taygeta Beware of the Pharisees &amp;amp; the Scribes! They've power to withold/ pervert knowledge of THE TRUTH to kee…</t>
  </si>
  <si>
    <t>@kabamur_taygeta Beware of the Pharisees &amp;amp; the Scribes! They've power to withold/ pervert knowledge of THE TRUTH to keep ppl enslaved 
Evil forces have separated us frm Sacred NAME &amp;amp; relationship w/ YHWH=Eternal Author of ALL Existence 
replacing it w/ nothingness of pagan titles over 7000 times</t>
  </si>
  <si>
    <t>RT @Nov2018election: Nevada @SenDeanHeller Does Not Support @realDonaldTrump Time For A Change🇺🇸 In November VOTE @DannyTarkanian He Will P…</t>
  </si>
  <si>
    <t>RT @LovToRideMyTrek: Super blue blood moon promises extremely rare treat on January 31  https://t.co/aaCVH5n1gv</t>
  </si>
  <si>
    <t>RT @Seeker: Don't miss the first super blue blood moon in over 150 years. https://t.co/HKjECeLNaK</t>
  </si>
  <si>
    <t>RT @LifeboatHQ: Incredibly Rare ‘Super Blue Blood Moon’ Is About to Appear For The First Time in 150 Years https://t.co/fDJ2LZrD4q https://…</t>
  </si>
  <si>
    <t>RT @realDonaldTrump: It is time for DC to protect the American worker, not grant amnesty to illegals. Let’s Make America Great Again! https…</t>
  </si>
  <si>
    <t>RT @ericbolling: Just left the White House. Had a wonderful meeting on opioids with a compassionate and empathetic President @realDonaldTru…</t>
  </si>
  <si>
    <t>RT @HyltonRobin: What’s your thoughts on this Bill? It’s good for a lot of things. But it will have all your personal stuff on it. How bad…</t>
  </si>
  <si>
    <t>RT @Thomas1774Paine: Donald Trump Celebrates Democrat Cave: No DACA Deal Unless ‘Good for Our Country’ https://t.co/fY10ewPiig</t>
  </si>
  <si>
    <t>RT @Hope4Hopeless1: @GoFundAHero1 @SykesforSenate We, as Americans are STILL BLESSED w/ our Freedom because ya'll were willing to FIGHT &amp;amp; D…</t>
  </si>
  <si>
    <t>RT @The_Trump_Train: RETWEET IF YOU AGREE: @realDonaldTrump should read the FISA memo during the SOTU address for all of America to hear! #…</t>
  </si>
  <si>
    <t>RT @DineshDSouza: By boycotting #SuperBowl2018 we hit the #NFL where it hurts most—let those posturing jerks pay a price for snubbing the n…</t>
  </si>
  <si>
    <t>RT @SusanStormXO: @JessicaTarlov @seanhannity @JesseBWatters 
🤔🤔MUST LISTEN 🤔🤔
🛎DING 🛎DING 🛎
LISTEN TO #JESSICA SAY 🗣
       IT’S not A…</t>
  </si>
  <si>
    <t>@DineshDSouza @LoveUSADawn @realDonaldTrump I'm soo sorry for what happened to you. Sadly, you were far from alone as a victim of #ObamasWeaponizedDOJ
Please help get word out about this Patriot whose life is STILL being DESTROYED.
https://t.co/UcEqeTvUaZ</t>
  </si>
  <si>
    <t>RT @SykesforSenate: As our economy skyrockets. Go home globalist. #MAGA https://t.co/r26SqcyC9e</t>
  </si>
  <si>
    <t>RT @JoeBobMr: Praise #God = #SteveScalise says House not bound by McConnell's deal with Senate Democrats .." We’re not going to pass a bill…</t>
  </si>
  <si>
    <t>This beautiful Human Being SELFLESSLY ran through gunfire to rescue a child he saw still moving in a group of dead civilians. https://t.co/xta1435mpb</t>
  </si>
  <si>
    <t>RT @alohabrianb: If you think Obama ignoring growth of ISIS that displaced millions of 3rd World Muslims into The West happened on accident…</t>
  </si>
  <si>
    <t>https://t.co/cHKTLLuLCu</t>
  </si>
  <si>
    <t>@antischool_ftw  https://t.co/CtphSf4bcG</t>
  </si>
  <si>
    <t>https://t.co/0Bc1HRV3QG</t>
  </si>
  <si>
    <t>@RealJamesWoods  https://t.co/lclXVOCdJP</t>
  </si>
  <si>
    <t>RT @RealJamesWoods: Trump gives Schumer the boot... #ShuckChuck https://t.co/3UCOntElJY</t>
  </si>
  <si>
    <t>@SaraCarterDC 
@FoxNews
Petty Officer Kris Saucier &amp;amp; his family are true Patriots that love this Country. They're VICTIMS of #ObamasWeaponizedDOJ whose lives continue to be DESTROYED!
@POTUS @realDonaldTrump 
#PleasePARDONKrisSaucier
#AmericanDoubleStandardPatriotvsPolitician https://t.co/KXr4vq0hKY</t>
  </si>
  <si>
    <t>@SaraCarterDC
Petty Officer Kris Saucier &amp;amp; his family are true Patriots who love this Country! They're VICTIMS of #ObamasWeaponizedDOJ whose lives continue to be DESTROYED!
@POTUS @realDonaldTrump
PLEASE! PLEASE! 
#PardonKrisSaucier
#AmericanDoubleStandardPatriotvsPolitician https://t.co/2W2cu2suqZ</t>
  </si>
  <si>
    <t>RT @joel_capizzi: @realDonaldTrump 
Mr. President, please announce at your State of The Union Address that Petty Officer Kris Saucier, aba…</t>
  </si>
  <si>
    <t>RT @Peoples_Pundit: Wait, @SaraCarterDC has been stripped of her blue check? Wow. @Twitter has gone full Joseph Goebbels now.</t>
  </si>
  <si>
    <t>RT @BiasedGirl: @VinnyVidiVici98 Okay Peeps! I need your help. If this tweet gets 1000 RTs @VinnyVidiVici98 will send me a signed jersey.…</t>
  </si>
  <si>
    <t>RT @FedupWithSwamp: Q's board is compromised right now, but 90 days of Q proving he's with POTUS doesn't disappear just because a YouTube c…</t>
  </si>
  <si>
    <t>@Maga_NoDACA #EnemiesOfState
are SUBVERTING USA!!!
#WeThePeople
are the #GreatAwakening
and DEMAND that
#JusticeBeSwift
and THEIR
#PunishmentBeJust
#NoAmnesty
#NoCompromise
#AmericaFirst 
@MAGA_NoDACA https://t.co/LljcBWv1Yx</t>
  </si>
  <si>
    <t>RT @KimDotcom: Tom, the NSA has it all in their massive spy cloud in Utah. All emails and text messages that are traversing US networks are…</t>
  </si>
  <si>
    <t>RT @Thomas1774Paine: I have to be honest with you folks, this is getting spooky. Even for career spooks.</t>
  </si>
  <si>
    <t>RT @RealJamesWoods: The #DACA scam is a plan to pervert our sacred electoral process. Make no mistake. This is an organized coup by Democra…</t>
  </si>
  <si>
    <t>RT @thebradfordfile: Any FBI agent who joins a #SecretSociety named "Secret Society" needs to be fired for stupidity...
And TREASON. 🇺🇸</t>
  </si>
  <si>
    <t>RT @RepMarkMeadows: The FBI claims they're "missing" 5 months of text messages between anti-Trump agents, Peter Strzok and Lisa Page.
The…</t>
  </si>
  <si>
    <t>RT @alohabrianb: @JerieQuinty @LindseyGrahamSC Lindsey "Gramnesty" that's hilarious &amp;amp; true! Great Job Jerie. 🇺🇸#Gramnesty #NoAmnesty #RinoG…</t>
  </si>
  <si>
    <t>RT @dbongino: Durbin just called DACA “the civil rights issue of our time.” Uh, nope. The civil rights issue of our time is the govt using…</t>
  </si>
  <si>
    <t>RT @EjHirschberger: He knew it then. 
He knows more now. 
It's coming. 
The Storm is here.
#MAGA2018
#Q #QAnon #CBTS #TheStorm🌪️ by #Toni…</t>
  </si>
  <si>
    <t>RT @RodStryker: I've lost all sympathy for Illegals, after seeing the lengths Democrats will go through to screw over US citizens for them.…</t>
  </si>
  <si>
    <t>RT @ALIPAC: Share if you believe DACA Dreamer Amnesty deals will put socialists like Sen. Chuck Schumer in power over all Americans with th…</t>
  </si>
  <si>
    <t>RT @WiredSources: BREAKING: Lindsey Graham rejects Stephen Miller's invitation for a live immigration debate on National Television.</t>
  </si>
  <si>
    <t>RT @alohabrianb: @WiredSources (L.Graham refuses to debate S. Miller)
That’s like modern day refusal to duel. 
Meaning Graham is a liar, co…</t>
  </si>
  <si>
    <t>RT @KTrifonoff: MISSOURI, Be proud of your vote. Vote for @SykesforSenate !!
https://t.co/wzhfG6TvCN</t>
  </si>
  <si>
    <t>RT @SneadFeed: @UnlimitedTide No, no, no. My senator, @clairecmc FINALLY voted with her constituents for once. She thinks it will save her…</t>
  </si>
  <si>
    <t>RT @Nov2018election: @joel_capizzi Bold Conservative Veteran Courtland Sykes For US Senate @SykesforSenate #MOSEN #MAGA #MO #MOGOP #TerreNo…</t>
  </si>
  <si>
    <t>RT @MissouriTimes: Courtland Sykes talks his U.S. Senate campaign on This Week in Missouri Politics - #MOSEN #moleg
https://t.co/L2qp8MAss3</t>
  </si>
  <si>
    <t>RT @ElderLansing: What We learned from the #SchumerShutdown fiasco;  Dumbocrats favor illegals over American citizens, they are against the…</t>
  </si>
  <si>
    <t>Congress SUBVERTING U.S.A &amp;amp; trying to FORCE American Citizens to allow &amp;amp; FUND the invasion of their BELOVED ILLEGAL MIGRANT VOTERS is TREASON!!!
#AmericaFirst
@MAGA_NoDACA
#NoAmnesty
@MAGA_NoDACA
&amp;amp; PRAY
#JusticeBeSwift
&amp;amp; the
#PunishmentBeJust https://t.co/AgOioqW9sw</t>
  </si>
  <si>
    <t>RT @JeffMontes5: @AnnCoulter They’re actually 9M dreamers who are ready to sponsor their parents and a few siblings, by the time it’s all d…</t>
  </si>
  <si>
    <t>#SchumerShutdown WAS AN ACT of TREASON fully intended to SUBVERT the USA &amp;amp; force American Citizens to allow &amp;amp; fund Trojan Horse=Illegal Migrant INVASION
#ReleaseTheMemo
&amp;amp; may 
#JusticeBeSwift
&amp;amp; the
#PunishmentBeJust
@MAGA_NoDACA
@MAGA_NoDACA
@MAGA_NoDACA
https://t.co/6pNWKUO0vu</t>
  </si>
  <si>
    <t>RT @almostjingo: 🚨DO NOT BE FOOLED Jan 8th this memo was sent to #Democrats saying they MUST fight for #dreamers because they NEED THEIR VO…</t>
  </si>
  <si>
    <t>RT @DonaldJTrumpJr: Americans don’t forget that the #SchumerShutdown put illegal immigrants ahead of our military and American children’s i…</t>
  </si>
  <si>
    <t>RT @USAlivestrong: The "Tar and feather" party should commence directly after releasing the memo--and recovering the "missing" FBI texts--f…</t>
  </si>
  <si>
    <t>RT @MarkSimoneNY: Schumer says President Trump wasn't interested in making a deal and only cared about taking care of his right wing specia…</t>
  </si>
  <si>
    <t>RT @gaye_gallops: My evening wish to all is a heartfelt adoration for our men whom we may never know, never see, never touch, in uniform qu…</t>
  </si>
  <si>
    <t>RT @ScottPresler: Please join me in saying a prayer for President Trump &amp;amp; his family's continued safety.
May our prayers surround them lik…</t>
  </si>
  <si>
    <t>@JerieQuinty @w_terrence https://t.co/qZnxm1uZjl
Oh Lord girl, you MOST CERTAINLY illustrate the STRENGTH &amp;amp; LOVE of the Human Spirit. THAT'S by far the MOST PAINFUL surgery there is, on top of the completely SELFLESS sacrifice of something most have the reassurance of having in case of needing a back up</t>
  </si>
  <si>
    <t>RT @Hope4Hopeless1: @w_terrence ALL LIVES MATTER! This loving father made sure his beautiful daughter's life continued to matter after her…</t>
  </si>
  <si>
    <t>RT @gaye_gallops: PUMP THE SQUEALING BRAKES!!!!! SCHUMER tried a CARNIVAL MOVE on the President to SQUEEZE DACA as a bargaining chip!OOPS T…</t>
  </si>
  <si>
    <t>@SaucierSadie @realDonaldTrump @RealJamesWoods @HagmannReport @SarahPalinUSA @PressSec @SaraCarterTC @joel_capizzi @Shelleyflower77 @seanhannity @DonaldJTrumpJr @MikePenceVP @TheKingDude @TuckerCarlson @HillaryClinton @GovMikeHuckabee @realDonaldTrump @jeffsession
@SaraCarterDC
@AnnaCollinson
@POTUS
#PleasePARDONKrisSaucier 
VICTIM of OBAMA'S WEAPONIZED DOJ=PRISON LIFE DREAMS DESTROYED
vs
#TrueEnemiesOfState=FREE &amp;amp; enjoying their LAVISH MultiMil $$$ LIFESTYLES
#AmericanDoubleStandardPatriotvsPolitician https://t.co/DPoegz0mQc</t>
  </si>
  <si>
    <t>RT @VoteTrumpPics: 🔥NEW BANNERS🔥
Welcome to the 2nd year of the most epic presidency of all time! President @realDonaldTrump is doing such…</t>
  </si>
  <si>
    <t>RT @charliekirk11: Political correctness is a weapon used to silence those who tell the truth</t>
  </si>
  <si>
    <t>RT @ElderLansing: An unborn child is not a person to Libnuts but a 30 year old illegal so called Dreamer is a child? The left is truly deme…</t>
  </si>
  <si>
    <t>RT @ar15m4mid: @APTT45Babe @captcapt1234 @AlwaysActions @seanhannity @45isMyGuy @jimlibertarian @GeorgiaDirtRoad @BarbaraRedgate @GmanFan45…</t>
  </si>
  <si>
    <t>RT @IsraelUSAforevr: Two great leaders.
Bon appetit!
@realDonaldTrump @POTUS https://t.co/1Dafw5ds9U</t>
  </si>
  <si>
    <t>RT @LarrySchweikart: GOP showing spine in shutdown. 
"An army of lambs led by a lion is more to be feared than an army of lions led by a l…</t>
  </si>
  <si>
    <t>RT @RepStevenSmith: Get these people a McDonald's hamburger and tell them to GET BACK TO WORK. 
And they had BETTER BE picking up the tab,…</t>
  </si>
  <si>
    <t>RT @jbug9969: @chowdallas @GartrellLinda 93yr old Navy Veteran says he'd LOVE to attend the #SOTU address. Can we get Mr C there?? Retweet.…</t>
  </si>
  <si>
    <t>RT @ScottPresler: You're Being Lied To:
DACA represents 800,000 illegal aliens, but DREAMers total 3.6 Million illegal aliens.
This was n…</t>
  </si>
  <si>
    <t>RT @joel_capizzi: Pull the trigger Mitch, end the filibuster so we can end Democratic obstructionism and MAGA.
Stop holding our the milita…</t>
  </si>
  <si>
    <t>RT @kwilli1046: If you support our troops 100% - Retweet https://t.co/c5wkmPkiDg</t>
  </si>
  <si>
    <t>RT @realDonaldTrump: Great to see how hard Republicans are fighting for our Military and Safety at the Border. The Dems just want illegal i…</t>
  </si>
  <si>
    <t>RT @ar15m4mid: #DemocRats don't represent #Americans 
#Military 
#MilitaryFamilies 
#OurLaws
#OurValues 
They represent their own lust for…</t>
  </si>
  <si>
    <t>RT @DrMartyFox: #PresidentTrump @realDonaldTrump 
#McConnell will NOT trigger the nuclear option on the Filibuster Rule because he has No…</t>
  </si>
  <si>
    <t>RT @Jessmosciski: We all know how this ends. https://t.co/rX2WDv6Y0U</t>
  </si>
  <si>
    <t>RT @MAGAPILL: @realDonaldTrump ICE is recruiting Veterans to combat child trafficking.
It's called the HERO program:
Human Exploitation Re…</t>
  </si>
  <si>
    <t>RT @jimlibertarian: Mitch the bitch is a Rino right along with Lindsey Graham cracker Graham,and as much as I despise Democrats,I despise R…</t>
  </si>
  <si>
    <t>RT @kayleighmcenany: Make no mistake - Americans will remember the day that Democrats prioritized 700,000 illegal immigrants over 9 million…</t>
  </si>
  <si>
    <t>RT @StephenMilIer: Those who cried 'Millions will die' in results of some tax cuts, have no problem stripping 9 million kids of their healt…</t>
  </si>
  <si>
    <t>RT @jaacobway: Governor Abbott was sworn in three years ago today! RT to show your support for @GregAbbott_TX #ImWithAbbott https://t.co/wA…</t>
  </si>
  <si>
    <t>RT @belowthebeltway: @DarLovesAmerica @DonnaWR8 Treason is punishable by death.</t>
  </si>
  <si>
    <t>RT @HDRollin: @realDonaldTrump The American people know who is at fault, all the polls say so. Taking sides with ILLEGAL IMMIGRANTS over th…</t>
  </si>
  <si>
    <t>RT @AnnFavela: Dems are fighting for illegal Invaders and giving the Middle Finger to our Country and the American People.. Sounds like tha…</t>
  </si>
  <si>
    <t>RT @RickSull: The Longer It Lasts, the More a Shutdown Could Hurt the Economy https://t.co/nnxs4xEFex Treasonous! Which is what the Democra…</t>
  </si>
  <si>
    <t>RT @AnnCoulter: Our Constitution expressly provides for super-majority votes in a few defined cases, e.g. impeachment, overriding vetoes. R…</t>
  </si>
  <si>
    <t>RT @JeffBales6: @RepAdamSchiff Wrong you put illegal aliens / #DACA before the the US Military as Commander in Chief / @Potus @realDonaldTr…</t>
  </si>
  <si>
    <t>RT @thebradfordfile: Democrat "Logic"
1. Illegals over vets
2. Illegals over security
3. Illegals over citizens
4. Illegals over sworn duty…</t>
  </si>
  <si>
    <t>RT @Thomas1774Paine: YOU'RE shuffling the electric bill, phones, car payment, health insurance bills and mortgage around like a card game s…</t>
  </si>
  <si>
    <t>RT @FoxNews: .@RajShah45: "We're not going to negotiate the status of hundreds of thousands of people here unlawfully while the basic servi…</t>
  </si>
  <si>
    <t>RT @EricTrump: Let’s all remember that 230 Democrats voted to shut down the government. 269 Republicans voted to fund, and keep government…</t>
  </si>
  <si>
    <t>RT @RepDaveJoyce: Great news! Our efforts to #ReleaseTheMemo have been effective and the HPSIC plans to begin the process to release the FB…</t>
  </si>
  <si>
    <t>RT @Jeffcored: It was good seeing @Courtland_Sykes and @ChanelRion supporting @realDonaldTrump.  #LeadRight #DefendTheMOjority https://t.co…</t>
  </si>
  <si>
    <t>@RobertRoscoe14 @Jeffcored @Nov2018election @Courtland_Sykes @ChanelRion @realDonaldTrump Absolutely, and beautiful hearts and minds too! https://t.co/1tyCPTkUPF</t>
  </si>
  <si>
    <t>Missouri in STARK contrast @SykesforSenate is a STRONG SMART American Patriot that will NEVER stop FIGHTING for The United States of America!
https://t.co/tD8OK85O30</t>
  </si>
  <si>
    <t>@clairecmc IS LYING because she KNOWS Missourians ARE MAD as HELL that HER &amp;amp; HER CRIMINAL CRONIES on BOTH sides of the aisle just BETRAYED America &amp;amp; U.S. CITIZENS on behalf of their BELOVED ILLEGAL MIGRANTS!
#SchumerShutdown 
@MAGA_NoDACA
#AmericaFirst
@SykesforSenate
#MoSEN https://t.co/OI0QizqglP</t>
  </si>
  <si>
    <t>@BlueNGold92 @clairecmc Awesome FACT FINDING, Thanks!</t>
  </si>
  <si>
    <t>RT @Hope4Hopeless1: @McCaskill4MO @clairecmc @clairecmc, YOU'RE a $$$ making MACHINE!
With $60M Net Worth maybe you can pay the American C…</t>
  </si>
  <si>
    <t>@McCaskill4MO @clairecmc https://t.co/iYc93QRRai</t>
  </si>
  <si>
    <t>@McCaskill4MO @clairecmc @clairecmc, YOU'RE a $$$ making MACHINE!
With $60M Net Worth maybe you can pay the American Citizens that you &amp;amp; your #SchumerShutdown have BETRAYED &amp;amp; HARMED w/ the DEMAND U.S ALLOW &amp;amp; FUND your BELOVED ILLEGAL migrant INVADERS!
SEDITION!!!
Here's Hoping that...
#JusticeBeSwift</t>
  </si>
  <si>
    <t>RT @stompk: #QAnon #SchumerShutdown #SaturdayMorning https://t.co/wdmEiy57KZ</t>
  </si>
  <si>
    <t>RT @stompk: @devilhasanonip @WolfHunter1776 Sedition #QAnon https://t.co/k75EjuxR9c</t>
  </si>
  <si>
    <t>RT @MidmoQ: Btw—today’s date is 911 backwards...@potus @TheLastRefuge2 @B75434425 @dbongino @ThomasWictor @thebradfordfile @I___A__M____Q__…</t>
  </si>
  <si>
    <t>RT @stompk: Hey #QAnon folks. Something interesting.
Article One, section 6, clause 1 of the US Constitution says you can't arrest a sittin…</t>
  </si>
  <si>
    <t>RT @stompk: #QAnon https://t.co/clOK0M7UHC</t>
  </si>
  <si>
    <t>@clairecmc @clairecmc SHAME ON YOU for MISINFORMING your base &amp;amp; misrepresenting the truth of YOUR #SchumerShutDown #DemocratShutdown
Few may know that
to AVOID THIS TRAVESTY required MORE than the Simple Majority Republicans have in the Senate.
*ALL but 6 Dems voted to SHUT OUR Gov DOWN*</t>
  </si>
  <si>
    <t>RT @passionchica: .@SenateMajLdr “Democrats hold our lawful Americans hostage over their reckless demands” 
“... we have witnessed democra…</t>
  </si>
  <si>
    <t>RT @dbongino: Here’s everything you need to know about Democrats, they call Americans “deplorables” and illegal immigrants “dreamers.”
#DACA</t>
  </si>
  <si>
    <t>RT @thebradfordfile: Hillary Clinton, please have your team review:
- T R E A S O N ✔️
- S E D I T I O N ✔️
Everyone knows. 🇺🇸 maga
#Rel…</t>
  </si>
  <si>
    <t>RT @Hope4Hopeless1: @Lrihendry These #TraitorousSNAKES &amp;amp; #EnemiesOfTheState HAVE BETRAYED THE U.S.A &amp;amp; have put OUR CITIZEN'S Financial &amp;amp; Na…</t>
  </si>
  <si>
    <t>@Lrihendry These #TraitorousSNAKES &amp;amp; #EnemiesOfTheState HAVE BETRAYED THE U.S.A &amp;amp; have put OUR CITIZEN'S Financial &amp;amp; Natl SECURITY INTERESTS at RISK,  DEMANDING that we ALLOW &amp;amp; FUND the furthering of ILLEGAL migrant INVASION of OUR COUNTRY!
@MAGA_NoDACA
#ReleaseTheMemo &amp;amp; MAY
#JusticeBeSwift</t>
  </si>
  <si>
    <t>RT @ImJustAMel: Obama Spied
The Media Lied
It was never about the Russians
#ReleaseTheMemo https://t.co/phNHKRrQvS</t>
  </si>
  <si>
    <t>RT @Sunrise51052: Not 1 peep about the 4-page memo on CNN, MSNBC, CBS, ABC is confirmation it will be catastrophic for Democrats.
It's tim…</t>
  </si>
  <si>
    <t>RT @aOverit: Sickening!  #ShumerShutdown  #NoDACA  #dreamersRillegals  #TakeUSback  
@realDonaldTrump @chuckschumer @NancyPelosi @SenateMaj…</t>
  </si>
  <si>
    <t>RT @RMaintainers: #SchumerShutdown
The look on Schumer face
(Oh, Shite!!!!! They have more information about us than we thought!!!)
The S…</t>
  </si>
  <si>
    <t>@DonaldJTrumpJr @Nancyporano https://t.co/uohLz93YrN</t>
  </si>
  <si>
    <t>RT @Hope4Hopeless1: @realDonaldTrump @kjgillenwater @SenSchumer @SenateMajLdr @SpeakerRyan Please @POTUS 
#AmericaFirst  @MAGA_NoDACA
@Sen…</t>
  </si>
  <si>
    <t>@realDonaldTrump @kjgillenwater @SenSchumer @SenateMajLdr @SpeakerRyan Please @POTUS 
#AmericaFirst  @MAGA_NoDACA
@SenSchumer &amp;amp; comrades are acting like #EnemiesOfState holding the U.S. &amp;amp; it's Military's Defense Funding hostage to FORCE U.S. to welcome &amp;amp;
FUND a FOREIGN INVASION of Illegal Migrants!
#MAGA
#ReleaseTheMemo
and
#JusticeBeSwift</t>
  </si>
  <si>
    <t>RT @ScottPresler: Fact: Republicans voted for CHIP to help American children. 
Fact: Democrats chose illegal aliens over the budget &amp;amp; are…</t>
  </si>
  <si>
    <t>RT @CarrollQuigley1: We are witnessing a well orchestrated takedown. The drain plug under the Swamp has been opened. This is the destructio…</t>
  </si>
  <si>
    <t>@conservmillen HORRIFYING! 183 DemonRats voted against requiring the "Physicians" to render medical care to the infants they had just ATTEMPTED but FAILED to MURDER!
WHY are ALL these  Congressmen that are ALARMED by #ObamaGate memo COMPLETELY SILENT TODAY ON THE HOUSE FLOOR?#ReleaseTheMemo</t>
  </si>
  <si>
    <t>RT @thebradfordfile: Adam Schiff: You owe @DevinNunes an apology.
#ReleaseTheMemo #ObamaGate https://t.co/B4cKajuXY7</t>
  </si>
  <si>
    <t>RT @CHIZMAGA: Who knew a Businessman could take down a former President, Secretary of State, FBI Director, Attorney General, Deputy Attorne…</t>
  </si>
  <si>
    <t>RT @DonaldJTrumpJr: Americans deserve to know the contents of the memo. Democrats &amp;amp; deep state govt officials are doing everything they can…</t>
  </si>
  <si>
    <t>RT @RealMattCouch: Adam Schiff says that the Memo will cause more division if seen.... HE MEANS THAT YOU WILL SEE HOW CORRUPT AND WICKED TH…</t>
  </si>
  <si>
    <t>RT @DonaldJTrumpJr: Prediction: Democrats will take an even stronger stance on shutting down the govt so that becomes the narrative rather…</t>
  </si>
  <si>
    <t>RT @Microsingular: #ReleaseTheMemo #releasethedocument #Fisagate https://t.co/2f5f2Nuj3y</t>
  </si>
  <si>
    <t>@RepSeanDuffy I'm watching Rep @SteveKingIA speak during the
minute speeches being given on the House Floor right now, WHY isn't he or ANY of you or your Colleagues that have expressed ALARM NOT addressing this ISSUE &amp;amp; calling for a VOTE to #ReleaseTheMemo</t>
  </si>
  <si>
    <t>RT @SykesforSenate: SIGN THIS LETTER to #ReleaseTheMemo
https://t.co/8SRP7SiwAm https://t.co/cIIX5RX3nv</t>
  </si>
  <si>
    <t>RT @Ga42Boy: @Hope4Hopeless1 @FUTrumpHaters @CNN They purposely want to shut down the government to distract us from this https://t.co/UQji…</t>
  </si>
  <si>
    <t>The U.S. House just passed a Resolution that requires "Physicians" to give medical care to INFANTS they ATTEMPTED &amp;amp; FAILED TO KILL.
183 DemonRATS voted AGAINST
#WeThePeople
DEMAND a VOTE
#ReleaseTheMemo
and may
#JusticeBeSwift
and THE
#PunishmentJust
for ALL
#ObamaGateTraitors https://t.co/I9OpCKoIPa</t>
  </si>
  <si>
    <t>@FUTrumpHaters @CNN TOTAL MEDIA BLACKOUT on #CNN #MSNBC #CNBC etc of HUGE BREAKING STORY of  #ObamaGate 
YOU ARE SO CAUGHT!
#ReleaseTheMemo 
and may
#JusticeBeSwift 
and THE
#PunishmentJust</t>
  </si>
  <si>
    <t>RT @Hoosiers1986: I present 2 Presidents:
On the left, @realDonaldTrump will go down in history as one of the GREAT Presidents in US Histo…</t>
  </si>
  <si>
    <t>RT @Hoosiers1986: Looks like Obama's scandals may be "Worse than Watergate."
This has to hurt, Libs, because you like to pretend that your…</t>
  </si>
  <si>
    <t>@DineshDSouza TOTAL MEDIA BLACKOUT on #CNN #MSNBC #CNBC etc...OF TOP STORY they KNOW BROKE LAST NIGHT!
#FakeNews YOU ARE SOO CAUGHT!!!
#ReleaseTheMemo and may 
#JusticeBeSwift
and the
#PunishmentJust
https://t.co/rS7SDkyZBH</t>
  </si>
  <si>
    <t>RT @MikeTokes: The time is now more so than ever to ensure the sovereignty of our nation, our constitution, and the sanctity of our democra…</t>
  </si>
  <si>
    <t>@DonaldJTrumpJr https://t.co/rS7SDkyZBH</t>
  </si>
  <si>
    <t>RT @Hope4Hopeless1: @cnnbrk #CNNisGoingDown
TOTAL #CNN BLACKOUT of BIGGEST NEWS STORY of the decade &amp;amp; poss EVER that YOU KNOW broke last n…</t>
  </si>
  <si>
    <t>@cnnbrk #CNNisGoingDown
TOTAL #CNN BLACKOUT of BIGGEST NEWS STORY of the decade &amp;amp; poss EVER that YOU KNOW broke last night!
#CNN YOU ARE SOO CAUGHT!!! Now
REPORT THE TOP TRENDING/BREAKING STORY!
#ReleaseTheMemo and may your
#JusticeBeSwift
and 
#PunishmentJust
 https://t.co/lV9X0coffV</t>
  </si>
  <si>
    <t>@Imperator_Rex3 https://t.co/3D2OB9fvQY</t>
  </si>
  <si>
    <t>@Eye4Eye @TheRealDuramax @LindaLJ11 @SneakyDianeFein @DianeFeinstein @RepAdamSchiff @Tea4Freedom @CNN_tweets @Jim_Jordan #ReleaseTheMemo
and may
#JusticeBeSwift
and
#PunishmentBeJust https://t.co/ZgaqyudCqG</t>
  </si>
  <si>
    <t>RT @CHIZMAGA: I bet the #ReleaseTheMemo includes information about the death of Seth Rich...</t>
  </si>
  <si>
    <t>RT @Hope4Hopeless1: @EricHolder You @EricHolder are PATHETIC &amp;amp; are in NO place to be giving "advice" about OUR Country that you &amp;amp; your crim…</t>
  </si>
  <si>
    <t>@EricHolder You @EricHolder are PATHETIC &amp;amp; are in NO place to be giving "advice" about OUR Country that you &amp;amp; your criminal gang worked furiously to DESTROY. Thanks to God &amp;amp; @POTUS @realDonaldTrump YOU ALL HAVE FAILED!
#ReleaseTheMemo
AND MAY
#JusticeBeSwift https://t.co/1KPOUQKV8q</t>
  </si>
  <si>
    <t>RT @AmericanMex067: Did you think he was playing? 
#ReleaseTheMemo https://t.co/ZZqZRwd345</t>
  </si>
  <si>
    <t>RT @mitchellvii: Just as YourVoice™ America has been saying for months, Jeff Sessions has been running the biggest sting operation in US Hi…</t>
  </si>
  <si>
    <t>RT @Imperator_Rex3: 7. His smart enemies know this and have walked away. Trump's a Sun Tzu master - if you give up the fight, bend the knee…</t>
  </si>
  <si>
    <t>RT @Imperator_Rex3: 10. However, sometimes an enemy will not bend the knee. In that situation, Sun Tzu's advice becomes much darker. They m…</t>
  </si>
  <si>
    <t>RT @24sixteenthpowe: Hey Dems...God's wheels of justice grind slowly at times...agonizingly so...but grind they do...and in the end...the w…</t>
  </si>
  <si>
    <t>RT @JohnDLinde: @NIVIsa4031 @POTUS @realDonaldTrump @kwilli1046 @GrizzleMeister @bgood12345 @GaetaSusan @LeahR77 @WolfensPride @RedWaveRisi…</t>
  </si>
  <si>
    <t>RT @ScottPresler: The entire MAGA community, independents, &amp;amp; Bernie supporters who watched the DNC rig an election united today to get #Rel…</t>
  </si>
  <si>
    <t>RT @CaptObvious63: @ArthurSchwartz @RepAdamSchiff #ReleaseTheMemo https://t.co/pTiiK8Yizw</t>
  </si>
  <si>
    <t>RT @SebGorka: When the ghastly Truth is revealed we will all owe @DevinNunes a massive debt of gratitude. 
Not all heroes are found on a b…</t>
  </si>
  <si>
    <t>RT @PeterMBurman: I see the hands of justice moving tonight. The traitors will pay for their crimes. @BarackObama you can't escape. You are…</t>
  </si>
  <si>
    <t>@PeterMBurman @Jami_USA @BarackObama  https://t.co/4AtdDuAmqT</t>
  </si>
  <si>
    <t>RT @realDonaldTrump: The Wall is the Wall, it has never changed or evolved from the first day I conceived of it. Parts will be, of necessit…</t>
  </si>
  <si>
    <t>@gz11ny  https://t.co/vk5D1s7ROa</t>
  </si>
  <si>
    <t>RT @i_sing_my_heart: @Hope4Hopeless1 Thank you!!!! https://t.co/ansHZQ0YLe</t>
  </si>
  <si>
    <t>#USCongress
You WORK for US
#WeThePeople
DEMAND THAT YOU
#ReleaseTheMemo
AND WE WANT
#JusticeToBeSwift https://t.co/U8kTXsxcgw</t>
  </si>
  <si>
    <t>RT @ShaneTHazel: #WeThePeople must stand where career politicians have failed to honor their oath. We must be courageous in the face of ove…</t>
  </si>
  <si>
    <t>RT @NWOinPanicMode: The best part about seeing this all unfold is that @POTUS &amp;amp; the white hats have known about EVERYTHING for over a year.…</t>
  </si>
  <si>
    <t>RT @ColumbiaBugle: Trump was right about everything. #ReleaseTheMemo https://t.co/guVV2C0pvC</t>
  </si>
  <si>
    <t>RT @replouiegohmert: Read the CLASSIFIED @HouseIntelComm memo on repeated FISA warrant abuses. The truth may not set the guilty free but it…</t>
  </si>
  <si>
    <t>RT @ar15m4mid: #ReleaseTheMemo and watch the fingers start pointing, the #DemocRats start turning on each other. Now it's 🕰time to #DrainTh…</t>
  </si>
  <si>
    <t>RT @RealJack: We’re watching one of the biggest events and scandals in American political history unfold. #ReleaseTheMemo</t>
  </si>
  <si>
    <t>RT @Vincent46372851: @ScottAnthonyUSA @RepDeSantis @DevinNunes @SpeakerRyan @PoliticalOrgy @RoystonPotter @tracybeanz #ReleaseTheMemo https…</t>
  </si>
  <si>
    <t>#WeThePeople
ARE THE
#GreatAwakening
@SpeakerRyan, you globalists' little bitch, you. I know you think you WORK for "them" but...
YOU WORK FOR US!
#ReleaseTheMemo
NOW!!!</t>
  </si>
  <si>
    <t>RT @RepMarkMeadows: I viewed the classified report from House Intel relating to the FBI, FISA abuses, the infamous Russian dossier, and so-…</t>
  </si>
  <si>
    <t>RT @KamVTV: When you have congressmen getting on National Television stating the Intelligence memo they just read could threaten our Democr…</t>
  </si>
  <si>
    <t>RT @dbongino: Take it to the bank, the FBI/FISA docs are devastating for the Dems. The whole image of a benevolent Barack Obama they’ve dis…</t>
  </si>
  <si>
    <t>RT @SaraCarterDC: I was told by a congressional source that “roughly 50 to 60 Congressional members viewed the House Intelligence Committee…</t>
  </si>
  <si>
    <t>RT @Trumperland: #Scandal
Why Are We Still On Tvvitter?
Tvvitter Suspends The House Permanent Select Committee On Intelligence @HPSCI Tvvi…</t>
  </si>
  <si>
    <t>RT @RealJack: Hey @Twitter... 
Care to explain why something with 1/5 as many Tweets in the last hour is trending #1 over #ReleaseTheMemo?…</t>
  </si>
  <si>
    <t>RT @KatrinaPierson: BREAKING: DOJ/FBI FISA abuse found in House Intel Committee probe described by lawmakers as “shocking,” “troubling” and…</t>
  </si>
  <si>
    <t>RT @SebGorka: This is when the political fabric of the Republic and rule of law is tested to the limit. https://t.co/cKtEVHO4Wk</t>
  </si>
  <si>
    <t>RT @ChiHawksFan83: “It's troubling. It's shocking,” North Carolina Rep. Mark Meadows said. 
“Part of me wishes I didn't read it. I don’t wa…</t>
  </si>
  <si>
    <t>RT @1776Stonewall: #ReleaseTheMemo is now, according to this chart, the top trending hashtag worldwide.. And just to think that just a few…</t>
  </si>
  <si>
    <t>RT @SaraCarterDC: MY LATEST: A Bombshell House Intelligence report exposing extensive FISA abuse could lead to the removal of senior govern…</t>
  </si>
  <si>
    <t>RT @RepAndyBiggsAZ: I viewed this classified document tonight - 
I am outraged by what I read, and the American people deserve to know wha…</t>
  </si>
  <si>
    <t>RT @SteveKingIA: I have read the memo. The sickening reality has set in. I no longer hold out hope there is an innocent explanation for the…</t>
  </si>
  <si>
    <t>RT @SykesforSenate: Join us on the 19th for a Meet and Greet at the Winston Churchill National Museum. See you there! https://t.co/N8Owuus4…</t>
  </si>
  <si>
    <t>@sbw_63 @SykesforSenate @Twitter This IS SO OBVIOUS at 8:50 CT it's still showing the same activity!</t>
  </si>
  <si>
    <t>@RepMattGaetz Sir, I really do appreciate what you appear to be trying to do here, but could you PLEASE explain why you literally just voted to shutdown our Government?</t>
  </si>
  <si>
    <t>@RepMattGaetz @seanhannity @FoxNews Sir, why were you one of the 11 Republicans who just voted to shutdown our Government?</t>
  </si>
  <si>
    <t>@RoystonPotter @batmanly38 @YouTube Or were there other (Non Nuclear) launches that were shot down that we were completely unaware of prior to this one the Alert System was activated for? Possibly launches trying to take out Zuma???</t>
  </si>
  <si>
    <t>@Bryanc1111 @AP4Liberty https://t.co/srdBAFQ6qU</t>
  </si>
  <si>
    <t>RT @On_The_Hook: @Hope4Hopeless1 @K0D_4 @AP4Liberty @SykesforSenate True! Austin is a cuck https://t.co/TPh9ZNCSIH</t>
  </si>
  <si>
    <t>RT @JohnJamesMI: Send a combat veteran to the US Senate that will FIGHT for YOU &amp;gt;&amp;gt;&amp;gt; https://t.co/MTo6KXKgiB  💪🇺🇸 #LetsFly #MISen #TeamJohnJ…</t>
  </si>
  <si>
    <t>@K0D_4 @AP4Liberty @AP4Liberty Telling the TRUTH about himself INSTEAD of trying to con Missourians would have a HUGE productive value for  us that want to elect only TRUE PATRIOTS like @SykesforSenate that SAY what they TRULY BELIEVE!</t>
  </si>
  <si>
    <t>RT @HalRogers1: Come on Missouri don’t elect this democrat plant!!! https://t.co/iHSfRD9ZXQ</t>
  </si>
  <si>
    <t>@K0D_4 @AP4Liberty Haha, your chicken shit Con Artist Candidate isn't BRAVE enough to UNBLOCK Missourian constituents just wanting him to tell the TRUTH about himself!</t>
  </si>
  <si>
    <t>@Steffi_Cole @AP4Liberty https://t.co/BY1vM9Pobv</t>
  </si>
  <si>
    <t>@K0D_4 @AP4Liberty https://t.co/BY1vM9Pobv</t>
  </si>
  <si>
    <t>@clorfskux @Castantine @AP4Liberty @Tabiandjake03 @neville_oz @Steffi_Cole @pbaggab @ggreenwald @crushingbort @clairecmc https://t.co/BY1vM9Pobv</t>
  </si>
  <si>
    <t>RT @MammaLon: Feminists the word is No. If a guy says you have to sleep with him for a job say NO. If you say Yes you're a hooker not a vic…</t>
  </si>
  <si>
    <t>RT @BigLeague2020: @Hope4Hopeless1 @AP4Liberty @SykesforSenate Freedom Lies In Being Bold
Go Bold #Missouri
Support @SykesforSenate 
Int…</t>
  </si>
  <si>
    <t>RT @Hope4Hopeless1: @SykesforSenate https://t.co/g91807UMOn
#Missouri @SykesforSenate is a fierce PATRIOT who as a Veteran has sworn to def…</t>
  </si>
  <si>
    <t>@BigLeague2020 @AP4Liberty @SykesforSenate https://t.co/ipE8IFAMGX</t>
  </si>
  <si>
    <t>RT @Nov2018election: @Hope4Hopeless1 @AP4Liberty @SykesforSenate Support Courtland Sykes The Conservative Bold Veteran #MOSEN #MAGA #MOGOP…</t>
  </si>
  <si>
    <t>RT @Hope4Hopeless1: @Bryanc1111 @AP4Liberty Oh @AP4Liberty or #APforOpenBorders keeps his TRUE #ProAmnesty #ProDACA Liberal Platform hidden…</t>
  </si>
  <si>
    <t>@Bryanc1111 @AP4Liberty Oh @AP4Liberty or #APforOpenBorders keeps his TRUE #ProAmnesty #ProDACA Liberal Platform hidden from #Missourians these days but...
PLEASE LISTEN to the TRUE #AustinPetersen  https://t.co/efddGlqpRY</t>
  </si>
  <si>
    <t>BEWARE @AP4Liberty is a #ProAmnesty #ProOpenBorders #NeverTrump #RINO 
#WOLF running on a Republican Platform.
In SHARP contrast..
@SykesforSenate LOVES the Republic and WILL NEVER BACK DOWN from FIGHTING to PRESERVE IT and to Make America GREAT AGAIN! 
https://t.co/v23Lu6zlCi</t>
  </si>
  <si>
    <t>RT @Nov2018election: Brilliant Deplorable Vet @Elucifer23 Thank you for your service 🇺🇸 #imwithyou #MAGA #TerreNov2018Election @realDonaldT…</t>
  </si>
  <si>
    <t>RT @Nov2018election: Austin Petersen running for the Senate in Missouri clearly states Donald Trump is the problem. You cannot be Pro Trump…</t>
  </si>
  <si>
    <t>RT @ar15m4mid: You can't solve #DACA without #BuildingTheFreakingWall first. #AR15M4 https://t.co/Du9UMZwtJ8</t>
  </si>
  <si>
    <t>@realDonaldTrump  https://t.co/xGC7k6pTjc</t>
  </si>
  <si>
    <t>RT @FedupWithSwamp: #FakeNewsAwards Photoshopped Hillary crowd to feed to the sheeple. #DumbFuckingLiberals https://t.co/CAPeqIPtBl</t>
  </si>
  <si>
    <t>RT @11S_L_2016_Cat: #WeThePeople 
#GreatAwakening 
#WednesdayWisdom 
Folks We are taking our country back from lying #FakeNews https://t.co…</t>
  </si>
  <si>
    <t>RT @CoreyLMJones: @realDonaldTrump The greatest president of all time. Promises made, promises kept. #MAGA https://t.co/p0qYYG0sux</t>
  </si>
  <si>
    <t>RT @CoreyLMJones: @realDonaldTrump MAGA. 🇺🇸 https://t.co/ZsocEzorc7</t>
  </si>
  <si>
    <t>RT @Guciffer50: @ScottAnthonyUSA @USNavy #BettyWhite #GreatAwakening #Perpwalk https://t.co/BgJA378rdD</t>
  </si>
  <si>
    <t>RT @Dennis675: #TheGreatAwakening  #QAnon #Patriots   Are you ready for the Fake News Awards?  Memes loaded. https://t.co/VFJZbnENLZ</t>
  </si>
  <si>
    <t>RT @11S_L_2016_Cat: Verify the narrative don’t let the narrative from the news be your only truth.
#fakenewsawards 
#GreatAwakening https:…</t>
  </si>
  <si>
    <t>RT @MeRorschach: I have the feeling good things are coming our way.  
#FakeNewsAwards https://t.co/A3X6baWIGH</t>
  </si>
  <si>
    <t>RT @TT45pac: After delivering his tribute
🦅President Donald J Trump
in an act of love and kindness
kissed Bob Dole on the forehead 
Bob Dol…</t>
  </si>
  <si>
    <t>RT @Lady_Vi_2U: https://t.co/2W19q6AAyM</t>
  </si>
  <si>
    <t>RT @Hope4Hopeless1: @FedupWithSwamp #WeThePeople
ARE THE
#GreatAwakening
Here's one of #Q's earliest messages!!!
"We will be using the Em…</t>
  </si>
  <si>
    <t>@FedupWithSwamp #WeThePeople
ARE THE
#GreatAwakening
Here's one of #Q's earliest messages!!!
"We will be using the Emergency Broadcast System (EMS) during this time in an effort to provide a direct message (avoiding the fake news) to all citizens."
Here's Hoping @realDonaldTrump bypasses #MSM</t>
  </si>
  <si>
    <t>#WeThePeople
ARE THE
#GreatAwakening
Here's one of #Q's earliest messages!!!
"We will be using the Emergency Broadcast System (EMS) during this time in an effort to provide a direct message (avoiding the fake news) to all citizens."
Here's Hoping @realDonaldTrump bypasses #MSM</t>
  </si>
  <si>
    <t>RT @ImpeachObama10: If #FakeNewsAwards tell us anything...we just can't trust MSM.
The #GreatAwakening has more people seeking the truth t…</t>
  </si>
  <si>
    <t>@DcDeplorable @CNN @realDonaldTrump @DanScavino #WeThePeople 
ARE
#TheGreatAwakening https://t.co/Lp3QSuXqWF</t>
  </si>
  <si>
    <t>RT @Elucifer23: It's official! I am going to the STATE OF THE UNION ADDRESS! Thanks to Representative for Wisconsin's Seventh District Sean…</t>
  </si>
  <si>
    <t>RT @joel_capizzi: “The government you elect is the government you deserve.”
— Thomas Jefferson https://t.co/Q5QDyKWfKL</t>
  </si>
  <si>
    <t>RT @gaye_gallops: OPEN YOUR EYES....this investigation has gone on with NO RESOLUTION! FBI DRAGGING THEIR FEET....WHY? PADDOCK was running…</t>
  </si>
  <si>
    <t>https://t.co/ZwWgMOsHiD
@MAGA_NoDACA
@MAGA_NoDACA
@MAGA_NoDACA
@MAGA_NoDACA
@MAGA_NoDACA
#NoAmnesty
#BUILDthatFkingWALL
NOW!!!</t>
  </si>
  <si>
    <t>@President1Trump https://t.co/TVSSQIRauC</t>
  </si>
  <si>
    <t>RT @MrEdTrain: Let's just cut the shit calling these babies #Dreamers , nothing but law breaking illegal criminals is the proper name ! #Ne…</t>
  </si>
  <si>
    <t>@RealSaavedra @bigkqueen https://t.co/TVSSQIRauC</t>
  </si>
  <si>
    <t>RT @StefanMolyneux: Twitter employees have total access to private pornography and messages - what safeguards does Twitter have to prevent…</t>
  </si>
  <si>
    <t>@steph93065 @dgaliger2 @realDonaldTrump @ICEgov https://t.co/TVSSQIRauC</t>
  </si>
  <si>
    <t>"Oh shut up, @NancyPelosi
silly woman, " said the reptile with a grin
"You knew damn well I was a snake before you took me in...
@Maga_NoDACA
#NoAmnestyAtALL
#BUILDtheFkingWALL https://t.co/6bqocxcBoq</t>
  </si>
  <si>
    <t>RT @EjHirschberger: #RETWEET you agree with 83% of Americans that believe Our Government Should STOP giving Illegals GOVT Benefits #MAGA by…</t>
  </si>
  <si>
    <t>RT @TomCottonAR: Might as well roll it straight into the trash can ... mass amnesty far beyond DACA, fake border security, no end to chain…</t>
  </si>
  <si>
    <t>@TomCottonAR  https://t.co/s0q5qwALT7</t>
  </si>
  <si>
    <t>RT @slone: Bill Clinton: 71 vs Donald Trump: 71 https://t.co/VYcIFGe6x0</t>
  </si>
  <si>
    <t>@seungminkim @RLPolk3  https://t.co/AlJjGZcPjw</t>
  </si>
  <si>
    <t>@cady_miller @antischool_ftw  https://t.co/2xpy43o7iA</t>
  </si>
  <si>
    <t>RT @pvtjokerus: @Rockprincess818 @steph93065 How sick is it that our own Repub Senators are trying to roll our Repub President into an amne…</t>
  </si>
  <si>
    <t>RT @LastWave2014: How Does It Make You feel America, That #Democrats Choose #IllegalAliens Over American Citizens? They Threaten To Close D…</t>
  </si>
  <si>
    <t>RT @ScottPresler: VICTORY: Congratulations to Republican Rick Gundrum on his win tonight in Wisconsin's 58th district.
This is the 3rd Rep…</t>
  </si>
  <si>
    <t>@JoeBelsha1 https://t.co/CcRWuejeez</t>
  </si>
  <si>
    <t>RT @AGerberBaby: Friends, I’m trying to find a sail boat heading to #Hawaii that needs an extra crew member. I promised my wife I’d take he…</t>
  </si>
  <si>
    <t>RT @RealJamesWoods: https://t.co/61NvxzMsBH</t>
  </si>
  <si>
    <t>RT @Lady_Vi_2U: Make a plan... find your solid candidates an do your part to get them elected!  Out with the Dems and RINO's - IN with MAGA…</t>
  </si>
  <si>
    <t>RT @MilitaryCourage: Thank you to all those who have made the ultimate sacrifice! https://t.co/yJV55g6Sfs</t>
  </si>
  <si>
    <t>@Kristen61555019 @AGerberBaby @getongab @Twitter Me too. https://t.co/tijtP3Weou</t>
  </si>
  <si>
    <t>@AGerberBaby @getongab @Twitter I think if it weren't so cluncky &amp;amp; rudimentary there would be a mass exodus. I know there is a phenomenal alternative seriously in the works that will be premiering very soon.</t>
  </si>
  <si>
    <t>RT @Hope4Hopeless1: @bfraser747 @EricTrump @DonaldJTrumpJr @LouDobbs @LaraLeaTrump @Stonewall_77 @ClintonM614 https://t.co/nfTi5Js1n7
Oh N…</t>
  </si>
  <si>
    <t>@bfraser747 @EricTrump @DonaldJTrumpJr @LouDobbs @LaraLeaTrump @Stonewall_77 @ClintonM614 https://t.co/nfTi5Js1n7
Oh No! Now these nuts are going to accuse @realDonaldTrump of colluding with God!</t>
  </si>
  <si>
    <t>RT @bfraser747: Right now at #FakeNews agencies everywhere all employees plus another million Liberals with "pink" hats  scrambling to prov…</t>
  </si>
  <si>
    <t>RT @SusanStormXO: 🥊Dr. Jackson on @POTUS' eating, exercise habits &amp;amp; how he still remains healthy: "He has incredibly good genes, and it's j…</t>
  </si>
  <si>
    <t>RT @RealBobAxelrod: Someone needs to do a video showing POTUS history. He has done more for AA than anyone in history. Sad that we have no…</t>
  </si>
  <si>
    <t>RT @LisaMei62: Fascinating...on 13 Jan, Q asked if we trusted the Chain of Command. Today, @DeptofDefense tweeted about National Geographic…</t>
  </si>
  <si>
    <t>RT @unittzoo: @LisaMei62 @DeptofDefense This comforts the soul. The entire reason Q and 4.10.20 are sharing info.  #Hope.</t>
  </si>
  <si>
    <t>@tracybeanz @CraigRSawyer https://t.co/iOOtRMTjBU</t>
  </si>
  <si>
    <t>RT @annvandersteel: @MAGAGunslinger @Maga @AmericaFirst @realDonaldTrump @Nov2018election This woman, this one singular person, represents…</t>
  </si>
  <si>
    <t>RT @yashar: Dr. Ronny Jackson has been the Presidential physician since 2013. Give the conspiracy theories a rest. https://t.co/YvwsNd7byh</t>
  </si>
  <si>
    <t>RT @thebradfordfile: Congrats to everyone who uploaded their faces to Google. #GoogleArtsandCulture: Another creepy move by Big Brother.
N…</t>
  </si>
  <si>
    <t>RT @realDonaldTrump: “President Donald J. Trump Proclaims January 16, 2018, as Religious Freedom Day” https://t.co/bD3R2dJfyp</t>
  </si>
  <si>
    <t>RT @SykesforSenate: Looks like I have a new debating partner... #MAGA #AmericaFirst https://t.co/1OJp3Lj8sW</t>
  </si>
  <si>
    <t>RT @joshdcaplan: President Trump orders CNN's Jim Acosta to get OUT of Oval Office after latest outburst. https://t.co/n2mxIkBdEn</t>
  </si>
  <si>
    <t>RT @seanhannity: TRUE PATRIOTS: Military Vets Want Democrats’ EMPTY SEATS at State of the Union
https://t.co/41lYiFfN9p</t>
  </si>
  <si>
    <t>RT @Elucifer23: I want to thank everyone for their support and retweeting my tweet that was on @foxandfriends this morning! It's been confi…</t>
  </si>
  <si>
    <t>RT @Elucifer23: @FoxNews Everyone please help and retweet. I would like to take Maxine Waters seats at The State Of The Union Address. If t…</t>
  </si>
  <si>
    <t>RT @G1rly_Tattooed: New Sig Sauer 9mm P938 honors #Veterans #FirstResponders &amp;amp; #OldGlory 🇺🇸 comes with STAND engraved to inspire #Patriotis…</t>
  </si>
  <si>
    <t>RT @Lady_LeGrey: @bgood12345 I'm curious.  I see this statistics that illegals are costing tax payers billions of dollars a year.  The DACA…</t>
  </si>
  <si>
    <t>RT @DairyQueen: I am caramelized onions, bacon, &amp;amp; A.1.® spread. If you’re not on your way to get a DQ $5 Buck Lunch now, you might need to…</t>
  </si>
  <si>
    <t>@ShopBluePosh Hahahaha Really? Gave birth? You're HILLARIOUS &amp;amp; BLOCKED!</t>
  </si>
  <si>
    <t>RT @DaveNYviii: 23) This bill WILL NOT provide legal cover for the abuses that occurred, it will prevent them from occurring in the future.…</t>
  </si>
  <si>
    <t>RT @DaveNYviii: 25) Our nation suffered domestic violence on a grand scale.
The Obama DOJ/FBI were domestic abusers. 
Never forget the man…</t>
  </si>
  <si>
    <t>@ladyagentbabz @MrEdTrain All Americans who CARE to see to it that we are NEVER DUPED by TRAITOROUS IMPOSTERS AGAIN! OH &amp;amp; I  thank God this brave man cares about THE USA
https://t.co/LRKoQvIEER</t>
  </si>
  <si>
    <t>@MelinaCopper Haha, WOW, is right! THIS would have been extremely HARD to keep under wraps even w/ the MAJOR cooperation of the entire world's MSM.</t>
  </si>
  <si>
    <t>"Michelle" REALLY needed to fire his fashion consultant-this dress is VERY unflattering &amp;amp; shows 
EVERY lump and bump! https://t.co/xfH368P2zx</t>
  </si>
  <si>
    <t>RT @thebradfordfile: Facebook says "trust us."
~ No thanks.
Google says "trust us."
~ No thanks.
Twitter says "trust us."
~ No thanks.
Appl…</t>
  </si>
  <si>
    <t>RT @SaucierSadie: HOW MANY TIMES IS KRIS SAUCIERS STORY GOING TO FADE INTO THE BACKGROUND? Plz RETWEET THIS today.🙏🇺🇸❤️☹️ https://t.co/vUhf…</t>
  </si>
  <si>
    <t>RT @SaucierSadie: @SarahPalinUSA @realDonaldTrump @SenatorLeahy @BernieSanders @DonaldJTrumpJr @FLOTUS @PressSec @VP @PeterWelch @IvankaTru…</t>
  </si>
  <si>
    <t>RT @SaucierSadie: @TomiLahren @IngrahamAngle @RealOmarNavarro @HeraldRadio @LeeElci @freedomondeck @seanhannity @Hope4Hopeless1 @SebGorka @…</t>
  </si>
  <si>
    <t>RT @RantsOutloud: And in some not so distant future, the bright star of Justice will finally be applied to those who were placed in positio…</t>
  </si>
  <si>
    <t>RT @SethSchibler: Unlike @repcleaver, Kress Cambers stands with the working class and has been in the blue collar work force for over a dec…</t>
  </si>
  <si>
    <t>RT @Jillibean557: #MLKDay "ONE HAS A MORAL RESPONSIBILITY TO DISOBEY UNJUST LAWS" 
~MARTIN LUTHER KING JR
#EndDaca
#SanctuaryCity https://…</t>
  </si>
  <si>
    <t>RT @BigLeague2020: @SykesforSenate For Intro:  https://t.co/eDgUfkNn2o
Support .@SykesforSenate 
#MOSEN #MAGA https://t.co/lIFtUIth2q</t>
  </si>
  <si>
    <t>RT @BigLeague2020: @Hope4Hopeless1 @SykesforSenate #MOSEN #MAGA
Support .@SykesforSenate 
For Introduction: https://t.co/eDgUfkNn2o https…</t>
  </si>
  <si>
    <t>@Teria1950 @Greggorj @Maga_NoDACA These illegals driving HUGE brand new FORD &amp;amp; DODGE trucks is because GW Bush sold U.S. out w/ North Amer Union Treaty that provided subsidies, STEEP discounts &amp;amp; FREE financing &amp;amp; have been huge killing machines w/ unlicensed, uninsured, illegal aliens driving under the influence</t>
  </si>
  <si>
    <t>RT @joel_capizzi: 1/3
11 year Navy Veteran tells how his career and life were destroyed by the Deep State while the Clinton cabal goes sco…</t>
  </si>
  <si>
    <t>RT @joel_capizzi: 2/3 
@SaucierSadie
@Shelleyflower77
@realDonaldTrump
@MichelleMalkin
@codeofvets
#PardonKrisSaucier 
#TwoSetsofRules
#c…</t>
  </si>
  <si>
    <t>RT @joel_capizzi: 3/3
Twitter failed to upload video part 3. Here it is.
@SaucierSadie
@Shelleyflower77
@realDonaldTrump
@MichelleMalkin…</t>
  </si>
  <si>
    <t>@SykesforSenate https://t.co/g91807UMOn
#Missouri @SykesforSenate is a fierce PATRIOT who as a Veteran has sworn to defend our Constitution from ALL enemies https://t.co/lk96EMVwVC</t>
  </si>
  <si>
    <t>RT @SykesforSenate: #MOSEN #MAGA #SykesforSenate #AmericaFirst #GOP #FireClaire https://t.co/nkrl5Ur825</t>
  </si>
  <si>
    <t>RT @DonnaWR8: @SierraWhiskee @realDonaldTrump @Hoosiers1986 @hotfunkytown @Chicago1Ray @GrizzleMeister @SKYRIDER4538 @alozrasT11 @G1rly_Tat…</t>
  </si>
  <si>
    <t>RT @TruthMatters13: Many today, at this time in our nation could learn much from MLK. As they use this day to continue attacks on our presi…</t>
  </si>
  <si>
    <t>RT @TruthMatters13: “Darkness cannot drive out darkness; only light can do that. Hate cannot drive out hate; only love can do that.”  #MLK…</t>
  </si>
  <si>
    <t>RT @Hope4Hopeless1: @JamesOKeefeIII THIS is fluff &amp;amp; shouldn't surprise anyone. You misled us to believe you were releasing footage of @jack…</t>
  </si>
  <si>
    <t>@JamesOKeefeIII THIS is fluff &amp;amp; shouldn't surprise anyone. You misled us to believe you were releasing footage of @jack running his mouth. Sadly, I believe your friend &amp;amp; mentor, #AndrewBreitbart would be disappointed in you for using the platform he worked/died for so unethically &amp;amp; irresponsibly</t>
  </si>
  <si>
    <t>@JamesOKeefeIII @jack  https://t.co/fdU4fwSJIg</t>
  </si>
  <si>
    <t>RT @SykesforSenate: Thank you for your service on the ethics committee, @TGowdySC. We know you're the only member of Congress to hold posit…</t>
  </si>
  <si>
    <t>RT @ValaAfshar: #MartinLutherKing's instructions to bus riders trying to integrate buses, 1956:
"In all things, observe ordinary rules of…</t>
  </si>
  <si>
    <t>RT @USFreedomArmy: Winston knew what he was talking about. It's here! Enlist in our army at https://t.co/oSPeY48nOh. Stand up &amp;amp; join our pa…</t>
  </si>
  <si>
    <t>RT @RedPillBlack: RETWEET to remind plantation-supervisor @JoyAnnReid, that some black people choose freedom, over slavery to the Democrati…</t>
  </si>
  <si>
    <t>RT @KatTheHammer1: Happy Birthday Martin Luther King Jr. 
 "The time is always right to do what is right." 
 ~MLK Jr. https://t.co/zkyr3y…</t>
  </si>
  <si>
    <t>RT @ThomasMHern: Twitter just suspended Chris Depizzo a conservative candidate for Congress in Ohio for quote tweeting his opposition.
Twi…</t>
  </si>
  <si>
    <t>@RickOhioImBack @bfraser747 "Deformation" of character? So like character has been malformed? In other words it's like some SERIOUS character flaws. Man that's bad, good luck with THAT</t>
  </si>
  <si>
    <t>RT @Lady_Vi_2U: I don't understand how there can be any arguments about paying for this wall.. seems clear to me that we can't afford NOT t…</t>
  </si>
  <si>
    <t>RT @SusanStormXO: ⚔️Wounded Warriors Need Love❤️ 
#Codeofvets  
Please be aware of those around you : for you never know the Journey they…</t>
  </si>
  <si>
    <t>@abodon_5 @rockaboutmusic  https://t.co/kaWwy3eEda</t>
  </si>
  <si>
    <t>RT @Nov2018election: 🇺🇸Follow Alert 🇺🇸 Please Follow @KressFCambers Kress Cambers  is running for Congress in Missouri District 5 #MAGA #MO…</t>
  </si>
  <si>
    <t>RT @KressFCambers: I could careless about the #TrumpBannonFeud I want to see more legislation #AmericaFirst</t>
  </si>
  <si>
    <t>RT @KressFCambers: I was campaigning and the topic of gun control came up, and to quote the former congressman @WalshFreedom “The only way…</t>
  </si>
  <si>
    <t>RT @KressFCambers: #TriggerWarning We are a sovereign nation. Build the wall and NODACA! @realDonaldTrump said back in September he wants t…</t>
  </si>
  <si>
    <t>RT @KressFCambers: Had a fun time hanging out with Marty from bikers for Trump and Missouri Senatorial Candidate @SykesforSenate https://t.…</t>
  </si>
  <si>
    <t>#WeAbsolutelyKNOW #SessionsAbsolutelyKNOWS
#WeMUSTDEMANDJustice https://t.co/beLQt1zNA0</t>
  </si>
  <si>
    <t>@GmanFan45 I had to uncheck several tweets to just report 5. We need to moniter this one &amp;amp; if not suspended immediately report to  Class Action suit(s) https://t.co/Lhb7KpbRiQ</t>
  </si>
  <si>
    <t>RT @JewhadiTM: Rand Paul: Trump isn't prejudiced against Haiti because he helped fund my medical mission trip there https://t.co/tHqce9ouZh…</t>
  </si>
  <si>
    <t>RT @GmanFan45: #UraniumOne indictment 💥
#Fox calls it "First" meaning more to come 🙌
Trail could lead all the way up to #CrookedHillary the…</t>
  </si>
  <si>
    <t>@spudahoi90 @ReginaLiparoto @DanInGAviaNJ @vivelafra @williamlegate That's a very good idea!</t>
  </si>
  <si>
    <t>RT @WSCP1: 🚨#SHADOWBANNEDTEST🚨
It is rumored that @williamlegate is a twitter algorithm machine and that if you’ve been blocked by his acco…</t>
  </si>
  <si>
    <t>RT @pahubb43: We ALL need to take our cell phones and record the despair the Democratic Party did to our inner cities. Our forgotten. OUR c…</t>
  </si>
  <si>
    <t>RT @MonsterMAGAArmy: Dear @realDonaldTrump President Trump,
Please don’t forget Americans have Dreams to.
We need the Wall, End Chain Migr…</t>
  </si>
  <si>
    <t>RT @TrumpsBlonde: Hi, I’m Klaus Eberwein, a Haitian Official who flew to Miami to testify against the Clinton Foundation for turning my cou…</t>
  </si>
  <si>
    <t>@Patriotess4MAGA @SecretService @TwitterSupport @POTUS Yep done! Here's hoping Willie get's a visit &amp;amp; suspended!</t>
  </si>
  <si>
    <t>@Greggorj @Maga_NoDACA https://t.co/nUMR9o7GyO
ABSOLUTELY! The shithole Meh He Co  should be a lot nicer since Illegal Mexican's have been able to afford  to send HOME huge amts of our $$$.The American people should demand repayment for EVERYTHING they've stolen from the US taxpayers! #AmericaFirst</t>
  </si>
  <si>
    <t>RT @1Munder: COINTEL TECHNIQUES: PLEASE READ
@KSmall81 @antischool_ftw @elenochle Congratulations On Citizenship @JulianAssange https://t.c…</t>
  </si>
  <si>
    <t>RT @Thomas1774Paine: Wife Beater Sean Penn: Donald Trump Is ‘An Enemy of Mankind’ - https://t.co/Uw4dg58IDm</t>
  </si>
  <si>
    <t>RT @drawandstrike: Remember this was announced in October? 
https://t.co/rRNDKbpRrN</t>
  </si>
  <si>
    <t>RT @starcrosswolf: Well of course Bill Clinton is Triggered After Clinton Foundation is Accused of Embezzling Haiti Disaster Cash to Pay Fo…</t>
  </si>
  <si>
    <t>@EdKrassen @HillaryClinton https://t.co/LFzr8JOBPN</t>
  </si>
  <si>
    <t>@smsg1234 @HillaryClinton https://t.co/LFzr8JOBPN</t>
  </si>
  <si>
    <t>@HillaryClinton https://t.co/LFzr8JOBPN</t>
  </si>
  <si>
    <t>@BillClinton https://t.co/LFzr8JOBPN</t>
  </si>
  <si>
    <t>RT @GmanFan45: @o_plaisance @JamieM2481 @ElderLansing we should cut off all immigration for 10 years and deport anyone that is not here leg…</t>
  </si>
  <si>
    <t>RT @FriendlyJMC: The fact she tweets about Haiti after ALL her Foundation stole from Haiti illustrates how stupid she feels we Americans ar…</t>
  </si>
  <si>
    <t>@RickOhioImBack @bfraser747 It's always nice to see a woman standing behind her hubby.Well you can prob relax your monitoring his twitter, his burst of "followers" seems to have slowed to just a trickle w/only 6 in 2hrs. Imagin it w/o all that insane tagging you guys must have worked so hard on together.</t>
  </si>
  <si>
    <t>@RickOhioImBack @bfraser747 250 DMs that's a HUGE amt! Nice that you've been sharing all these w/ your wife. I'm curious how long ago did she start suspecting that THIS might be a problem? So you're enjoying a surge in popularity as a result of your scandal w/ this young girl? Maybe your wife should monitor</t>
  </si>
  <si>
    <t>RT @Lady_Vi_2U: THANK God our @POTUS is NOT a Politician!!  ❤️🇺🇸 https://t.co/D9H811tlcC</t>
  </si>
  <si>
    <t>#AmericaFirst
#WeWereNeverAsked
How about
#DoingTheAmericanDreamACT
and 
#BUILDthisFkingWALL
#NoAmnestyAtALL
#SorryDACAgottaGO
#WeWannaKEEPourOwnDOUGH $$$
@Maga_NoDACA https://t.co/Z8Bftf7EyC</t>
  </si>
  <si>
    <t>@ecomposer @Nov2018election @GmanFan45 @Maga_NoDACA Haha and BLOCKED!</t>
  </si>
  <si>
    <t>@CoolHandLukeX1 @wwwillstand https://t.co/zah6D6LFmA
@Maga_NoDACA</t>
  </si>
  <si>
    <t>RT @RealSaavedra: .@LindseyGrahamSC, who attacked Trump for "s***hole" comment, in 2013: "The people coming across the southern border live…</t>
  </si>
  <si>
    <t>RT @sxdoc: Tim Tebow Says He Was Almost a Victim of Abortion: Doctors Called Me a 'Tumor' Not a 'Baby'; my mother also was told an abortion…</t>
  </si>
  <si>
    <t>@Maga_NoDACA https://t.co/zah6D6LFmA</t>
  </si>
  <si>
    <t>YAAS @GmanFan45 The  "circumstances" that the past several Admins have left in this Country are DIRE &amp;amp; require DRASTIC COUNTERmeasures! #MAGA @Maga_NoDaca
#BUILDthisFkingWALL
#NoAmnestyAtALL
#SorryALLIllegalsGottaGO
#WeWannaKEEPOurOwnDOUGH $$$ https://t.co/1a5m7WqeJe</t>
  </si>
  <si>
    <t>RT @jimlibertarian: Mr. president if the Democrats do not want to work with you then I would go for a scorched earth policy👉 round up and k…</t>
  </si>
  <si>
    <t>RT @Gr8AmericanMvmt: 80 SECONDS YOU HAVE TO SEE‼️ Bill Clinton Explains The Serious Threat Of Illegal Immigration In His 1995 State Of The…</t>
  </si>
  <si>
    <t>RT @tracybeanz: https://t.co/ZzAUS4BGb5</t>
  </si>
  <si>
    <t>RT @Hope4Hopeless1: @tracybeanz https://t.co/aBe6ZlyxsI</t>
  </si>
  <si>
    <t>@tracybeanz https://t.co/aBe6ZlyxsI</t>
  </si>
  <si>
    <t>RT @newsforum: @WattersonVickie @B75434425 Finally, an unsealed indictment! 10,000+ to go!</t>
  </si>
  <si>
    <t>RT @WattersonVickie: @B75434425 #qanon #UraniumOne #indictment #unsealed #itshappening #FOREIGN #CORRUPTION means #frozenassets right? http…</t>
  </si>
  <si>
    <t>RT @thebradfordfile: Honest Abe didn't tweet. There's only one:
B L U N T  T R U M P 🇺🇸 #BluntTrump https://t.co/dhqaaJU6zd</t>
  </si>
  <si>
    <t>RT @bocavista2016: TRUMP:
👉Called Haiti and Africa #ShitHoleCountries
HILLARY:
👉Stole $6 BIL in Haitian relief
👉Stole $20 BIL in Haitian…</t>
  </si>
  <si>
    <t>RT @IL0VEthe80s: Retweet if you know who this is... https://t.co/0Il7LxFYlX</t>
  </si>
  <si>
    <t>RT @Project_Veritas: Do you remember what you told those "artists," "homeless people," and "business men" when getting your morning coffee,…</t>
  </si>
  <si>
    <t>RT @Qns_NY_Cnsvativ: @Project_Veritas @jack #JamesOKeefe u've got brass balls!
If US can pull out of death spiral, it will have a lot to d…</t>
  </si>
  <si>
    <t>RT @StacyLStiles: 100 years from now, none of us will be here. But Obama &amp;amp; his dilapidated legacy will, as will his much deserved title as…</t>
  </si>
  <si>
    <t>RT @ItsAngryBob: Oh my...Lookie here...  Robert “I’d like to punch Trump in the face” Deniro and Marina Abramovic. #Q #QAnon #TheStormisher…</t>
  </si>
  <si>
    <t>RT @aimeehall1001: RETWEET if you love @JeremiahBuoni for defending me. I know I do. https://t.co/IjPtzHKePm</t>
  </si>
  <si>
    <t>RT @PrisonPlanet: Anderson Cooper's fake crying about how much he loves Haitians. Where was he when his friends the Clintons were looting t…</t>
  </si>
  <si>
    <t>RT @BethanyJuno: Please On This Friday Let Us All Remember And Support Our Deployed Men, Women And Our K 9 Warriors.  With Them Our Freedom…</t>
  </si>
  <si>
    <t>@jen4trump1 @popy_panayotou You will know THEM(Clinton Foundation &amp;amp; ENTIRE CABAL) by their fruit! https://t.co/HlPd8TEgHZ</t>
  </si>
  <si>
    <t>RT @NewtTrump: FLASHBACK: Trump told Hillary to give back the money she and Bill stole from Haiti:
"I was in Little Haiti in Florida the o…</t>
  </si>
  <si>
    <t>RT @MrEdTrain: Let's get these indictments moving ! @FBI @DOJ @jeffsessions https://t.co/OSKfiUeULQ</t>
  </si>
  <si>
    <t>@H3L3N242 @GmanFan45 @GaryLineker Does it really piss you off that this is NEVER going to a headline you'll read about your Beloved Britain-ahstan https://t.co/4EITKPUuZi</t>
  </si>
  <si>
    <t>@H3L3N242 @GmanFan45 @GaryLineker Is this your pitifully stupid attempt to make your ridiculous point? If your citizens were allowed to be armed &amp;amp; to protect themselves you wouldn't be having your women being savagely violated on a such a widescale level! You and your Country are doomed sitting ducks!</t>
  </si>
  <si>
    <t>RT @Nov2018election: Officer Kevin Will Had Dreams Too.He was killed by an illegal immigrant at 38 years old🙏 🙏 NO DACA 🚫🚫 NO AMNESTY BUILD…</t>
  </si>
  <si>
    <t>RT @Nov2018election: 🇺🇸Follow Alert 🇺🇸 Please Follow @billie4congress Joe is running for Congress in District 7 Pa  Let’s give him a boost.…</t>
  </si>
  <si>
    <t>@GmanFan45 @H3L3N242 @GaryLineker Obviously these Brit's Beta brains have shrunk down and dissolved just like the mousy "men's" testicles. Even brain/testicular damaged cucks can't deny the THOUSANDS of beautiful female faces turned to hamburger by their Beloved Immigrant Invader's friendly ACID ATTACKS!</t>
  </si>
  <si>
    <t>RT @Education4Libs: The steps of "women's studies" majors.
Takes out $100k loan to get degree in unemployable field of study.
Can’t find…</t>
  </si>
  <si>
    <t>@Greggorj @Voices4Humanity @GinaLuciana @MTReserved @MichaelsANewman @jsavite @OlafTheGodi @TrumpTrumpNow @NWGreenApple @AMErikaNGIRLBOT @wink_nod @UsaKathydavis @JohnWUSMC @skb_sara @msbizz73 @lellygal @W_C_Patriot @SassySouthern10 @Redheaded_Jenn @giselle1900 @elise_aaron @fityshadesofred @Doll_260 @Real_Sassy22 @_ILoveMyFamily_ @Root4Change @katxarielle @hrenee80 @ozark_lady @BethanyJuno @baalter @KNP2BP @EversFam @solentgreenis @1Talking_Stick Americans of ALL races are waking up, PISSED OFF and ready to ROLL #MAGA</t>
  </si>
  <si>
    <t>RT @Hope4Hopeless1: @Greggorj @Voices4Humanity @GinaLuciana @MTReserved @MichaelsANewman @jsavite @OlafTheGodi @TrumpTrumpNow @NWGreenApple…</t>
  </si>
  <si>
    <t>@Greggorj @Voices4Humanity @GinaLuciana @MTReserved @MichaelsANewman @jsavite @OlafTheGodi @TrumpTrumpNow @NWGreenApple @AMErikaNGIRLBOT @wink_nod @UsaKathydavis @JohnWUSMC @skb_sara @msbizz73 @lellygal @W_C_Patriot @SassySouthern10 @Redheaded_Jenn @giselle1900 @elise_aaron @fityshadesofred @Doll_260 @Real_Sassy22 @_ILoveMyFamily_ @Root4Change @katxarielle @hrenee80 @ozark_lady @BethanyJuno @baalter @KNP2BP @EversFam @solentgreenis @1Talking_Stick Yes and #PP is another brainchild of the Liberal DEMONcrats, PLANNED to DUPE the black race into supporting &amp;amp; be active participants in GENOCIDING themselves. I sincerely pray they can DARE to wake up &amp;amp; REJECT these LYING EVILDOERS that are holding them &amp;amp; their VOTES captive!!! https://t.co/yjPkMAcyVQ</t>
  </si>
  <si>
    <t>RT @TheMeemStreams: President Trump called Haiti and others #shitholecountries  Dems say NO they’re NOT!! What  I have to say to #Democrats…</t>
  </si>
  <si>
    <t>RT @ALIPAC: Call &amp;amp; retweet Now: Tell #Trump &amp;amp; #GOP Senators to Stop Pushing #DACA Amnesty for illegal aliens!  #StopDACA #NoDACA
https://t.…</t>
  </si>
  <si>
    <t>RT @SykesforSenate: My position on #IllegalImmigration is clear:
#BuildtheWall | #NoAmnesty | #NoEntitlements 
#MoSen #MAGA https://t.co/2…</t>
  </si>
  <si>
    <t>RT @joel_capizzi: @SykesforSenate Now does this sound like a "mystery candidate" to you?
Courtland Sykes.
Straight up, no mystery, "MAGA…</t>
  </si>
  <si>
    <t>RT @JamesOKeefeIII: Yesterday @jack at Twitter issued the following statement, that it was just a rogue employee. What is Twitter's stateme…</t>
  </si>
  <si>
    <t>RT @ASK_des: Congratulations to 🇺🇸Terre 🇺🇸 getting to 55K on twitter fantastic. @Nov2018election Brilliant on twitter who’s better not many…</t>
  </si>
  <si>
    <t>RT @thebradfordfile: Jim Acosta: If you want to know why @realDonaldTrump watches @FoxNews, ask one of the millions of former CNN viewers.…</t>
  </si>
  <si>
    <t>RT @LindaSuhler: If I were a twitter stockholder, I would be mad as hell at how the company is being run.
At some point, there WILL be mas…</t>
  </si>
  <si>
    <t>RT @OBXPatriot: Dems believe  #DACA is “a critical component of the Democratic Party’s future electoral success” - Keeping Democrats from e…</t>
  </si>
  <si>
    <t>@thebradfordfile #SHADOWBAN IS #SHADOWBANNED</t>
  </si>
  <si>
    <t>RT @thebradfordfile: SHADOW BANNED: It's not a secret, just a weapon.
#ShadowBan @JamesOKeefeIII https://t.co/7H14XYaYny</t>
  </si>
  <si>
    <t>RT @jimlibertarian: This has to be one of the sorriest tweets to try to support Planned Butcherhood😡Ally 58+ million babies have been slaug…</t>
  </si>
  <si>
    <t>RT @Hope4Hopeless1: @jimlibertarian For a "mother" to be SO COLD &amp;amp; CALLOUS makes me wonder how many of her other children did she pay PP to…</t>
  </si>
  <si>
    <t>@jimlibertarian For a "mother" to be SO COLD &amp;amp; CALLOUS makes me wonder how many of her other children did she pay PP to murder and be thrown out as garbage waste or SOLD for parts!
#AllLivesMATTER
#AbortionIsMurder</t>
  </si>
  <si>
    <t>RT @JamesOKeefeIII: BREAKING NEW UNDERCOVER VIDEO: Twitter Engineers To "Ban a Way of Talking" Through "Shadow Banning," Algorithms to Cens…</t>
  </si>
  <si>
    <t>RT @thebradfordfile: Robert De Niro: Just an old fool--with a Hollywood-sized ego. https://t.co/7sbfG9KvfK</t>
  </si>
  <si>
    <t>RT @RealJamesWoods: You’re so full of buffalo chips. You want these illegals to stay here and suckle on the welfare teat so you’ll have mor…</t>
  </si>
  <si>
    <t>RT @SykesforSenate: Do you want leaders who operate on fear, or get things done? What does McConnell or GOP have to lose by submitting the…</t>
  </si>
  <si>
    <t>RT @BigLeague2020: @Nov2018election #AngelMoms 
Empty Arms, Empty Hearts
🚫NO DACA 🚫NO AMNESTY 🚫NO CHAIN MIGRATION https://t.co/I2KNSXiSBf</t>
  </si>
  <si>
    <t>RT @Nov2018election: https://t.co/8ku00XZmNt</t>
  </si>
  <si>
    <t>RT @SoCalTrumpTrain: @Nov2018election #KateSteinle 💔 https://t.co/Dzm2LStXzE</t>
  </si>
  <si>
    <t>RT @Nov2018election: Eric had dreames too! He was killed by an illegal immigrant. #NODACA #NOAMNESTY #BUILDTHATWALL #DEPORTTHEMALL https://…</t>
  </si>
  <si>
    <t>RT @bfraser747: Anybody upset with #PresidentTrump over the #DACA talks need to be angry with the real villains. Fake ass rhinos who are fo…</t>
  </si>
  <si>
    <t>@LadyLiberTea @ameripundit @POTUS @VP @Scotus Hmm? Twitter won't let this POWERFUL "deleted" tweet that I'm replying to to be retweeted. https://t.co/yxuORhp3sp</t>
  </si>
  <si>
    <t>RT @lcsmith65: Election Fraud Exposed: Millions Of Dead Voted And Thousands Of Illegals In Critical Swing State https://t.co/QZzsoUQYRI
CA…</t>
  </si>
  <si>
    <t>@MaryPatriotNews @TRPhrophet Absolutely the truth. Everyone should read The County Sheriff; the Hope for America" Note this was written &amp;amp; titled during Obamanation's Admins</t>
  </si>
  <si>
    <t>RT @MaryPatriotNews: #Politics #Congress The Latest: Bundy says sheriff has land authority, not feds https://t.co/adplRUafgC #Trending #New…</t>
  </si>
  <si>
    <t>RT @joel_capizzi: Claire McCaskill has been adamantly opposed to voter ID laws her entire career and says voter fraud is a myth.
A vote fo…</t>
  </si>
  <si>
    <t>RT @Ron_White: I bet the person who decided a coffee maker should sound like a truck backing through my kitchen wasn’t a heavy drinker.</t>
  </si>
  <si>
    <t>RT @alohabrianb: Actual Quote:
"I'd like the opportunity to share some truth to the American tv viewers"
-Stephen Miller
"I'm not going to…</t>
  </si>
  <si>
    <t>RT @Bruce80649809: No Daca build Kate’s wall https://t.co/XF7xCC67af</t>
  </si>
  <si>
    <t>RT @Marple82: I am a 3rd grade teacher in Kansas. I am trying to teach my class about the power of Twitter and how fast information can spr…</t>
  </si>
  <si>
    <t>@Marple82 @LMM1952 From 30 mins south of KC in MO but right on the KS/MO border.</t>
  </si>
  <si>
    <t>RT @SykesforSenate: Thank you Southwest Pachyderm Club for having Chanel and me. We look forward to seeing you again soon. #MOSen #MAGA htt…</t>
  </si>
  <si>
    <t>RT @Nov2018election: @Hope4Hopeless1 @Corp125Vet @SiddonsDan @TeamNavarro2018 @Jillibean557 @RealOmarNavarro @RepMaxineWaters @Monetti4Sena…</t>
  </si>
  <si>
    <t>RT @joel_capizzi: First Danforth, then Mitch, now Bannon. RINO Josh Hawley continues to refuse comment on the issues that matter to MO vote…</t>
  </si>
  <si>
    <t>RT @GmanFan45: Things #RobertDeNiro hates:
💥Lower taxes
💥Destroying ISIS
💥Stock market at all time highs
💥$1,000 bonuses to hundreds of tho…</t>
  </si>
  <si>
    <t>@GmanFan45 @POTUS And most likely males &amp;amp; female of LEGAL age.</t>
  </si>
  <si>
    <t>We WANT a REVOLUTION!!! Woot Woot! https://t.co/1NEWgrP4x6</t>
  </si>
  <si>
    <t>@RuledByLogic You have some very good deep thoughts!</t>
  </si>
  <si>
    <t>RT @Hope4Hopeless1: First Look At Trump's USA and Mexico Border Wall - THE TRUMP TRAIN https://t.co/jgRqf7uCMC</t>
  </si>
  <si>
    <t>@Greggorj That's some great due diligence there. Were you able to find out if this model is being seriously considered?</t>
  </si>
</sst>
</file>

<file path=xl/styles.xml><?xml version="1.0" encoding="utf-8"?>
<styleSheet xmlns="http://schemas.openxmlformats.org/spreadsheetml/2006/main">
  <numFmts count="1">
    <numFmt formatCode="yyyy-mm-dd h:mm:ss" numFmtId="164"/>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3">
    <xf borderId="0" fillId="0" fontId="0" numFmtId="0" pivotButton="0" quotePrefix="0" xfId="0"/>
    <xf applyAlignment="1" borderId="1" fillId="0" fontId="1" numFmtId="0" pivotButton="0" quotePrefix="0" xfId="0">
      <alignment horizontal="center" vertical="top"/>
    </xf>
    <xf borderId="0" fillId="0" fontId="0" numFmtId="164"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M3057"/>
  <sheetViews>
    <sheetView workbookViewId="0">
      <selection activeCell="A1" sqref="A1"/>
    </sheetView>
  </sheetViews>
  <sheetFormatPr baseColWidth="8" defaultRowHeight="15"/>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f>HYPERLINK("http://www.twitter.com/NathanBLawrence/status/998958080162455552", "998958080162455552")</f>
        <v/>
      </c>
      <c r="B2" s="2" t="n">
        <v>43242.67060185185</v>
      </c>
      <c r="C2" t="n">
        <v>0</v>
      </c>
      <c r="D2" t="n">
        <v>87</v>
      </c>
      <c r="E2" t="s">
        <v>13</v>
      </c>
      <c r="F2" t="s"/>
      <c r="G2" t="s"/>
      <c r="H2" t="s"/>
      <c r="I2" t="s"/>
      <c r="J2" t="n">
        <v>0</v>
      </c>
      <c r="K2" t="n">
        <v>0</v>
      </c>
      <c r="L2" t="n">
        <v>1</v>
      </c>
      <c r="M2" t="n">
        <v>0</v>
      </c>
    </row>
    <row r="3" spans="1:13">
      <c r="A3" s="1">
        <f>HYPERLINK("http://www.twitter.com/NathanBLawrence/status/998958052740124672", "998958052740124672")</f>
        <v/>
      </c>
      <c r="B3" s="2" t="n">
        <v>43242.67053240741</v>
      </c>
      <c r="C3" t="n">
        <v>0</v>
      </c>
      <c r="D3" t="n">
        <v>19</v>
      </c>
      <c r="E3" t="s">
        <v>14</v>
      </c>
      <c r="F3">
        <f>HYPERLINK("http://pbs.twimg.com/media/Ddyr5snV4AItvO2.jpg", "http://pbs.twimg.com/media/Ddyr5snV4AItvO2.jpg")</f>
        <v/>
      </c>
      <c r="G3" t="s"/>
      <c r="H3" t="s"/>
      <c r="I3" t="s"/>
      <c r="J3" t="n">
        <v>0.3182</v>
      </c>
      <c r="K3" t="n">
        <v>0</v>
      </c>
      <c r="L3" t="n">
        <v>0.723</v>
      </c>
      <c r="M3" t="n">
        <v>0.277</v>
      </c>
    </row>
    <row r="4" spans="1:13">
      <c r="A4" s="1">
        <f>HYPERLINK("http://www.twitter.com/NathanBLawrence/status/998957965683167233", "998957965683167233")</f>
        <v/>
      </c>
      <c r="B4" s="2" t="n">
        <v>43242.67028935185</v>
      </c>
      <c r="C4" t="n">
        <v>0</v>
      </c>
      <c r="D4" t="n">
        <v>3</v>
      </c>
      <c r="E4" t="s">
        <v>15</v>
      </c>
      <c r="F4" t="s"/>
      <c r="G4" t="s"/>
      <c r="H4" t="s"/>
      <c r="I4" t="s"/>
      <c r="J4" t="n">
        <v>0.3182</v>
      </c>
      <c r="K4" t="n">
        <v>0</v>
      </c>
      <c r="L4" t="n">
        <v>0.881</v>
      </c>
      <c r="M4" t="n">
        <v>0.119</v>
      </c>
    </row>
    <row r="5" spans="1:13">
      <c r="A5" s="1">
        <f>HYPERLINK("http://www.twitter.com/NathanBLawrence/status/998956922190606336", "998956922190606336")</f>
        <v/>
      </c>
      <c r="B5" s="2" t="n">
        <v>43242.66740740741</v>
      </c>
      <c r="C5" t="n">
        <v>0</v>
      </c>
      <c r="D5" t="n">
        <v>24</v>
      </c>
      <c r="E5" t="s">
        <v>16</v>
      </c>
      <c r="F5">
        <f>HYPERLINK("http://pbs.twimg.com/media/Ddvt5QwV4AALMXz.jpg", "http://pbs.twimg.com/media/Ddvt5QwV4AALMXz.jpg")</f>
        <v/>
      </c>
      <c r="G5" t="s"/>
      <c r="H5" t="s"/>
      <c r="I5" t="s"/>
      <c r="J5" t="n">
        <v>0.8588</v>
      </c>
      <c r="K5" t="n">
        <v>0</v>
      </c>
      <c r="L5" t="n">
        <v>0.642</v>
      </c>
      <c r="M5" t="n">
        <v>0.358</v>
      </c>
    </row>
    <row r="6" spans="1:13">
      <c r="A6" s="1">
        <f>HYPERLINK("http://www.twitter.com/NathanBLawrence/status/998956368928395264", "998956368928395264")</f>
        <v/>
      </c>
      <c r="B6" s="2" t="n">
        <v>43242.66587962963</v>
      </c>
      <c r="C6" t="n">
        <v>0</v>
      </c>
      <c r="D6" t="n">
        <v>12</v>
      </c>
      <c r="E6" t="s">
        <v>17</v>
      </c>
      <c r="F6" t="s"/>
      <c r="G6" t="s"/>
      <c r="H6" t="s"/>
      <c r="I6" t="s"/>
      <c r="J6" t="n">
        <v>0.4648</v>
      </c>
      <c r="K6" t="n">
        <v>0</v>
      </c>
      <c r="L6" t="n">
        <v>0.856</v>
      </c>
      <c r="M6" t="n">
        <v>0.144</v>
      </c>
    </row>
    <row r="7" spans="1:13">
      <c r="A7" s="1">
        <f>HYPERLINK("http://www.twitter.com/NathanBLawrence/status/998803393954177024", "998803393954177024")</f>
        <v/>
      </c>
      <c r="B7" s="2" t="n">
        <v>43242.24375</v>
      </c>
      <c r="C7" t="n">
        <v>0</v>
      </c>
      <c r="D7" t="n">
        <v>31</v>
      </c>
      <c r="E7" t="s">
        <v>18</v>
      </c>
      <c r="F7">
        <f>HYPERLINK("http://pbs.twimg.com/media/Ddxf0jRV4AAC94P.jpg", "http://pbs.twimg.com/media/Ddxf0jRV4AAC94P.jpg")</f>
        <v/>
      </c>
      <c r="G7" t="s"/>
      <c r="H7" t="s"/>
      <c r="I7" t="s"/>
      <c r="J7" t="n">
        <v>0</v>
      </c>
      <c r="K7" t="n">
        <v>0</v>
      </c>
      <c r="L7" t="n">
        <v>1</v>
      </c>
      <c r="M7" t="n">
        <v>0</v>
      </c>
    </row>
    <row r="8" spans="1:13">
      <c r="A8" s="1">
        <f>HYPERLINK("http://www.twitter.com/NathanBLawrence/status/998797296807669760", "998797296807669760")</f>
        <v/>
      </c>
      <c r="B8" s="2" t="n">
        <v>43242.22692129629</v>
      </c>
      <c r="C8" t="n">
        <v>0</v>
      </c>
      <c r="D8" t="n">
        <v>51</v>
      </c>
      <c r="E8" t="s">
        <v>19</v>
      </c>
      <c r="F8">
        <f>HYPERLINK("http://pbs.twimg.com/media/Ddlj0fdVAAAqizO.jpg", "http://pbs.twimg.com/media/Ddlj0fdVAAAqizO.jpg")</f>
        <v/>
      </c>
      <c r="G8">
        <f>HYPERLINK("http://pbs.twimg.com/media/Ddlj0fcVQAALgi6.jpg", "http://pbs.twimg.com/media/Ddlj0fcVQAALgi6.jpg")</f>
        <v/>
      </c>
      <c r="H8" t="s"/>
      <c r="I8" t="s"/>
      <c r="J8" t="n">
        <v>0.5067</v>
      </c>
      <c r="K8" t="n">
        <v>0</v>
      </c>
      <c r="L8" t="n">
        <v>0.799</v>
      </c>
      <c r="M8" t="n">
        <v>0.201</v>
      </c>
    </row>
    <row r="9" spans="1:13">
      <c r="A9" s="1">
        <f>HYPERLINK("http://www.twitter.com/NathanBLawrence/status/998781992044056576", "998781992044056576")</f>
        <v/>
      </c>
      <c r="B9" s="2" t="n">
        <v>43242.18469907407</v>
      </c>
      <c r="C9" t="n">
        <v>0</v>
      </c>
      <c r="D9" t="n">
        <v>24</v>
      </c>
      <c r="E9" t="s">
        <v>20</v>
      </c>
      <c r="F9" t="s"/>
      <c r="G9" t="s"/>
      <c r="H9" t="s"/>
      <c r="I9" t="s"/>
      <c r="J9" t="n">
        <v>0.6588000000000001</v>
      </c>
      <c r="K9" t="n">
        <v>0</v>
      </c>
      <c r="L9" t="n">
        <v>0.646</v>
      </c>
      <c r="M9" t="n">
        <v>0.354</v>
      </c>
    </row>
    <row r="10" spans="1:13">
      <c r="A10" s="1">
        <f>HYPERLINK("http://www.twitter.com/NathanBLawrence/status/998781741346246657", "998781741346246657")</f>
        <v/>
      </c>
      <c r="B10" s="2" t="n">
        <v>43242.18400462963</v>
      </c>
      <c r="C10" t="n">
        <v>0</v>
      </c>
      <c r="D10" t="n">
        <v>11064</v>
      </c>
      <c r="E10" t="s">
        <v>21</v>
      </c>
      <c r="F10" t="s"/>
      <c r="G10" t="s"/>
      <c r="H10" t="s"/>
      <c r="I10" t="s"/>
      <c r="J10" t="n">
        <v>0.4158</v>
      </c>
      <c r="K10" t="n">
        <v>0</v>
      </c>
      <c r="L10" t="n">
        <v>0.873</v>
      </c>
      <c r="M10" t="n">
        <v>0.127</v>
      </c>
    </row>
    <row r="11" spans="1:13">
      <c r="A11" s="1">
        <f>HYPERLINK("http://www.twitter.com/NathanBLawrence/status/998780914955177984", "998780914955177984")</f>
        <v/>
      </c>
      <c r="B11" s="2" t="n">
        <v>43242.18172453704</v>
      </c>
      <c r="C11" t="n">
        <v>0</v>
      </c>
      <c r="D11" t="n">
        <v>67</v>
      </c>
      <c r="E11" t="s">
        <v>22</v>
      </c>
      <c r="F11" t="s"/>
      <c r="G11" t="s"/>
      <c r="H11" t="s"/>
      <c r="I11" t="s"/>
      <c r="J11" t="n">
        <v>-0.6418</v>
      </c>
      <c r="K11" t="n">
        <v>0.168</v>
      </c>
      <c r="L11" t="n">
        <v>0.832</v>
      </c>
      <c r="M11" t="n">
        <v>0</v>
      </c>
    </row>
    <row r="12" spans="1:13">
      <c r="A12" s="1">
        <f>HYPERLINK("http://www.twitter.com/NathanBLawrence/status/998780651313811456", "998780651313811456")</f>
        <v/>
      </c>
      <c r="B12" s="2" t="n">
        <v>43242.18099537037</v>
      </c>
      <c r="C12" t="n">
        <v>0</v>
      </c>
      <c r="D12" t="n">
        <v>5</v>
      </c>
      <c r="E12" t="s">
        <v>23</v>
      </c>
      <c r="F12" t="s"/>
      <c r="G12" t="s"/>
      <c r="H12" t="s"/>
      <c r="I12" t="s"/>
      <c r="J12" t="n">
        <v>-0.1027</v>
      </c>
      <c r="K12" t="n">
        <v>0.139</v>
      </c>
      <c r="L12" t="n">
        <v>0.743</v>
      </c>
      <c r="M12" t="n">
        <v>0.119</v>
      </c>
    </row>
    <row r="13" spans="1:13">
      <c r="A13" s="1">
        <f>HYPERLINK("http://www.twitter.com/NathanBLawrence/status/998778190976966656", "998778190976966656")</f>
        <v/>
      </c>
      <c r="B13" s="2" t="n">
        <v>43242.17420138889</v>
      </c>
      <c r="C13" t="n">
        <v>9</v>
      </c>
      <c r="D13" t="n">
        <v>6</v>
      </c>
      <c r="E13" t="s">
        <v>24</v>
      </c>
      <c r="F13">
        <f>HYPERLINK("http://pbs.twimg.com/media/DdxfdiPUQAA7D_T.jpg", "http://pbs.twimg.com/media/DdxfdiPUQAA7D_T.jpg")</f>
        <v/>
      </c>
      <c r="G13" t="s"/>
      <c r="H13" t="s"/>
      <c r="I13" t="s"/>
      <c r="J13" t="n">
        <v>-0.7304</v>
      </c>
      <c r="K13" t="n">
        <v>0.109</v>
      </c>
      <c r="L13" t="n">
        <v>0.855</v>
      </c>
      <c r="M13" t="n">
        <v>0.036</v>
      </c>
    </row>
    <row r="14" spans="1:13">
      <c r="A14" s="1">
        <f>HYPERLINK("http://www.twitter.com/NathanBLawrence/status/998770593079091208", "998770593079091208")</f>
        <v/>
      </c>
      <c r="B14" s="2" t="n">
        <v>43242.15324074074</v>
      </c>
      <c r="C14" t="n">
        <v>0</v>
      </c>
      <c r="D14" t="n">
        <v>2</v>
      </c>
      <c r="E14" t="s">
        <v>25</v>
      </c>
      <c r="F14" t="s"/>
      <c r="G14" t="s"/>
      <c r="H14" t="s"/>
      <c r="I14" t="s"/>
      <c r="J14" t="n">
        <v>0</v>
      </c>
      <c r="K14" t="n">
        <v>0</v>
      </c>
      <c r="L14" t="n">
        <v>1</v>
      </c>
      <c r="M14" t="n">
        <v>0</v>
      </c>
    </row>
    <row r="15" spans="1:13">
      <c r="A15" s="1">
        <f>HYPERLINK("http://www.twitter.com/NathanBLawrence/status/998770092543537152", "998770092543537152")</f>
        <v/>
      </c>
      <c r="B15" s="2" t="n">
        <v>43242.15185185185</v>
      </c>
      <c r="C15" t="n">
        <v>0</v>
      </c>
      <c r="D15" t="n">
        <v>1</v>
      </c>
      <c r="E15" t="s">
        <v>26</v>
      </c>
      <c r="F15">
        <f>HYPERLINK("http://pbs.twimg.com/media/DdxYBDyUQAAKMQT.jpg", "http://pbs.twimg.com/media/DdxYBDyUQAAKMQT.jpg")</f>
        <v/>
      </c>
      <c r="G15" t="s"/>
      <c r="H15" t="s"/>
      <c r="I15" t="s"/>
      <c r="J15" t="n">
        <v>0.25</v>
      </c>
      <c r="K15" t="n">
        <v>0.098</v>
      </c>
      <c r="L15" t="n">
        <v>0.759</v>
      </c>
      <c r="M15" t="n">
        <v>0.143</v>
      </c>
    </row>
    <row r="16" spans="1:13">
      <c r="A16" s="1">
        <f>HYPERLINK("http://www.twitter.com/NathanBLawrence/status/998770029712863232", "998770029712863232")</f>
        <v/>
      </c>
      <c r="B16" s="2" t="n">
        <v>43242.15167824074</v>
      </c>
      <c r="C16" t="n">
        <v>1</v>
      </c>
      <c r="D16" t="n">
        <v>1</v>
      </c>
      <c r="E16" t="s">
        <v>27</v>
      </c>
      <c r="F16">
        <f>HYPERLINK("http://pbs.twimg.com/media/DdxYC-ZU8AAbPBI.jpg", "http://pbs.twimg.com/media/DdxYC-ZU8AAbPBI.jpg")</f>
        <v/>
      </c>
      <c r="G16" t="s"/>
      <c r="H16" t="s"/>
      <c r="I16" t="s"/>
      <c r="J16" t="n">
        <v>0</v>
      </c>
      <c r="K16" t="n">
        <v>0</v>
      </c>
      <c r="L16" t="n">
        <v>1</v>
      </c>
      <c r="M16" t="n">
        <v>0</v>
      </c>
    </row>
    <row r="17" spans="1:13">
      <c r="A17" s="1">
        <f>HYPERLINK("http://www.twitter.com/NathanBLawrence/status/998768395339345921", "998768395339345921")</f>
        <v/>
      </c>
      <c r="B17" s="2" t="n">
        <v>43242.14717592593</v>
      </c>
      <c r="C17" t="n">
        <v>0</v>
      </c>
      <c r="D17" t="n">
        <v>1718</v>
      </c>
      <c r="E17" t="s">
        <v>28</v>
      </c>
      <c r="F17" t="s"/>
      <c r="G17" t="s"/>
      <c r="H17" t="s"/>
      <c r="I17" t="s"/>
      <c r="J17" t="n">
        <v>0</v>
      </c>
      <c r="K17" t="n">
        <v>0</v>
      </c>
      <c r="L17" t="n">
        <v>1</v>
      </c>
      <c r="M17" t="n">
        <v>0</v>
      </c>
    </row>
    <row r="18" spans="1:13">
      <c r="A18" s="1">
        <f>HYPERLINK("http://www.twitter.com/NathanBLawrence/status/998768193920536576", "998768193920536576")</f>
        <v/>
      </c>
      <c r="B18" s="2" t="n">
        <v>43242.14662037037</v>
      </c>
      <c r="C18" t="n">
        <v>0</v>
      </c>
      <c r="D18" t="n">
        <v>1373</v>
      </c>
      <c r="E18" t="s">
        <v>29</v>
      </c>
      <c r="F18" t="s"/>
      <c r="G18" t="s"/>
      <c r="H18" t="s"/>
      <c r="I18" t="s"/>
      <c r="J18" t="n">
        <v>-0.8555</v>
      </c>
      <c r="K18" t="n">
        <v>0.294</v>
      </c>
      <c r="L18" t="n">
        <v>0.621</v>
      </c>
      <c r="M18" t="n">
        <v>0.08500000000000001</v>
      </c>
    </row>
    <row r="19" spans="1:13">
      <c r="A19" s="1">
        <f>HYPERLINK("http://www.twitter.com/NathanBLawrence/status/998767641023131648", "998767641023131648")</f>
        <v/>
      </c>
      <c r="B19" s="2" t="n">
        <v>43242.14509259259</v>
      </c>
      <c r="C19" t="n">
        <v>0</v>
      </c>
      <c r="D19" t="n">
        <v>1860</v>
      </c>
      <c r="E19" t="s">
        <v>30</v>
      </c>
      <c r="F19" t="s"/>
      <c r="G19" t="s"/>
      <c r="H19" t="s"/>
      <c r="I19" t="s"/>
      <c r="J19" t="n">
        <v>-0.5232</v>
      </c>
      <c r="K19" t="n">
        <v>0.221</v>
      </c>
      <c r="L19" t="n">
        <v>0.61</v>
      </c>
      <c r="M19" t="n">
        <v>0.169</v>
      </c>
    </row>
    <row r="20" spans="1:13">
      <c r="A20" s="1">
        <f>HYPERLINK("http://www.twitter.com/NathanBLawrence/status/998763050365792261", "998763050365792261")</f>
        <v/>
      </c>
      <c r="B20" s="2" t="n">
        <v>43242.13241898148</v>
      </c>
      <c r="C20" t="n">
        <v>0</v>
      </c>
      <c r="D20" t="n">
        <v>9</v>
      </c>
      <c r="E20" t="s">
        <v>31</v>
      </c>
      <c r="F20">
        <f>HYPERLINK("http://pbs.twimg.com/media/Ddv9ujTV4AAZFs0.jpg", "http://pbs.twimg.com/media/Ddv9ujTV4AAZFs0.jpg")</f>
        <v/>
      </c>
      <c r="G20" t="s"/>
      <c r="H20" t="s"/>
      <c r="I20" t="s"/>
      <c r="J20" t="n">
        <v>0</v>
      </c>
      <c r="K20" t="n">
        <v>0</v>
      </c>
      <c r="L20" t="n">
        <v>1</v>
      </c>
      <c r="M20" t="n">
        <v>0</v>
      </c>
    </row>
    <row r="21" spans="1:13">
      <c r="A21" s="1">
        <f>HYPERLINK("http://www.twitter.com/NathanBLawrence/status/998763039687151616", "998763039687151616")</f>
        <v/>
      </c>
      <c r="B21" s="2" t="n">
        <v>43242.13239583333</v>
      </c>
      <c r="C21" t="n">
        <v>0</v>
      </c>
      <c r="D21" t="n">
        <v>17</v>
      </c>
      <c r="E21" t="s">
        <v>32</v>
      </c>
      <c r="F21">
        <f>HYPERLINK("http://pbs.twimg.com/media/Ddv-EyJVwAElQ3O.jpg", "http://pbs.twimg.com/media/Ddv-EyJVwAElQ3O.jpg")</f>
        <v/>
      </c>
      <c r="G21" t="s"/>
      <c r="H21" t="s"/>
      <c r="I21" t="s"/>
      <c r="J21" t="n">
        <v>0</v>
      </c>
      <c r="K21" t="n">
        <v>0</v>
      </c>
      <c r="L21" t="n">
        <v>1</v>
      </c>
      <c r="M21" t="n">
        <v>0</v>
      </c>
    </row>
    <row r="22" spans="1:13">
      <c r="A22" s="1">
        <f>HYPERLINK("http://www.twitter.com/NathanBLawrence/status/998763028077309952", "998763028077309952")</f>
        <v/>
      </c>
      <c r="B22" s="2" t="n">
        <v>43242.13236111111</v>
      </c>
      <c r="C22" t="n">
        <v>0</v>
      </c>
      <c r="D22" t="n">
        <v>14</v>
      </c>
      <c r="E22" t="s">
        <v>33</v>
      </c>
      <c r="F22">
        <f>HYPERLINK("http://pbs.twimg.com/media/Ddv-dINU8AATRuf.jpg", "http://pbs.twimg.com/media/Ddv-dINU8AATRuf.jpg")</f>
        <v/>
      </c>
      <c r="G22" t="s"/>
      <c r="H22" t="s"/>
      <c r="I22" t="s"/>
      <c r="J22" t="n">
        <v>0</v>
      </c>
      <c r="K22" t="n">
        <v>0</v>
      </c>
      <c r="L22" t="n">
        <v>1</v>
      </c>
      <c r="M22" t="n">
        <v>0</v>
      </c>
    </row>
    <row r="23" spans="1:13">
      <c r="A23" s="1">
        <f>HYPERLINK("http://www.twitter.com/NathanBLawrence/status/998763009643307008", "998763009643307008")</f>
        <v/>
      </c>
      <c r="B23" s="2" t="n">
        <v>43242.13231481481</v>
      </c>
      <c r="C23" t="n">
        <v>0</v>
      </c>
      <c r="D23" t="n">
        <v>13</v>
      </c>
      <c r="E23" t="s">
        <v>34</v>
      </c>
      <c r="F23">
        <f>HYPERLINK("http://pbs.twimg.com/media/Ddv-sk4UwAAEJro.jpg", "http://pbs.twimg.com/media/Ddv-sk4UwAAEJro.jpg")</f>
        <v/>
      </c>
      <c r="G23" t="s"/>
      <c r="H23" t="s"/>
      <c r="I23" t="s"/>
      <c r="J23" t="n">
        <v>0</v>
      </c>
      <c r="K23" t="n">
        <v>0</v>
      </c>
      <c r="L23" t="n">
        <v>1</v>
      </c>
      <c r="M23" t="n">
        <v>0</v>
      </c>
    </row>
    <row r="24" spans="1:13">
      <c r="A24" s="1">
        <f>HYPERLINK("http://www.twitter.com/NathanBLawrence/status/998762780122599424", "998762780122599424")</f>
        <v/>
      </c>
      <c r="B24" s="2" t="n">
        <v>43242.13167824074</v>
      </c>
      <c r="C24" t="n">
        <v>0</v>
      </c>
      <c r="D24" t="n">
        <v>12</v>
      </c>
      <c r="E24" t="s">
        <v>35</v>
      </c>
      <c r="F24" t="s"/>
      <c r="G24" t="s"/>
      <c r="H24" t="s"/>
      <c r="I24" t="s"/>
      <c r="J24" t="n">
        <v>0</v>
      </c>
      <c r="K24" t="n">
        <v>0</v>
      </c>
      <c r="L24" t="n">
        <v>1</v>
      </c>
      <c r="M24" t="n">
        <v>0</v>
      </c>
    </row>
    <row r="25" spans="1:13">
      <c r="A25" s="1">
        <f>HYPERLINK("http://www.twitter.com/NathanBLawrence/status/998762627806453762", "998762627806453762")</f>
        <v/>
      </c>
      <c r="B25" s="2" t="n">
        <v>43242.13126157408</v>
      </c>
      <c r="C25" t="n">
        <v>0</v>
      </c>
      <c r="D25" t="n">
        <v>77</v>
      </c>
      <c r="E25" t="s">
        <v>36</v>
      </c>
      <c r="F25" t="s"/>
      <c r="G25" t="s"/>
      <c r="H25" t="s"/>
      <c r="I25" t="s"/>
      <c r="J25" t="n">
        <v>0.9555</v>
      </c>
      <c r="K25" t="n">
        <v>0</v>
      </c>
      <c r="L25" t="n">
        <v>0.507</v>
      </c>
      <c r="M25" t="n">
        <v>0.493</v>
      </c>
    </row>
    <row r="26" spans="1:13">
      <c r="A26" s="1">
        <f>HYPERLINK("http://www.twitter.com/NathanBLawrence/status/998762366400593920", "998762366400593920")</f>
        <v/>
      </c>
      <c r="B26" s="2" t="n">
        <v>43242.13053240741</v>
      </c>
      <c r="C26" t="n">
        <v>0</v>
      </c>
      <c r="D26" t="n">
        <v>14</v>
      </c>
      <c r="E26" t="s">
        <v>37</v>
      </c>
      <c r="F26">
        <f>HYPERLINK("http://pbs.twimg.com/media/Ddw-J7AV4AAIUWv.jpg", "http://pbs.twimg.com/media/Ddw-J7AV4AAIUWv.jpg")</f>
        <v/>
      </c>
      <c r="G26" t="s"/>
      <c r="H26" t="s"/>
      <c r="I26" t="s"/>
      <c r="J26" t="n">
        <v>0.2023</v>
      </c>
      <c r="K26" t="n">
        <v>0.078</v>
      </c>
      <c r="L26" t="n">
        <v>0.778</v>
      </c>
      <c r="M26" t="n">
        <v>0.144</v>
      </c>
    </row>
    <row r="27" spans="1:13">
      <c r="A27" s="1">
        <f>HYPERLINK("http://www.twitter.com/NathanBLawrence/status/998762356309184512", "998762356309184512")</f>
        <v/>
      </c>
      <c r="B27" s="2" t="n">
        <v>43242.13050925926</v>
      </c>
      <c r="C27" t="n">
        <v>0</v>
      </c>
      <c r="D27" t="n">
        <v>3</v>
      </c>
      <c r="E27" t="s">
        <v>38</v>
      </c>
      <c r="F27" t="s"/>
      <c r="G27" t="s"/>
      <c r="H27" t="s"/>
      <c r="I27" t="s"/>
      <c r="J27" t="n">
        <v>0</v>
      </c>
      <c r="K27" t="n">
        <v>0</v>
      </c>
      <c r="L27" t="n">
        <v>1</v>
      </c>
      <c r="M27" t="n">
        <v>0</v>
      </c>
    </row>
    <row r="28" spans="1:13">
      <c r="A28" s="1">
        <f>HYPERLINK("http://www.twitter.com/NathanBLawrence/status/998761916393775104", "998761916393775104")</f>
        <v/>
      </c>
      <c r="B28" s="2" t="n">
        <v>43242.12929398148</v>
      </c>
      <c r="C28" t="n">
        <v>0</v>
      </c>
      <c r="D28" t="n">
        <v>3</v>
      </c>
      <c r="E28" t="s">
        <v>39</v>
      </c>
      <c r="F28" t="s"/>
      <c r="G28" t="s"/>
      <c r="H28" t="s"/>
      <c r="I28" t="s"/>
      <c r="J28" t="n">
        <v>-0.743</v>
      </c>
      <c r="K28" t="n">
        <v>0.231</v>
      </c>
      <c r="L28" t="n">
        <v>0.769</v>
      </c>
      <c r="M28" t="n">
        <v>0</v>
      </c>
    </row>
    <row r="29" spans="1:13">
      <c r="A29" s="1">
        <f>HYPERLINK("http://www.twitter.com/NathanBLawrence/status/998761884835893248", "998761884835893248")</f>
        <v/>
      </c>
      <c r="B29" s="2" t="n">
        <v>43242.12921296297</v>
      </c>
      <c r="C29" t="n">
        <v>0</v>
      </c>
      <c r="D29" t="n">
        <v>6</v>
      </c>
      <c r="E29" t="s">
        <v>40</v>
      </c>
      <c r="F29">
        <f>HYPERLINK("http://pbs.twimg.com/media/DdwwY5kV4AA1lr_.jpg", "http://pbs.twimg.com/media/DdwwY5kV4AA1lr_.jpg")</f>
        <v/>
      </c>
      <c r="G29" t="s"/>
      <c r="H29" t="s"/>
      <c r="I29" t="s"/>
      <c r="J29" t="n">
        <v>-0.5411</v>
      </c>
      <c r="K29" t="n">
        <v>0.149</v>
      </c>
      <c r="L29" t="n">
        <v>0.851</v>
      </c>
      <c r="M29" t="n">
        <v>0</v>
      </c>
    </row>
    <row r="30" spans="1:13">
      <c r="A30" s="1">
        <f>HYPERLINK("http://www.twitter.com/NathanBLawrence/status/998758910264860672", "998758910264860672")</f>
        <v/>
      </c>
      <c r="B30" s="2" t="n">
        <v>43242.12099537037</v>
      </c>
      <c r="C30" t="n">
        <v>0</v>
      </c>
      <c r="D30" t="n">
        <v>16</v>
      </c>
      <c r="E30" t="s">
        <v>41</v>
      </c>
      <c r="F30">
        <f>HYPERLINK("http://pbs.twimg.com/media/DdwdF9nU0AApFnE.jpg", "http://pbs.twimg.com/media/DdwdF9nU0AApFnE.jpg")</f>
        <v/>
      </c>
      <c r="G30">
        <f>HYPERLINK("http://pbs.twimg.com/media/DdwdGXtU0AAhSBb.jpg", "http://pbs.twimg.com/media/DdwdGXtU0AAhSBb.jpg")</f>
        <v/>
      </c>
      <c r="H30">
        <f>HYPERLINK("http://pbs.twimg.com/media/DdwdGx1VMAAvUSs.jpg", "http://pbs.twimg.com/media/DdwdGx1VMAAvUSs.jpg")</f>
        <v/>
      </c>
      <c r="I30">
        <f>HYPERLINK("http://pbs.twimg.com/media/DdwdHK7VQAAbDxG.jpg", "http://pbs.twimg.com/media/DdwdHK7VQAAbDxG.jpg")</f>
        <v/>
      </c>
      <c r="J30" t="n">
        <v>-0.3382</v>
      </c>
      <c r="K30" t="n">
        <v>0.117</v>
      </c>
      <c r="L30" t="n">
        <v>0.883</v>
      </c>
      <c r="M30" t="n">
        <v>0</v>
      </c>
    </row>
    <row r="31" spans="1:13">
      <c r="A31" s="1">
        <f>HYPERLINK("http://www.twitter.com/NathanBLawrence/status/998758393069391873", "998758393069391873")</f>
        <v/>
      </c>
      <c r="B31" s="2" t="n">
        <v>43242.11957175926</v>
      </c>
      <c r="C31" t="n">
        <v>0</v>
      </c>
      <c r="D31" t="n">
        <v>4</v>
      </c>
      <c r="E31" t="s">
        <v>42</v>
      </c>
      <c r="F31">
        <f>HYPERLINK("http://pbs.twimg.com/media/DdwZp9yVwAEjwa8.jpg", "http://pbs.twimg.com/media/DdwZp9yVwAEjwa8.jpg")</f>
        <v/>
      </c>
      <c r="G31" t="s"/>
      <c r="H31" t="s"/>
      <c r="I31" t="s"/>
      <c r="J31" t="n">
        <v>0</v>
      </c>
      <c r="K31" t="n">
        <v>0</v>
      </c>
      <c r="L31" t="n">
        <v>1</v>
      </c>
      <c r="M31" t="n">
        <v>0</v>
      </c>
    </row>
    <row r="32" spans="1:13">
      <c r="A32" s="1">
        <f>HYPERLINK("http://www.twitter.com/NathanBLawrence/status/998758264954376193", "998758264954376193")</f>
        <v/>
      </c>
      <c r="B32" s="2" t="n">
        <v>43242.11922453704</v>
      </c>
      <c r="C32" t="n">
        <v>0</v>
      </c>
      <c r="D32" t="n">
        <v>12</v>
      </c>
      <c r="E32" t="s">
        <v>43</v>
      </c>
      <c r="F32">
        <f>HYPERLINK("http://pbs.twimg.com/media/DdwZnLeU8AANM98.jpg", "http://pbs.twimg.com/media/DdwZnLeU8AANM98.jpg")</f>
        <v/>
      </c>
      <c r="G32">
        <f>HYPERLINK("http://pbs.twimg.com/media/DdwZnsQVwAAmC-H.jpg", "http://pbs.twimg.com/media/DdwZnsQVwAAmC-H.jpg")</f>
        <v/>
      </c>
      <c r="H32">
        <f>HYPERLINK("http://pbs.twimg.com/media/DdwZoZ8V0AAHa1j.jpg", "http://pbs.twimg.com/media/DdwZoZ8V0AAHa1j.jpg")</f>
        <v/>
      </c>
      <c r="I32">
        <f>HYPERLINK("http://pbs.twimg.com/media/DdwZpE6V0AA4Aw3.jpg", "http://pbs.twimg.com/media/DdwZpE6V0AA4Aw3.jpg")</f>
        <v/>
      </c>
      <c r="J32" t="n">
        <v>0.08649999999999999</v>
      </c>
      <c r="K32" t="n">
        <v>0.091</v>
      </c>
      <c r="L32" t="n">
        <v>0.806</v>
      </c>
      <c r="M32" t="n">
        <v>0.104</v>
      </c>
    </row>
    <row r="33" spans="1:13">
      <c r="A33" s="1">
        <f>HYPERLINK("http://www.twitter.com/NathanBLawrence/status/998683262036905984", "998683262036905984")</f>
        <v/>
      </c>
      <c r="B33" s="2" t="n">
        <v>43241.91224537037</v>
      </c>
      <c r="C33" t="n">
        <v>0</v>
      </c>
      <c r="D33" t="n">
        <v>38</v>
      </c>
      <c r="E33" t="s">
        <v>44</v>
      </c>
      <c r="F33" t="s"/>
      <c r="G33" t="s"/>
      <c r="H33" t="s"/>
      <c r="I33" t="s"/>
      <c r="J33" t="n">
        <v>0</v>
      </c>
      <c r="K33" t="n">
        <v>0</v>
      </c>
      <c r="L33" t="n">
        <v>1</v>
      </c>
      <c r="M33" t="n">
        <v>0</v>
      </c>
    </row>
    <row r="34" spans="1:13">
      <c r="A34" s="1">
        <f>HYPERLINK("http://www.twitter.com/NathanBLawrence/status/998682103285010432", "998682103285010432")</f>
        <v/>
      </c>
      <c r="B34" s="2" t="n">
        <v>43241.90905092593</v>
      </c>
      <c r="C34" t="n">
        <v>0</v>
      </c>
      <c r="D34" t="n">
        <v>9</v>
      </c>
      <c r="E34" t="s">
        <v>45</v>
      </c>
      <c r="F34" t="s"/>
      <c r="G34" t="s"/>
      <c r="H34" t="s"/>
      <c r="I34" t="s"/>
      <c r="J34" t="n">
        <v>0</v>
      </c>
      <c r="K34" t="n">
        <v>0</v>
      </c>
      <c r="L34" t="n">
        <v>1</v>
      </c>
      <c r="M34" t="n">
        <v>0</v>
      </c>
    </row>
    <row r="35" spans="1:13">
      <c r="A35" s="1">
        <f>HYPERLINK("http://www.twitter.com/NathanBLawrence/status/998611207773982721", "998611207773982721")</f>
        <v/>
      </c>
      <c r="B35" s="2" t="n">
        <v>43241.71341435185</v>
      </c>
      <c r="C35" t="n">
        <v>0</v>
      </c>
      <c r="D35" t="n">
        <v>32</v>
      </c>
      <c r="E35" t="s">
        <v>46</v>
      </c>
      <c r="F35" t="s"/>
      <c r="G35" t="s"/>
      <c r="H35" t="s"/>
      <c r="I35" t="s"/>
      <c r="J35" t="n">
        <v>0.1779</v>
      </c>
      <c r="K35" t="n">
        <v>0.101</v>
      </c>
      <c r="L35" t="n">
        <v>0.769</v>
      </c>
      <c r="M35" t="n">
        <v>0.13</v>
      </c>
    </row>
    <row r="36" spans="1:13">
      <c r="A36" s="1">
        <f>HYPERLINK("http://www.twitter.com/NathanBLawrence/status/998588612764684288", "998588612764684288")</f>
        <v/>
      </c>
      <c r="B36" s="2" t="n">
        <v>43241.65106481482</v>
      </c>
      <c r="C36" t="n">
        <v>0</v>
      </c>
      <c r="D36" t="n">
        <v>46</v>
      </c>
      <c r="E36" t="s">
        <v>47</v>
      </c>
      <c r="F36" t="s"/>
      <c r="G36" t="s"/>
      <c r="H36" t="s"/>
      <c r="I36" t="s"/>
      <c r="J36" t="n">
        <v>-0.7003</v>
      </c>
      <c r="K36" t="n">
        <v>0.244</v>
      </c>
      <c r="L36" t="n">
        <v>0.756</v>
      </c>
      <c r="M36" t="n">
        <v>0</v>
      </c>
    </row>
    <row r="37" spans="1:13">
      <c r="A37" s="1">
        <f>HYPERLINK("http://www.twitter.com/NathanBLawrence/status/998539730424909824", "998539730424909824")</f>
        <v/>
      </c>
      <c r="B37" s="2" t="n">
        <v>43241.51618055555</v>
      </c>
      <c r="C37" t="n">
        <v>0</v>
      </c>
      <c r="D37" t="n">
        <v>3869</v>
      </c>
      <c r="E37" t="s">
        <v>48</v>
      </c>
      <c r="F37" t="s"/>
      <c r="G37" t="s"/>
      <c r="H37" t="s"/>
      <c r="I37" t="s"/>
      <c r="J37" t="n">
        <v>-0.8225</v>
      </c>
      <c r="K37" t="n">
        <v>0.35</v>
      </c>
      <c r="L37" t="n">
        <v>0.65</v>
      </c>
      <c r="M37" t="n">
        <v>0</v>
      </c>
    </row>
    <row r="38" spans="1:13">
      <c r="A38" s="1">
        <f>HYPERLINK("http://www.twitter.com/NathanBLawrence/status/998539425750634496", "998539425750634496")</f>
        <v/>
      </c>
      <c r="B38" s="2" t="n">
        <v>43241.51533564815</v>
      </c>
      <c r="C38" t="n">
        <v>0</v>
      </c>
      <c r="D38" t="n">
        <v>5890</v>
      </c>
      <c r="E38" t="s">
        <v>49</v>
      </c>
      <c r="F38" t="s"/>
      <c r="G38" t="s"/>
      <c r="H38" t="s"/>
      <c r="I38" t="s"/>
      <c r="J38" t="n">
        <v>-0.5423</v>
      </c>
      <c r="K38" t="n">
        <v>0.176</v>
      </c>
      <c r="L38" t="n">
        <v>0.824</v>
      </c>
      <c r="M38" t="n">
        <v>0</v>
      </c>
    </row>
    <row r="39" spans="1:13">
      <c r="A39" s="1">
        <f>HYPERLINK("http://www.twitter.com/NathanBLawrence/status/998538348460421120", "998538348460421120")</f>
        <v/>
      </c>
      <c r="B39" s="2" t="n">
        <v>43241.51236111111</v>
      </c>
      <c r="C39" t="n">
        <v>0</v>
      </c>
      <c r="D39" t="n">
        <v>9723</v>
      </c>
      <c r="E39" t="s">
        <v>50</v>
      </c>
      <c r="F39" t="s"/>
      <c r="G39" t="s"/>
      <c r="H39" t="s"/>
      <c r="I39" t="s"/>
      <c r="J39" t="n">
        <v>0.4019</v>
      </c>
      <c r="K39" t="n">
        <v>0</v>
      </c>
      <c r="L39" t="n">
        <v>0.886</v>
      </c>
      <c r="M39" t="n">
        <v>0.114</v>
      </c>
    </row>
    <row r="40" spans="1:13">
      <c r="A40" s="1">
        <f>HYPERLINK("http://www.twitter.com/NathanBLawrence/status/998538147028963328", "998538147028963328")</f>
        <v/>
      </c>
      <c r="B40" s="2" t="n">
        <v>43241.51180555556</v>
      </c>
      <c r="C40" t="n">
        <v>0</v>
      </c>
      <c r="D40" t="n">
        <v>604</v>
      </c>
      <c r="E40" t="s">
        <v>51</v>
      </c>
      <c r="F40">
        <f>HYPERLINK("http://pbs.twimg.com/media/Ddr02i9V0AAG4Wb.jpg", "http://pbs.twimg.com/media/Ddr02i9V0AAG4Wb.jpg")</f>
        <v/>
      </c>
      <c r="G40" t="s"/>
      <c r="H40" t="s"/>
      <c r="I40" t="s"/>
      <c r="J40" t="n">
        <v>-0.128</v>
      </c>
      <c r="K40" t="n">
        <v>0.218</v>
      </c>
      <c r="L40" t="n">
        <v>0.523</v>
      </c>
      <c r="M40" t="n">
        <v>0.259</v>
      </c>
    </row>
    <row r="41" spans="1:13">
      <c r="A41" s="1">
        <f>HYPERLINK("http://www.twitter.com/NathanBLawrence/status/998538048118894592", "998538048118894592")</f>
        <v/>
      </c>
      <c r="B41" s="2" t="n">
        <v>43241.51153935185</v>
      </c>
      <c r="C41" t="n">
        <v>0</v>
      </c>
      <c r="D41" t="n">
        <v>31164</v>
      </c>
      <c r="E41" t="s">
        <v>52</v>
      </c>
      <c r="F41" t="s"/>
      <c r="G41" t="s"/>
      <c r="H41" t="s"/>
      <c r="I41" t="s"/>
      <c r="J41" t="n">
        <v>-0.8979</v>
      </c>
      <c r="K41" t="n">
        <v>0.412</v>
      </c>
      <c r="L41" t="n">
        <v>0.588</v>
      </c>
      <c r="M41" t="n">
        <v>0</v>
      </c>
    </row>
    <row r="42" spans="1:13">
      <c r="A42" s="1">
        <f>HYPERLINK("http://www.twitter.com/NathanBLawrence/status/998536826704089088", "998536826704089088")</f>
        <v/>
      </c>
      <c r="B42" s="2" t="n">
        <v>43241.50817129629</v>
      </c>
      <c r="C42" t="n">
        <v>0</v>
      </c>
      <c r="D42" t="n">
        <v>3664</v>
      </c>
      <c r="E42" t="s">
        <v>53</v>
      </c>
      <c r="F42" t="s"/>
      <c r="G42" t="s"/>
      <c r="H42" t="s"/>
      <c r="I42" t="s"/>
      <c r="J42" t="n">
        <v>0.4404</v>
      </c>
      <c r="K42" t="n">
        <v>0</v>
      </c>
      <c r="L42" t="n">
        <v>0.888</v>
      </c>
      <c r="M42" t="n">
        <v>0.112</v>
      </c>
    </row>
    <row r="43" spans="1:13">
      <c r="A43" s="1">
        <f>HYPERLINK("http://www.twitter.com/NathanBLawrence/status/998536634474909696", "998536634474909696")</f>
        <v/>
      </c>
      <c r="B43" s="2" t="n">
        <v>43241.50763888889</v>
      </c>
      <c r="C43" t="n">
        <v>0</v>
      </c>
      <c r="D43" t="n">
        <v>5818</v>
      </c>
      <c r="E43" t="s">
        <v>54</v>
      </c>
      <c r="F43" t="s"/>
      <c r="G43" t="s"/>
      <c r="H43" t="s"/>
      <c r="I43" t="s"/>
      <c r="J43" t="n">
        <v>-0.296</v>
      </c>
      <c r="K43" t="n">
        <v>0.136</v>
      </c>
      <c r="L43" t="n">
        <v>0.769</v>
      </c>
      <c r="M43" t="n">
        <v>0.094</v>
      </c>
    </row>
    <row r="44" spans="1:13">
      <c r="A44" s="1">
        <f>HYPERLINK("http://www.twitter.com/NathanBLawrence/status/998535359020654594", "998535359020654594")</f>
        <v/>
      </c>
      <c r="B44" s="2" t="n">
        <v>43241.50412037037</v>
      </c>
      <c r="C44" t="n">
        <v>0</v>
      </c>
      <c r="D44" t="n">
        <v>102</v>
      </c>
      <c r="E44" t="s">
        <v>55</v>
      </c>
      <c r="F44" t="s"/>
      <c r="G44" t="s"/>
      <c r="H44" t="s"/>
      <c r="I44" t="s"/>
      <c r="J44" t="n">
        <v>-0.3612</v>
      </c>
      <c r="K44" t="n">
        <v>0.249</v>
      </c>
      <c r="L44" t="n">
        <v>0.5620000000000001</v>
      </c>
      <c r="M44" t="n">
        <v>0.189</v>
      </c>
    </row>
    <row r="45" spans="1:13">
      <c r="A45" s="1">
        <f>HYPERLINK("http://www.twitter.com/NathanBLawrence/status/998534751433756672", "998534751433756672")</f>
        <v/>
      </c>
      <c r="B45" s="2" t="n">
        <v>43241.50244212963</v>
      </c>
      <c r="C45" t="n">
        <v>0</v>
      </c>
      <c r="D45" t="n">
        <v>24</v>
      </c>
      <c r="E45" t="s">
        <v>56</v>
      </c>
      <c r="F45">
        <f>HYPERLINK("http://pbs.twimg.com/media/Ddtx48ZVAAA0rLc.jpg", "http://pbs.twimg.com/media/Ddtx48ZVAAA0rLc.jpg")</f>
        <v/>
      </c>
      <c r="G45" t="s"/>
      <c r="H45" t="s"/>
      <c r="I45" t="s"/>
      <c r="J45" t="n">
        <v>-0.2387</v>
      </c>
      <c r="K45" t="n">
        <v>0.176</v>
      </c>
      <c r="L45" t="n">
        <v>0.6889999999999999</v>
      </c>
      <c r="M45" t="n">
        <v>0.135</v>
      </c>
    </row>
    <row r="46" spans="1:13">
      <c r="A46" s="1">
        <f>HYPERLINK("http://www.twitter.com/NathanBLawrence/status/998489327679234048", "998489327679234048")</f>
        <v/>
      </c>
      <c r="B46" s="2" t="n">
        <v>43241.37709490741</v>
      </c>
      <c r="C46" t="n">
        <v>0</v>
      </c>
      <c r="D46" t="n">
        <v>196</v>
      </c>
      <c r="E46" t="s">
        <v>57</v>
      </c>
      <c r="F46">
        <f>HYPERLINK("http://pbs.twimg.com/media/DdqCIOpVMAE4bp_.jpg", "http://pbs.twimg.com/media/DdqCIOpVMAE4bp_.jpg")</f>
        <v/>
      </c>
      <c r="G46" t="s"/>
      <c r="H46" t="s"/>
      <c r="I46" t="s"/>
      <c r="J46" t="n">
        <v>0</v>
      </c>
      <c r="K46" t="n">
        <v>0</v>
      </c>
      <c r="L46" t="n">
        <v>1</v>
      </c>
      <c r="M46" t="n">
        <v>0</v>
      </c>
    </row>
    <row r="47" spans="1:13">
      <c r="A47" s="1">
        <f>HYPERLINK("http://www.twitter.com/NathanBLawrence/status/998445031538216960", "998445031538216960")</f>
        <v/>
      </c>
      <c r="B47" s="2" t="n">
        <v>43241.25486111111</v>
      </c>
      <c r="C47" t="n">
        <v>0</v>
      </c>
      <c r="D47" t="n">
        <v>3</v>
      </c>
      <c r="E47" t="s">
        <v>58</v>
      </c>
      <c r="F47" t="s"/>
      <c r="G47" t="s"/>
      <c r="H47" t="s"/>
      <c r="I47" t="s"/>
      <c r="J47" t="n">
        <v>0</v>
      </c>
      <c r="K47" t="n">
        <v>0</v>
      </c>
      <c r="L47" t="n">
        <v>1</v>
      </c>
      <c r="M47" t="n">
        <v>0</v>
      </c>
    </row>
    <row r="48" spans="1:13">
      <c r="A48" s="1">
        <f>HYPERLINK("http://www.twitter.com/NathanBLawrence/status/998444656865181696", "998444656865181696")</f>
        <v/>
      </c>
      <c r="B48" s="2" t="n">
        <v>43241.25383101852</v>
      </c>
      <c r="C48" t="n">
        <v>0</v>
      </c>
      <c r="D48" t="n">
        <v>3</v>
      </c>
      <c r="E48" t="s">
        <v>58</v>
      </c>
      <c r="F48" t="s"/>
      <c r="G48" t="s"/>
      <c r="H48" t="s"/>
      <c r="I48" t="s"/>
      <c r="J48" t="n">
        <v>0</v>
      </c>
      <c r="K48" t="n">
        <v>0</v>
      </c>
      <c r="L48" t="n">
        <v>1</v>
      </c>
      <c r="M48" t="n">
        <v>0</v>
      </c>
    </row>
    <row r="49" spans="1:13">
      <c r="A49" s="1">
        <f>HYPERLINK("http://www.twitter.com/NathanBLawrence/status/998440584439312384", "998440584439312384")</f>
        <v/>
      </c>
      <c r="B49" s="2" t="n">
        <v>43241.24259259259</v>
      </c>
      <c r="C49" t="n">
        <v>22</v>
      </c>
      <c r="D49" t="n">
        <v>18</v>
      </c>
      <c r="E49" t="s">
        <v>59</v>
      </c>
      <c r="F49" t="s"/>
      <c r="G49" t="s"/>
      <c r="H49" t="s"/>
      <c r="I49" t="s"/>
      <c r="J49" t="n">
        <v>0.9162</v>
      </c>
      <c r="K49" t="n">
        <v>0</v>
      </c>
      <c r="L49" t="n">
        <v>0.707</v>
      </c>
      <c r="M49" t="n">
        <v>0.293</v>
      </c>
    </row>
    <row r="50" spans="1:13">
      <c r="A50" s="1">
        <f>HYPERLINK("http://www.twitter.com/NathanBLawrence/status/998433255450955777", "998433255450955777")</f>
        <v/>
      </c>
      <c r="B50" s="2" t="n">
        <v>43241.22236111111</v>
      </c>
      <c r="C50" t="n">
        <v>0</v>
      </c>
      <c r="D50" t="n">
        <v>2121</v>
      </c>
      <c r="E50" t="s">
        <v>60</v>
      </c>
      <c r="F50">
        <f>HYPERLINK("https://video.twimg.com/ext_tw_video/920759824236736512/pu/vid/1280x720/9VlNCxTXId4W1Sl9.mp4", "https://video.twimg.com/ext_tw_video/920759824236736512/pu/vid/1280x720/9VlNCxTXId4W1Sl9.mp4")</f>
        <v/>
      </c>
      <c r="G50" t="s"/>
      <c r="H50" t="s"/>
      <c r="I50" t="s"/>
      <c r="J50" t="n">
        <v>-0.835</v>
      </c>
      <c r="K50" t="n">
        <v>0.397</v>
      </c>
      <c r="L50" t="n">
        <v>0.603</v>
      </c>
      <c r="M50" t="n">
        <v>0</v>
      </c>
    </row>
    <row r="51" spans="1:13">
      <c r="A51" s="1">
        <f>HYPERLINK("http://www.twitter.com/NathanBLawrence/status/998430488758022144", "998430488758022144")</f>
        <v/>
      </c>
      <c r="B51" s="2" t="n">
        <v>43241.2147337963</v>
      </c>
      <c r="C51" t="n">
        <v>9</v>
      </c>
      <c r="D51" t="n">
        <v>9</v>
      </c>
      <c r="E51" t="s">
        <v>61</v>
      </c>
      <c r="F51" t="s"/>
      <c r="G51" t="s"/>
      <c r="H51" t="s"/>
      <c r="I51" t="s"/>
      <c r="J51" t="n">
        <v>-0.7004</v>
      </c>
      <c r="K51" t="n">
        <v>0.181</v>
      </c>
      <c r="L51" t="n">
        <v>0.755</v>
      </c>
      <c r="M51" t="n">
        <v>0.064</v>
      </c>
    </row>
    <row r="52" spans="1:13">
      <c r="A52" s="1">
        <f>HYPERLINK("http://www.twitter.com/NathanBLawrence/status/998236258651471874", "998236258651471874")</f>
        <v/>
      </c>
      <c r="B52" s="2" t="n">
        <v>43240.67876157408</v>
      </c>
      <c r="C52" t="n">
        <v>0</v>
      </c>
      <c r="D52" t="n">
        <v>194</v>
      </c>
      <c r="E52" t="s">
        <v>62</v>
      </c>
      <c r="F52" t="s"/>
      <c r="G52" t="s"/>
      <c r="H52" t="s"/>
      <c r="I52" t="s"/>
      <c r="J52" t="n">
        <v>0.2732</v>
      </c>
      <c r="K52" t="n">
        <v>0.054</v>
      </c>
      <c r="L52" t="n">
        <v>0.849</v>
      </c>
      <c r="M52" t="n">
        <v>0.097</v>
      </c>
    </row>
    <row r="53" spans="1:13">
      <c r="A53" s="1">
        <f>HYPERLINK("http://www.twitter.com/NathanBLawrence/status/998235543283609601", "998235543283609601")</f>
        <v/>
      </c>
      <c r="B53" s="2" t="n">
        <v>43240.6767824074</v>
      </c>
      <c r="C53" t="n">
        <v>0</v>
      </c>
      <c r="D53" t="n">
        <v>53</v>
      </c>
      <c r="E53" t="s">
        <v>63</v>
      </c>
      <c r="F53">
        <f>HYPERLINK("http://pbs.twimg.com/media/Ddn9hpuU8AAxfv9.jpg", "http://pbs.twimg.com/media/Ddn9hpuU8AAxfv9.jpg")</f>
        <v/>
      </c>
      <c r="G53" t="s"/>
      <c r="H53" t="s"/>
      <c r="I53" t="s"/>
      <c r="J53" t="n">
        <v>0</v>
      </c>
      <c r="K53" t="n">
        <v>0</v>
      </c>
      <c r="L53" t="n">
        <v>1</v>
      </c>
      <c r="M53" t="n">
        <v>0</v>
      </c>
    </row>
    <row r="54" spans="1:13">
      <c r="A54" s="1">
        <f>HYPERLINK("http://www.twitter.com/NathanBLawrence/status/998233465370882048", "998233465370882048")</f>
        <v/>
      </c>
      <c r="B54" s="2" t="n">
        <v>43240.67105324074</v>
      </c>
      <c r="C54" t="n">
        <v>0</v>
      </c>
      <c r="D54" t="n">
        <v>91</v>
      </c>
      <c r="E54" t="s">
        <v>64</v>
      </c>
      <c r="F54">
        <f>HYPERLINK("http://pbs.twimg.com/media/DdoZTDbVwAA8SfF.jpg", "http://pbs.twimg.com/media/DdoZTDbVwAA8SfF.jpg")</f>
        <v/>
      </c>
      <c r="G54" t="s"/>
      <c r="H54" t="s"/>
      <c r="I54" t="s"/>
      <c r="J54" t="n">
        <v>-0.8777</v>
      </c>
      <c r="K54" t="n">
        <v>0.308</v>
      </c>
      <c r="L54" t="n">
        <v>0.653</v>
      </c>
      <c r="M54" t="n">
        <v>0.039</v>
      </c>
    </row>
    <row r="55" spans="1:13">
      <c r="A55" s="1">
        <f>HYPERLINK("http://www.twitter.com/NathanBLawrence/status/998233005637488642", "998233005637488642")</f>
        <v/>
      </c>
      <c r="B55" s="2" t="n">
        <v>43240.66978009259</v>
      </c>
      <c r="C55" t="n">
        <v>0</v>
      </c>
      <c r="D55" t="n">
        <v>276</v>
      </c>
      <c r="E55" t="s">
        <v>65</v>
      </c>
      <c r="F55">
        <f>HYPERLINK("https://video.twimg.com/ext_tw_video/998001130121543680/pu/vid/1280x720/VIevHEpMGR1YULDS.mp4?tag=3", "https://video.twimg.com/ext_tw_video/998001130121543680/pu/vid/1280x720/VIevHEpMGR1YULDS.mp4?tag=3")</f>
        <v/>
      </c>
      <c r="G55" t="s"/>
      <c r="H55" t="s"/>
      <c r="I55" t="s"/>
      <c r="J55" t="n">
        <v>0</v>
      </c>
      <c r="K55" t="n">
        <v>0</v>
      </c>
      <c r="L55" t="n">
        <v>1</v>
      </c>
      <c r="M55" t="n">
        <v>0</v>
      </c>
    </row>
    <row r="56" spans="1:13">
      <c r="A56" s="1">
        <f>HYPERLINK("http://www.twitter.com/NathanBLawrence/status/998232657656983552", "998232657656983552")</f>
        <v/>
      </c>
      <c r="B56" s="2" t="n">
        <v>43240.66881944444</v>
      </c>
      <c r="C56" t="n">
        <v>0</v>
      </c>
      <c r="D56" t="n">
        <v>256</v>
      </c>
      <c r="E56" t="s">
        <v>66</v>
      </c>
      <c r="F56">
        <f>HYPERLINK("http://pbs.twimg.com/media/DdmVu6YVQAAaeQS.jpg", "http://pbs.twimg.com/media/DdmVu6YVQAAaeQS.jpg")</f>
        <v/>
      </c>
      <c r="G56">
        <f>HYPERLINK("http://pbs.twimg.com/media/DdmVwC4V4AAZfAu.jpg", "http://pbs.twimg.com/media/DdmVwC4V4AAZfAu.jpg")</f>
        <v/>
      </c>
      <c r="H56" t="s"/>
      <c r="I56" t="s"/>
      <c r="J56" t="n">
        <v>0</v>
      </c>
      <c r="K56" t="n">
        <v>0</v>
      </c>
      <c r="L56" t="n">
        <v>1</v>
      </c>
      <c r="M56" t="n">
        <v>0</v>
      </c>
    </row>
    <row r="57" spans="1:13">
      <c r="A57" s="1">
        <f>HYPERLINK("http://www.twitter.com/NathanBLawrence/status/998231424720306176", "998231424720306176")</f>
        <v/>
      </c>
      <c r="B57" s="2" t="n">
        <v>43240.66541666666</v>
      </c>
      <c r="C57" t="n">
        <v>0</v>
      </c>
      <c r="D57" t="n">
        <v>10</v>
      </c>
      <c r="E57" t="s">
        <v>67</v>
      </c>
      <c r="F57">
        <f>HYPERLINK("http://pbs.twimg.com/media/DdptqP7VMAAcr-H.jpg", "http://pbs.twimg.com/media/DdptqP7VMAAcr-H.jpg")</f>
        <v/>
      </c>
      <c r="G57">
        <f>HYPERLINK("http://pbs.twimg.com/media/DdptqP7VwAAEjTy.jpg", "http://pbs.twimg.com/media/DdptqP7VwAAEjTy.jpg")</f>
        <v/>
      </c>
      <c r="H57" t="s"/>
      <c r="I57" t="s"/>
      <c r="J57" t="n">
        <v>-0.4648</v>
      </c>
      <c r="K57" t="n">
        <v>0.117</v>
      </c>
      <c r="L57" t="n">
        <v>0.827</v>
      </c>
      <c r="M57" t="n">
        <v>0.055</v>
      </c>
    </row>
    <row r="58" spans="1:13">
      <c r="A58" s="1">
        <f>HYPERLINK("http://www.twitter.com/NathanBLawrence/status/998230973606170625", "998230973606170625")</f>
        <v/>
      </c>
      <c r="B58" s="2" t="n">
        <v>43240.66416666667</v>
      </c>
      <c r="C58" t="n">
        <v>0</v>
      </c>
      <c r="D58" t="n">
        <v>5</v>
      </c>
      <c r="E58" t="s">
        <v>68</v>
      </c>
      <c r="F58" t="s"/>
      <c r="G58" t="s"/>
      <c r="H58" t="s"/>
      <c r="I58" t="s"/>
      <c r="J58" t="n">
        <v>0.5266999999999999</v>
      </c>
      <c r="K58" t="n">
        <v>0</v>
      </c>
      <c r="L58" t="n">
        <v>0.764</v>
      </c>
      <c r="M58" t="n">
        <v>0.236</v>
      </c>
    </row>
    <row r="59" spans="1:13">
      <c r="A59" s="1">
        <f>HYPERLINK("http://www.twitter.com/NathanBLawrence/status/998229767504715776", "998229767504715776")</f>
        <v/>
      </c>
      <c r="B59" s="2" t="n">
        <v>43240.6608449074</v>
      </c>
      <c r="C59" t="n">
        <v>0</v>
      </c>
      <c r="D59" t="n">
        <v>35766</v>
      </c>
      <c r="E59" t="s">
        <v>69</v>
      </c>
      <c r="F59" t="s"/>
      <c r="G59" t="s"/>
      <c r="H59" t="s"/>
      <c r="I59" t="s"/>
      <c r="J59" t="n">
        <v>0.4588</v>
      </c>
      <c r="K59" t="n">
        <v>0</v>
      </c>
      <c r="L59" t="n">
        <v>0.88</v>
      </c>
      <c r="M59" t="n">
        <v>0.12</v>
      </c>
    </row>
    <row r="60" spans="1:13">
      <c r="A60" s="1">
        <f>HYPERLINK("http://www.twitter.com/NathanBLawrence/status/998228779511308290", "998228779511308290")</f>
        <v/>
      </c>
      <c r="B60" s="2" t="n">
        <v>43240.65811342592</v>
      </c>
      <c r="C60" t="n">
        <v>0</v>
      </c>
      <c r="D60" t="n">
        <v>455</v>
      </c>
      <c r="E60" t="s">
        <v>70</v>
      </c>
      <c r="F60" t="s"/>
      <c r="G60" t="s"/>
      <c r="H60" t="s"/>
      <c r="I60" t="s"/>
      <c r="J60" t="n">
        <v>0</v>
      </c>
      <c r="K60" t="n">
        <v>0</v>
      </c>
      <c r="L60" t="n">
        <v>1</v>
      </c>
      <c r="M60" t="n">
        <v>0</v>
      </c>
    </row>
    <row r="61" spans="1:13">
      <c r="A61" s="1">
        <f>HYPERLINK("http://www.twitter.com/NathanBLawrence/status/998228623051165697", "998228623051165697")</f>
        <v/>
      </c>
      <c r="B61" s="2" t="n">
        <v>43240.65768518519</v>
      </c>
      <c r="C61" t="n">
        <v>0</v>
      </c>
      <c r="D61" t="n">
        <v>420</v>
      </c>
      <c r="E61" t="s">
        <v>71</v>
      </c>
      <c r="F61" t="s"/>
      <c r="G61" t="s"/>
      <c r="H61" t="s"/>
      <c r="I61" t="s"/>
      <c r="J61" t="n">
        <v>0</v>
      </c>
      <c r="K61" t="n">
        <v>0</v>
      </c>
      <c r="L61" t="n">
        <v>1</v>
      </c>
      <c r="M61" t="n">
        <v>0</v>
      </c>
    </row>
    <row r="62" spans="1:13">
      <c r="A62" s="1">
        <f>HYPERLINK("http://www.twitter.com/NathanBLawrence/status/998227326017200128", "998227326017200128")</f>
        <v/>
      </c>
      <c r="B62" s="2" t="n">
        <v>43240.6541087963</v>
      </c>
      <c r="C62" t="n">
        <v>0</v>
      </c>
      <c r="D62" t="n">
        <v>5</v>
      </c>
      <c r="E62" t="s">
        <v>72</v>
      </c>
      <c r="F62">
        <f>HYPERLINK("http://pbs.twimg.com/media/DdmGMz_VQAAZab-.jpg", "http://pbs.twimg.com/media/DdmGMz_VQAAZab-.jpg")</f>
        <v/>
      </c>
      <c r="G62" t="s"/>
      <c r="H62" t="s"/>
      <c r="I62" t="s"/>
      <c r="J62" t="n">
        <v>0.4215</v>
      </c>
      <c r="K62" t="n">
        <v>0</v>
      </c>
      <c r="L62" t="n">
        <v>0.882</v>
      </c>
      <c r="M62" t="n">
        <v>0.118</v>
      </c>
    </row>
    <row r="63" spans="1:13">
      <c r="A63" s="1">
        <f>HYPERLINK("http://www.twitter.com/NathanBLawrence/status/998224927105998849", "998224927105998849")</f>
        <v/>
      </c>
      <c r="B63" s="2" t="n">
        <v>43240.64748842592</v>
      </c>
      <c r="C63" t="n">
        <v>0</v>
      </c>
      <c r="D63" t="n">
        <v>1</v>
      </c>
      <c r="E63" t="s">
        <v>73</v>
      </c>
      <c r="F63" t="s"/>
      <c r="G63" t="s"/>
      <c r="H63" t="s"/>
      <c r="I63" t="s"/>
      <c r="J63" t="n">
        <v>0</v>
      </c>
      <c r="K63" t="n">
        <v>0</v>
      </c>
      <c r="L63" t="n">
        <v>1</v>
      </c>
      <c r="M63" t="n">
        <v>0</v>
      </c>
    </row>
    <row r="64" spans="1:13">
      <c r="A64" s="1">
        <f>HYPERLINK("http://www.twitter.com/NathanBLawrence/status/998224673077911553", "998224673077911553")</f>
        <v/>
      </c>
      <c r="B64" s="2" t="n">
        <v>43240.64678240741</v>
      </c>
      <c r="C64" t="n">
        <v>0</v>
      </c>
      <c r="D64" t="n">
        <v>19</v>
      </c>
      <c r="E64" t="s">
        <v>74</v>
      </c>
      <c r="F64">
        <f>HYPERLINK("http://pbs.twimg.com/media/DdniBPyU0AA8CeE.jpg", "http://pbs.twimg.com/media/DdniBPyU0AA8CeE.jpg")</f>
        <v/>
      </c>
      <c r="G64" t="s"/>
      <c r="H64" t="s"/>
      <c r="I64" t="s"/>
      <c r="J64" t="n">
        <v>0</v>
      </c>
      <c r="K64" t="n">
        <v>0</v>
      </c>
      <c r="L64" t="n">
        <v>1</v>
      </c>
      <c r="M64" t="n">
        <v>0</v>
      </c>
    </row>
    <row r="65" spans="1:13">
      <c r="A65" s="1">
        <f>HYPERLINK("http://www.twitter.com/NathanBLawrence/status/998220279703842817", "998220279703842817")</f>
        <v/>
      </c>
      <c r="B65" s="2" t="n">
        <v>43240.63466435186</v>
      </c>
      <c r="C65" t="n">
        <v>0</v>
      </c>
      <c r="D65" t="n">
        <v>1</v>
      </c>
      <c r="E65" t="s">
        <v>75</v>
      </c>
      <c r="F65" t="s"/>
      <c r="G65" t="s"/>
      <c r="H65" t="s"/>
      <c r="I65" t="s"/>
      <c r="J65" t="n">
        <v>0</v>
      </c>
      <c r="K65" t="n">
        <v>0</v>
      </c>
      <c r="L65" t="n">
        <v>1</v>
      </c>
      <c r="M65" t="n">
        <v>0</v>
      </c>
    </row>
    <row r="66" spans="1:13">
      <c r="A66" s="1">
        <f>HYPERLINK("http://www.twitter.com/NathanBLawrence/status/998220183822053376", "998220183822053376")</f>
        <v/>
      </c>
      <c r="B66" s="2" t="n">
        <v>43240.63439814815</v>
      </c>
      <c r="C66" t="n">
        <v>0</v>
      </c>
      <c r="D66" t="n">
        <v>7</v>
      </c>
      <c r="E66" t="s">
        <v>76</v>
      </c>
      <c r="F66" t="s"/>
      <c r="G66" t="s"/>
      <c r="H66" t="s"/>
      <c r="I66" t="s"/>
      <c r="J66" t="n">
        <v>0.3182</v>
      </c>
      <c r="K66" t="n">
        <v>0</v>
      </c>
      <c r="L66" t="n">
        <v>0.909</v>
      </c>
      <c r="M66" t="n">
        <v>0.091</v>
      </c>
    </row>
    <row r="67" spans="1:13">
      <c r="A67" s="1">
        <f>HYPERLINK("http://www.twitter.com/NathanBLawrence/status/998220162871504896", "998220162871504896")</f>
        <v/>
      </c>
      <c r="B67" s="2" t="n">
        <v>43240.63434027778</v>
      </c>
      <c r="C67" t="n">
        <v>0</v>
      </c>
      <c r="D67" t="n">
        <v>3</v>
      </c>
      <c r="E67" t="s">
        <v>77</v>
      </c>
      <c r="F67">
        <f>HYPERLINK("http://pbs.twimg.com/media/DdiZO4LU0AEHJSY.jpg", "http://pbs.twimg.com/media/DdiZO4LU0AEHJSY.jpg")</f>
        <v/>
      </c>
      <c r="G67" t="s"/>
      <c r="H67" t="s"/>
      <c r="I67" t="s"/>
      <c r="J67" t="n">
        <v>0.6705</v>
      </c>
      <c r="K67" t="n">
        <v>0.062</v>
      </c>
      <c r="L67" t="n">
        <v>0.742</v>
      </c>
      <c r="M67" t="n">
        <v>0.196</v>
      </c>
    </row>
    <row r="68" spans="1:13">
      <c r="A68" s="1">
        <f>HYPERLINK("http://www.twitter.com/NathanBLawrence/status/998219730442964993", "998219730442964993")</f>
        <v/>
      </c>
      <c r="B68" s="2" t="n">
        <v>43240.63314814815</v>
      </c>
      <c r="C68" t="n">
        <v>0</v>
      </c>
      <c r="D68" t="n">
        <v>2992</v>
      </c>
      <c r="E68" t="s">
        <v>78</v>
      </c>
      <c r="F68" t="s"/>
      <c r="G68" t="s"/>
      <c r="H68" t="s"/>
      <c r="I68" t="s"/>
      <c r="J68" t="n">
        <v>-0.1531</v>
      </c>
      <c r="K68" t="n">
        <v>0.127</v>
      </c>
      <c r="L68" t="n">
        <v>0.769</v>
      </c>
      <c r="M68" t="n">
        <v>0.104</v>
      </c>
    </row>
    <row r="69" spans="1:13">
      <c r="A69" s="1">
        <f>HYPERLINK("http://www.twitter.com/NathanBLawrence/status/998219491195617280", "998219491195617280")</f>
        <v/>
      </c>
      <c r="B69" s="2" t="n">
        <v>43240.63248842592</v>
      </c>
      <c r="C69" t="n">
        <v>0</v>
      </c>
      <c r="D69" t="n">
        <v>10</v>
      </c>
      <c r="E69" t="s">
        <v>79</v>
      </c>
      <c r="F69">
        <f>HYPERLINK("http://pbs.twimg.com/media/DdpZyzYVwAcEj9Y.jpg", "http://pbs.twimg.com/media/DdpZyzYVwAcEj9Y.jpg")</f>
        <v/>
      </c>
      <c r="G69" t="s"/>
      <c r="H69" t="s"/>
      <c r="I69" t="s"/>
      <c r="J69" t="n">
        <v>0</v>
      </c>
      <c r="K69" t="n">
        <v>0</v>
      </c>
      <c r="L69" t="n">
        <v>1</v>
      </c>
      <c r="M69" t="n">
        <v>0</v>
      </c>
    </row>
    <row r="70" spans="1:13">
      <c r="A70" s="1">
        <f>HYPERLINK("http://www.twitter.com/NathanBLawrence/status/998213481756348416", "998213481756348416")</f>
        <v/>
      </c>
      <c r="B70" s="2" t="n">
        <v>43240.61590277778</v>
      </c>
      <c r="C70" t="n">
        <v>0</v>
      </c>
      <c r="D70" t="n">
        <v>222</v>
      </c>
      <c r="E70" t="s">
        <v>80</v>
      </c>
      <c r="F70">
        <f>HYPERLINK("https://video.twimg.com/amplify_video/998002948050472961/vid/1280x720/0QK9ORcpaLv9aPne.mp4?tag=2", "https://video.twimg.com/amplify_video/998002948050472961/vid/1280x720/0QK9ORcpaLv9aPne.mp4?tag=2")</f>
        <v/>
      </c>
      <c r="G70" t="s"/>
      <c r="H70" t="s"/>
      <c r="I70" t="s"/>
      <c r="J70" t="n">
        <v>0.8070000000000001</v>
      </c>
      <c r="K70" t="n">
        <v>0.089</v>
      </c>
      <c r="L70" t="n">
        <v>0.554</v>
      </c>
      <c r="M70" t="n">
        <v>0.358</v>
      </c>
    </row>
    <row r="71" spans="1:13">
      <c r="A71" s="1">
        <f>HYPERLINK("http://www.twitter.com/NathanBLawrence/status/998213081997234177", "998213081997234177")</f>
        <v/>
      </c>
      <c r="B71" s="2" t="n">
        <v>43240.61480324074</v>
      </c>
      <c r="C71" t="n">
        <v>0</v>
      </c>
      <c r="D71" t="n">
        <v>248</v>
      </c>
      <c r="E71" t="s">
        <v>81</v>
      </c>
      <c r="F71">
        <f>HYPERLINK("http://pbs.twimg.com/media/DdpSb_nUwAADHBz.jpg", "http://pbs.twimg.com/media/DdpSb_nUwAADHBz.jpg")</f>
        <v/>
      </c>
      <c r="G71" t="s"/>
      <c r="H71" t="s"/>
      <c r="I71" t="s"/>
      <c r="J71" t="n">
        <v>0.5732</v>
      </c>
      <c r="K71" t="n">
        <v>0</v>
      </c>
      <c r="L71" t="n">
        <v>0.856</v>
      </c>
      <c r="M71" t="n">
        <v>0.144</v>
      </c>
    </row>
    <row r="72" spans="1:13">
      <c r="A72" s="1">
        <f>HYPERLINK("http://www.twitter.com/NathanBLawrence/status/998211862398488577", "998211862398488577")</f>
        <v/>
      </c>
      <c r="B72" s="2" t="n">
        <v>43240.61143518519</v>
      </c>
      <c r="C72" t="n">
        <v>0</v>
      </c>
      <c r="D72" t="n">
        <v>16</v>
      </c>
      <c r="E72" t="s">
        <v>82</v>
      </c>
      <c r="F72" t="s"/>
      <c r="G72" t="s"/>
      <c r="H72" t="s"/>
      <c r="I72" t="s"/>
      <c r="J72" t="n">
        <v>0</v>
      </c>
      <c r="K72" t="n">
        <v>0</v>
      </c>
      <c r="L72" t="n">
        <v>1</v>
      </c>
      <c r="M72" t="n">
        <v>0</v>
      </c>
    </row>
    <row r="73" spans="1:13">
      <c r="A73" s="1">
        <f>HYPERLINK("http://www.twitter.com/NathanBLawrence/status/998211690079629313", "998211690079629313")</f>
        <v/>
      </c>
      <c r="B73" s="2" t="n">
        <v>43240.61096064815</v>
      </c>
      <c r="C73" t="n">
        <v>0</v>
      </c>
      <c r="D73" t="n">
        <v>13</v>
      </c>
      <c r="E73" t="s">
        <v>83</v>
      </c>
      <c r="F73">
        <f>HYPERLINK("http://pbs.twimg.com/media/DdpROwKVAAI1-98.jpg", "http://pbs.twimg.com/media/DdpROwKVAAI1-98.jpg")</f>
        <v/>
      </c>
      <c r="G73" t="s"/>
      <c r="H73" t="s"/>
      <c r="I73" t="s"/>
      <c r="J73" t="n">
        <v>-0.0688</v>
      </c>
      <c r="K73" t="n">
        <v>0.141</v>
      </c>
      <c r="L73" t="n">
        <v>0.731</v>
      </c>
      <c r="M73" t="n">
        <v>0.128</v>
      </c>
    </row>
    <row r="74" spans="1:13">
      <c r="A74" s="1">
        <f>HYPERLINK("http://www.twitter.com/NathanBLawrence/status/998209598002794496", "998209598002794496")</f>
        <v/>
      </c>
      <c r="B74" s="2" t="n">
        <v>43240.60518518519</v>
      </c>
      <c r="C74" t="n">
        <v>0</v>
      </c>
      <c r="D74" t="n">
        <v>5</v>
      </c>
      <c r="E74" t="s">
        <v>84</v>
      </c>
      <c r="F74">
        <f>HYPERLINK("http://pbs.twimg.com/media/DdpSAnkU0AIIeb2.jpg", "http://pbs.twimg.com/media/DdpSAnkU0AIIeb2.jpg")</f>
        <v/>
      </c>
      <c r="G74" t="s"/>
      <c r="H74" t="s"/>
      <c r="I74" t="s"/>
      <c r="J74" t="n">
        <v>0.5266999999999999</v>
      </c>
      <c r="K74" t="n">
        <v>0</v>
      </c>
      <c r="L74" t="n">
        <v>0.82</v>
      </c>
      <c r="M74" t="n">
        <v>0.18</v>
      </c>
    </row>
    <row r="75" spans="1:13">
      <c r="A75" s="1">
        <f>HYPERLINK("http://www.twitter.com/NathanBLawrence/status/998199746979385344", "998199746979385344")</f>
        <v/>
      </c>
      <c r="B75" s="2" t="n">
        <v>43240.57799768518</v>
      </c>
      <c r="C75" t="n">
        <v>2</v>
      </c>
      <c r="D75" t="n">
        <v>3</v>
      </c>
      <c r="E75" t="s">
        <v>85</v>
      </c>
      <c r="F75" t="s"/>
      <c r="G75" t="s"/>
      <c r="H75" t="s"/>
      <c r="I75" t="s"/>
      <c r="J75" t="n">
        <v>0</v>
      </c>
      <c r="K75" t="n">
        <v>0</v>
      </c>
      <c r="L75" t="n">
        <v>1</v>
      </c>
      <c r="M75" t="n">
        <v>0</v>
      </c>
    </row>
    <row r="76" spans="1:13">
      <c r="A76" s="1">
        <f>HYPERLINK("http://www.twitter.com/NathanBLawrence/status/998199112548970496", "998199112548970496")</f>
        <v/>
      </c>
      <c r="B76" s="2" t="n">
        <v>43240.57625</v>
      </c>
      <c r="C76" t="n">
        <v>40</v>
      </c>
      <c r="D76" t="n">
        <v>29</v>
      </c>
      <c r="E76" t="s">
        <v>86</v>
      </c>
      <c r="F76">
        <f>HYPERLINK("http://pbs.twimg.com/media/DdpQy7KU8AIdoBD.jpg", "http://pbs.twimg.com/media/DdpQy7KU8AIdoBD.jpg")</f>
        <v/>
      </c>
      <c r="G76" t="s"/>
      <c r="H76" t="s"/>
      <c r="I76" t="s"/>
      <c r="J76" t="n">
        <v>0.3382</v>
      </c>
      <c r="K76" t="n">
        <v>0.121</v>
      </c>
      <c r="L76" t="n">
        <v>0.732</v>
      </c>
      <c r="M76" t="n">
        <v>0.147</v>
      </c>
    </row>
    <row r="77" spans="1:13">
      <c r="A77" s="1">
        <f>HYPERLINK("http://www.twitter.com/NathanBLawrence/status/998131960546516992", "998131960546516992")</f>
        <v/>
      </c>
      <c r="B77" s="2" t="n">
        <v>43240.39094907408</v>
      </c>
      <c r="C77" t="n">
        <v>0</v>
      </c>
      <c r="D77" t="n">
        <v>1</v>
      </c>
      <c r="E77" t="s">
        <v>87</v>
      </c>
      <c r="F77" t="s"/>
      <c r="G77" t="s"/>
      <c r="H77" t="s"/>
      <c r="I77" t="s"/>
      <c r="J77" t="n">
        <v>0</v>
      </c>
      <c r="K77" t="n">
        <v>0</v>
      </c>
      <c r="L77" t="n">
        <v>1</v>
      </c>
      <c r="M77" t="n">
        <v>0</v>
      </c>
    </row>
    <row r="78" spans="1:13">
      <c r="A78" s="1">
        <f>HYPERLINK("http://www.twitter.com/NathanBLawrence/status/998130285299585024", "998130285299585024")</f>
        <v/>
      </c>
      <c r="B78" s="2" t="n">
        <v>43240.38633101852</v>
      </c>
      <c r="C78" t="n">
        <v>0</v>
      </c>
      <c r="D78" t="n">
        <v>60</v>
      </c>
      <c r="E78" t="s">
        <v>88</v>
      </c>
      <c r="F78" t="s"/>
      <c r="G78" t="s"/>
      <c r="H78" t="s"/>
      <c r="I78" t="s"/>
      <c r="J78" t="n">
        <v>0.836</v>
      </c>
      <c r="K78" t="n">
        <v>0.08</v>
      </c>
      <c r="L78" t="n">
        <v>0.522</v>
      </c>
      <c r="M78" t="n">
        <v>0.398</v>
      </c>
    </row>
    <row r="79" spans="1:13">
      <c r="A79" s="1">
        <f>HYPERLINK("http://www.twitter.com/NathanBLawrence/status/998117174798581760", "998117174798581760")</f>
        <v/>
      </c>
      <c r="B79" s="2" t="n">
        <v>43240.35015046296</v>
      </c>
      <c r="C79" t="n">
        <v>0</v>
      </c>
      <c r="D79" t="n">
        <v>181</v>
      </c>
      <c r="E79" t="s">
        <v>89</v>
      </c>
      <c r="F79" t="s"/>
      <c r="G79" t="s"/>
      <c r="H79" t="s"/>
      <c r="I79" t="s"/>
      <c r="J79" t="n">
        <v>0</v>
      </c>
      <c r="K79" t="n">
        <v>0</v>
      </c>
      <c r="L79" t="n">
        <v>1</v>
      </c>
      <c r="M79" t="n">
        <v>0</v>
      </c>
    </row>
    <row r="80" spans="1:13">
      <c r="A80" s="1">
        <f>HYPERLINK("http://www.twitter.com/NathanBLawrence/status/998112474720358400", "998112474720358400")</f>
        <v/>
      </c>
      <c r="B80" s="2" t="n">
        <v>43240.33717592592</v>
      </c>
      <c r="C80" t="n">
        <v>0</v>
      </c>
      <c r="D80" t="n">
        <v>432</v>
      </c>
      <c r="E80" t="s">
        <v>90</v>
      </c>
      <c r="F80" t="s"/>
      <c r="G80" t="s"/>
      <c r="H80" t="s"/>
      <c r="I80" t="s"/>
      <c r="J80" t="n">
        <v>-0.6369</v>
      </c>
      <c r="K80" t="n">
        <v>0.224</v>
      </c>
      <c r="L80" t="n">
        <v>0.776</v>
      </c>
      <c r="M80" t="n">
        <v>0</v>
      </c>
    </row>
    <row r="81" spans="1:13">
      <c r="A81" s="1">
        <f>HYPERLINK("http://www.twitter.com/NathanBLawrence/status/998111858346352641", "998111858346352641")</f>
        <v/>
      </c>
      <c r="B81" s="2" t="n">
        <v>43240.33547453704</v>
      </c>
      <c r="C81" t="n">
        <v>0</v>
      </c>
      <c r="D81" t="n">
        <v>73</v>
      </c>
      <c r="E81" t="s">
        <v>91</v>
      </c>
      <c r="F81" t="s"/>
      <c r="G81" t="s"/>
      <c r="H81" t="s"/>
      <c r="I81" t="s"/>
      <c r="J81" t="n">
        <v>0.4404</v>
      </c>
      <c r="K81" t="n">
        <v>0</v>
      </c>
      <c r="L81" t="n">
        <v>0.873</v>
      </c>
      <c r="M81" t="n">
        <v>0.127</v>
      </c>
    </row>
    <row r="82" spans="1:13">
      <c r="A82" s="1">
        <f>HYPERLINK("http://www.twitter.com/NathanBLawrence/status/998110815214624768", "998110815214624768")</f>
        <v/>
      </c>
      <c r="B82" s="2" t="n">
        <v>43240.33260416667</v>
      </c>
      <c r="C82" t="n">
        <v>0</v>
      </c>
      <c r="D82" t="n">
        <v>3</v>
      </c>
      <c r="E82" t="s">
        <v>92</v>
      </c>
      <c r="F82" t="s"/>
      <c r="G82" t="s"/>
      <c r="H82" t="s"/>
      <c r="I82" t="s"/>
      <c r="J82" t="n">
        <v>0.7423999999999999</v>
      </c>
      <c r="K82" t="n">
        <v>0</v>
      </c>
      <c r="L82" t="n">
        <v>0.636</v>
      </c>
      <c r="M82" t="n">
        <v>0.364</v>
      </c>
    </row>
    <row r="83" spans="1:13">
      <c r="A83" s="1">
        <f>HYPERLINK("http://www.twitter.com/NathanBLawrence/status/998110670607568896", "998110670607568896")</f>
        <v/>
      </c>
      <c r="B83" s="2" t="n">
        <v>43240.33219907407</v>
      </c>
      <c r="C83" t="n">
        <v>0</v>
      </c>
      <c r="D83" t="n">
        <v>1</v>
      </c>
      <c r="E83" t="s">
        <v>93</v>
      </c>
      <c r="F83" t="s"/>
      <c r="G83" t="s"/>
      <c r="H83" t="s"/>
      <c r="I83" t="s"/>
      <c r="J83" t="n">
        <v>0.4404</v>
      </c>
      <c r="K83" t="n">
        <v>0</v>
      </c>
      <c r="L83" t="n">
        <v>0.674</v>
      </c>
      <c r="M83" t="n">
        <v>0.326</v>
      </c>
    </row>
    <row r="84" spans="1:13">
      <c r="A84" s="1">
        <f>HYPERLINK("http://www.twitter.com/NathanBLawrence/status/998110380311367680", "998110380311367680")</f>
        <v/>
      </c>
      <c r="B84" s="2" t="n">
        <v>43240.33140046296</v>
      </c>
      <c r="C84" t="n">
        <v>0</v>
      </c>
      <c r="D84" t="n">
        <v>363</v>
      </c>
      <c r="E84" t="s">
        <v>94</v>
      </c>
      <c r="F84" t="s"/>
      <c r="G84" t="s"/>
      <c r="H84" t="s"/>
      <c r="I84" t="s"/>
      <c r="J84" t="n">
        <v>0.5106000000000001</v>
      </c>
      <c r="K84" t="n">
        <v>0</v>
      </c>
      <c r="L84" t="n">
        <v>0.837</v>
      </c>
      <c r="M84" t="n">
        <v>0.163</v>
      </c>
    </row>
    <row r="85" spans="1:13">
      <c r="A85" s="1">
        <f>HYPERLINK("http://www.twitter.com/NathanBLawrence/status/998095099723767810", "998095099723767810")</f>
        <v/>
      </c>
      <c r="B85" s="2" t="n">
        <v>43240.28923611111</v>
      </c>
      <c r="C85" t="n">
        <v>0</v>
      </c>
      <c r="D85" t="n">
        <v>39</v>
      </c>
      <c r="E85" t="s">
        <v>95</v>
      </c>
      <c r="F85" t="s"/>
      <c r="G85" t="s"/>
      <c r="H85" t="s"/>
      <c r="I85" t="s"/>
      <c r="J85" t="n">
        <v>0.34</v>
      </c>
      <c r="K85" t="n">
        <v>0</v>
      </c>
      <c r="L85" t="n">
        <v>0.893</v>
      </c>
      <c r="M85" t="n">
        <v>0.107</v>
      </c>
    </row>
    <row r="86" spans="1:13">
      <c r="A86" s="1">
        <f>HYPERLINK("http://www.twitter.com/NathanBLawrence/status/998090416074428416", "998090416074428416")</f>
        <v/>
      </c>
      <c r="B86" s="2" t="n">
        <v>43240.27630787037</v>
      </c>
      <c r="C86" t="n">
        <v>0</v>
      </c>
      <c r="D86" t="n">
        <v>27</v>
      </c>
      <c r="E86" t="s">
        <v>96</v>
      </c>
      <c r="F86">
        <f>HYPERLINK("http://pbs.twimg.com/media/DdnJwjCVQAAXKjJ.jpg", "http://pbs.twimg.com/media/DdnJwjCVQAAXKjJ.jpg")</f>
        <v/>
      </c>
      <c r="G86" t="s"/>
      <c r="H86" t="s"/>
      <c r="I86" t="s"/>
      <c r="J86" t="n">
        <v>0</v>
      </c>
      <c r="K86" t="n">
        <v>0</v>
      </c>
      <c r="L86" t="n">
        <v>1</v>
      </c>
      <c r="M86" t="n">
        <v>0</v>
      </c>
    </row>
    <row r="87" spans="1:13">
      <c r="A87" s="1">
        <f>HYPERLINK("http://www.twitter.com/NathanBLawrence/status/998090397829206016", "998090397829206016")</f>
        <v/>
      </c>
      <c r="B87" s="2" t="n">
        <v>43240.27626157407</v>
      </c>
      <c r="C87" t="n">
        <v>0</v>
      </c>
      <c r="D87" t="n">
        <v>22</v>
      </c>
      <c r="E87" t="s">
        <v>97</v>
      </c>
      <c r="F87">
        <f>HYPERLINK("http://pbs.twimg.com/media/DdnKggXU0AIkJrN.jpg", "http://pbs.twimg.com/media/DdnKggXU0AIkJrN.jpg")</f>
        <v/>
      </c>
      <c r="G87" t="s"/>
      <c r="H87" t="s"/>
      <c r="I87" t="s"/>
      <c r="J87" t="n">
        <v>-0.6124000000000001</v>
      </c>
      <c r="K87" t="n">
        <v>0.248</v>
      </c>
      <c r="L87" t="n">
        <v>0.647</v>
      </c>
      <c r="M87" t="n">
        <v>0.104</v>
      </c>
    </row>
    <row r="88" spans="1:13">
      <c r="A88" s="1">
        <f>HYPERLINK("http://www.twitter.com/NathanBLawrence/status/998090385124708353", "998090385124708353")</f>
        <v/>
      </c>
      <c r="B88" s="2" t="n">
        <v>43240.27622685185</v>
      </c>
      <c r="C88" t="n">
        <v>0</v>
      </c>
      <c r="D88" t="n">
        <v>8</v>
      </c>
      <c r="E88" t="s">
        <v>98</v>
      </c>
      <c r="F88" t="s"/>
      <c r="G88" t="s"/>
      <c r="H88" t="s"/>
      <c r="I88" t="s"/>
      <c r="J88" t="n">
        <v>0</v>
      </c>
      <c r="K88" t="n">
        <v>0</v>
      </c>
      <c r="L88" t="n">
        <v>1</v>
      </c>
      <c r="M88" t="n">
        <v>0</v>
      </c>
    </row>
    <row r="89" spans="1:13">
      <c r="A89" s="1">
        <f>HYPERLINK("http://www.twitter.com/NathanBLawrence/status/998090365973524480", "998090365973524480")</f>
        <v/>
      </c>
      <c r="B89" s="2" t="n">
        <v>43240.27616898148</v>
      </c>
      <c r="C89" t="n">
        <v>0</v>
      </c>
      <c r="D89" t="n">
        <v>5</v>
      </c>
      <c r="E89" t="s">
        <v>99</v>
      </c>
      <c r="F89" t="s"/>
      <c r="G89" t="s"/>
      <c r="H89" t="s"/>
      <c r="I89" t="s"/>
      <c r="J89" t="n">
        <v>0</v>
      </c>
      <c r="K89" t="n">
        <v>0</v>
      </c>
      <c r="L89" t="n">
        <v>1</v>
      </c>
      <c r="M89" t="n">
        <v>0</v>
      </c>
    </row>
    <row r="90" spans="1:13">
      <c r="A90" s="1">
        <f>HYPERLINK("http://www.twitter.com/NathanBLawrence/status/998027165294882818", "998027165294882818")</f>
        <v/>
      </c>
      <c r="B90" s="2" t="n">
        <v>43240.10177083333</v>
      </c>
      <c r="C90" t="n">
        <v>0</v>
      </c>
      <c r="D90" t="n">
        <v>9</v>
      </c>
      <c r="E90" t="s">
        <v>100</v>
      </c>
      <c r="F90">
        <f>HYPERLINK("http://pbs.twimg.com/media/DdaQa9zV0AAwdzg.jpg", "http://pbs.twimg.com/media/DdaQa9zV0AAwdzg.jpg")</f>
        <v/>
      </c>
      <c r="G90" t="s"/>
      <c r="H90" t="s"/>
      <c r="I90" t="s"/>
      <c r="J90" t="n">
        <v>0</v>
      </c>
      <c r="K90" t="n">
        <v>0</v>
      </c>
      <c r="L90" t="n">
        <v>1</v>
      </c>
      <c r="M90" t="n">
        <v>0</v>
      </c>
    </row>
    <row r="91" spans="1:13">
      <c r="A91" s="1">
        <f>HYPERLINK("http://www.twitter.com/NathanBLawrence/status/998027016845824000", "998027016845824000")</f>
        <v/>
      </c>
      <c r="B91" s="2" t="n">
        <v>43240.10135416667</v>
      </c>
      <c r="C91" t="n">
        <v>0</v>
      </c>
      <c r="D91" t="n">
        <v>28</v>
      </c>
      <c r="E91" t="s">
        <v>101</v>
      </c>
      <c r="F91">
        <f>HYPERLINK("http://pbs.twimg.com/media/DdBmSVRV4AAZBPW.jpg", "http://pbs.twimg.com/media/DdBmSVRV4AAZBPW.jpg")</f>
        <v/>
      </c>
      <c r="G91" t="s"/>
      <c r="H91" t="s"/>
      <c r="I91" t="s"/>
      <c r="J91" t="n">
        <v>-0.296</v>
      </c>
      <c r="K91" t="n">
        <v>0.145</v>
      </c>
      <c r="L91" t="n">
        <v>0.855</v>
      </c>
      <c r="M91" t="n">
        <v>0</v>
      </c>
    </row>
    <row r="92" spans="1:13">
      <c r="A92" s="1">
        <f>HYPERLINK("http://www.twitter.com/NathanBLawrence/status/998026887296413696", "998026887296413696")</f>
        <v/>
      </c>
      <c r="B92" s="2" t="n">
        <v>43240.10100694445</v>
      </c>
      <c r="C92" t="n">
        <v>0</v>
      </c>
      <c r="D92" t="n">
        <v>3</v>
      </c>
      <c r="E92" t="s">
        <v>102</v>
      </c>
      <c r="F92">
        <f>HYPERLINK("http://pbs.twimg.com/media/DdVCG1mUQAYlpQw.jpg", "http://pbs.twimg.com/media/DdVCG1mUQAYlpQw.jpg")</f>
        <v/>
      </c>
      <c r="G92" t="s"/>
      <c r="H92" t="s"/>
      <c r="I92" t="s"/>
      <c r="J92" t="n">
        <v>0</v>
      </c>
      <c r="K92" t="n">
        <v>0</v>
      </c>
      <c r="L92" t="n">
        <v>1</v>
      </c>
      <c r="M92" t="n">
        <v>0</v>
      </c>
    </row>
    <row r="93" spans="1:13">
      <c r="A93" s="1">
        <f>HYPERLINK("http://www.twitter.com/NathanBLawrence/status/998026798519717888", "998026798519717888")</f>
        <v/>
      </c>
      <c r="B93" s="2" t="n">
        <v>43240.10075231481</v>
      </c>
      <c r="C93" t="n">
        <v>0</v>
      </c>
      <c r="D93" t="n">
        <v>11</v>
      </c>
      <c r="E93" t="s">
        <v>103</v>
      </c>
      <c r="F93" t="s"/>
      <c r="G93" t="s"/>
      <c r="H93" t="s"/>
      <c r="I93" t="s"/>
      <c r="J93" t="n">
        <v>0</v>
      </c>
      <c r="K93" t="n">
        <v>0</v>
      </c>
      <c r="L93" t="n">
        <v>1</v>
      </c>
      <c r="M93" t="n">
        <v>0</v>
      </c>
    </row>
    <row r="94" spans="1:13">
      <c r="A94" s="1">
        <f>HYPERLINK("http://www.twitter.com/NathanBLawrence/status/998026681519616007", "998026681519616007")</f>
        <v/>
      </c>
      <c r="B94" s="2" t="n">
        <v>43240.10042824074</v>
      </c>
      <c r="C94" t="n">
        <v>0</v>
      </c>
      <c r="D94" t="n">
        <v>10</v>
      </c>
      <c r="E94" t="s">
        <v>104</v>
      </c>
      <c r="F94">
        <f>HYPERLINK("http://pbs.twimg.com/media/DdcesezV4AI6mEt.jpg", "http://pbs.twimg.com/media/DdcesezV4AI6mEt.jpg")</f>
        <v/>
      </c>
      <c r="G94" t="s"/>
      <c r="H94" t="s"/>
      <c r="I94" t="s"/>
      <c r="J94" t="n">
        <v>0.5837</v>
      </c>
      <c r="K94" t="n">
        <v>0.098</v>
      </c>
      <c r="L94" t="n">
        <v>0.651</v>
      </c>
      <c r="M94" t="n">
        <v>0.252</v>
      </c>
    </row>
    <row r="95" spans="1:13">
      <c r="A95" s="1">
        <f>HYPERLINK("http://www.twitter.com/NathanBLawrence/status/998026191033524224", "998026191033524224")</f>
        <v/>
      </c>
      <c r="B95" s="2" t="n">
        <v>43240.09908564815</v>
      </c>
      <c r="C95" t="n">
        <v>0</v>
      </c>
      <c r="D95" t="n">
        <v>3</v>
      </c>
      <c r="E95" t="s">
        <v>105</v>
      </c>
      <c r="F95">
        <f>HYPERLINK("http://pbs.twimg.com/media/DdmjrZeV4AA0JFi.jpg", "http://pbs.twimg.com/media/DdmjrZeV4AA0JFi.jpg")</f>
        <v/>
      </c>
      <c r="G95" t="s"/>
      <c r="H95" t="s"/>
      <c r="I95" t="s"/>
      <c r="J95" t="n">
        <v>0.4215</v>
      </c>
      <c r="K95" t="n">
        <v>0</v>
      </c>
      <c r="L95" t="n">
        <v>0.865</v>
      </c>
      <c r="M95" t="n">
        <v>0.135</v>
      </c>
    </row>
    <row r="96" spans="1:13">
      <c r="A96" s="1">
        <f>HYPERLINK("http://www.twitter.com/NathanBLawrence/status/998025608222380032", "998025608222380032")</f>
        <v/>
      </c>
      <c r="B96" s="2" t="n">
        <v>43240.09747685185</v>
      </c>
      <c r="C96" t="n">
        <v>0</v>
      </c>
      <c r="D96" t="n">
        <v>12</v>
      </c>
      <c r="E96" t="s">
        <v>106</v>
      </c>
      <c r="F96">
        <f>HYPERLINK("http://pbs.twimg.com/media/DdSu3w3V0AEgg7k.jpg", "http://pbs.twimg.com/media/DdSu3w3V0AEgg7k.jpg")</f>
        <v/>
      </c>
      <c r="G96" t="s"/>
      <c r="H96" t="s"/>
      <c r="I96" t="s"/>
      <c r="J96" t="n">
        <v>0.4019</v>
      </c>
      <c r="K96" t="n">
        <v>0</v>
      </c>
      <c r="L96" t="n">
        <v>0.881</v>
      </c>
      <c r="M96" t="n">
        <v>0.119</v>
      </c>
    </row>
    <row r="97" spans="1:13">
      <c r="A97" s="1">
        <f>HYPERLINK("http://www.twitter.com/NathanBLawrence/status/998025582758760449", "998025582758760449")</f>
        <v/>
      </c>
      <c r="B97" s="2" t="n">
        <v>43240.0974074074</v>
      </c>
      <c r="C97" t="n">
        <v>0</v>
      </c>
      <c r="D97" t="n">
        <v>234</v>
      </c>
      <c r="E97" t="s">
        <v>107</v>
      </c>
      <c r="F97">
        <f>HYPERLINK("http://pbs.twimg.com/media/DailRdUUMAAZgIG.jpg", "http://pbs.twimg.com/media/DailRdUUMAAZgIG.jpg")</f>
        <v/>
      </c>
      <c r="G97" t="s"/>
      <c r="H97" t="s"/>
      <c r="I97" t="s"/>
      <c r="J97" t="n">
        <v>0</v>
      </c>
      <c r="K97" t="n">
        <v>0</v>
      </c>
      <c r="L97" t="n">
        <v>1</v>
      </c>
      <c r="M97" t="n">
        <v>0</v>
      </c>
    </row>
    <row r="98" spans="1:13">
      <c r="A98" s="1">
        <f>HYPERLINK("http://www.twitter.com/NathanBLawrence/status/998025070672011264", "998025070672011264")</f>
        <v/>
      </c>
      <c r="B98" s="2" t="n">
        <v>43240.09598379629</v>
      </c>
      <c r="C98" t="n">
        <v>0</v>
      </c>
      <c r="D98" t="n">
        <v>3</v>
      </c>
      <c r="E98" t="s">
        <v>108</v>
      </c>
      <c r="F98" t="s"/>
      <c r="G98" t="s"/>
      <c r="H98" t="s"/>
      <c r="I98" t="s"/>
      <c r="J98" t="n">
        <v>0</v>
      </c>
      <c r="K98" t="n">
        <v>0</v>
      </c>
      <c r="L98" t="n">
        <v>1</v>
      </c>
      <c r="M98" t="n">
        <v>0</v>
      </c>
    </row>
    <row r="99" spans="1:13">
      <c r="A99" s="1">
        <f>HYPERLINK("http://www.twitter.com/NathanBLawrence/status/998023697272311810", "998023697272311810")</f>
        <v/>
      </c>
      <c r="B99" s="2" t="n">
        <v>43240.09219907408</v>
      </c>
      <c r="C99" t="n">
        <v>0</v>
      </c>
      <c r="D99" t="n">
        <v>1551</v>
      </c>
      <c r="E99" t="s">
        <v>109</v>
      </c>
      <c r="F99" t="s"/>
      <c r="G99" t="s"/>
      <c r="H99" t="s"/>
      <c r="I99" t="s"/>
      <c r="J99" t="n">
        <v>0.4215</v>
      </c>
      <c r="K99" t="n">
        <v>0</v>
      </c>
      <c r="L99" t="n">
        <v>0.887</v>
      </c>
      <c r="M99" t="n">
        <v>0.113</v>
      </c>
    </row>
    <row r="100" spans="1:13">
      <c r="A100" s="1">
        <f>HYPERLINK("http://www.twitter.com/NathanBLawrence/status/997989224954695681", "997989224954695681")</f>
        <v/>
      </c>
      <c r="B100" s="2" t="n">
        <v>43239.99707175926</v>
      </c>
      <c r="C100" t="n">
        <v>0</v>
      </c>
      <c r="D100" t="n">
        <v>8</v>
      </c>
      <c r="E100" t="s">
        <v>110</v>
      </c>
      <c r="F100" t="s"/>
      <c r="G100" t="s"/>
      <c r="H100" t="s"/>
      <c r="I100" t="s"/>
      <c r="J100" t="n">
        <v>0.1366</v>
      </c>
      <c r="K100" t="n">
        <v>0.107</v>
      </c>
      <c r="L100" t="n">
        <v>0.76</v>
      </c>
      <c r="M100" t="n">
        <v>0.133</v>
      </c>
    </row>
    <row r="101" spans="1:13">
      <c r="A101" s="1">
        <f>HYPERLINK("http://www.twitter.com/NathanBLawrence/status/997963761821642753", "997963761821642753")</f>
        <v/>
      </c>
      <c r="B101" s="2" t="n">
        <v>43239.92680555556</v>
      </c>
      <c r="C101" t="n">
        <v>0</v>
      </c>
      <c r="D101" t="n">
        <v>30</v>
      </c>
      <c r="E101" t="s">
        <v>111</v>
      </c>
      <c r="F101">
        <f>HYPERLINK("http://pbs.twimg.com/media/DdbzPf6UwAA2mfg.jpg", "http://pbs.twimg.com/media/DdbzPf6UwAA2mfg.jpg")</f>
        <v/>
      </c>
      <c r="G101" t="s"/>
      <c r="H101" t="s"/>
      <c r="I101" t="s"/>
      <c r="J101" t="n">
        <v>0.7003</v>
      </c>
      <c r="K101" t="n">
        <v>0</v>
      </c>
      <c r="L101" t="n">
        <v>0.775</v>
      </c>
      <c r="M101" t="n">
        <v>0.225</v>
      </c>
    </row>
    <row r="102" spans="1:13">
      <c r="A102" s="1">
        <f>HYPERLINK("http://www.twitter.com/NathanBLawrence/status/997963647841374208", "997963647841374208")</f>
        <v/>
      </c>
      <c r="B102" s="2" t="n">
        <v>43239.92649305556</v>
      </c>
      <c r="C102" t="n">
        <v>0</v>
      </c>
      <c r="D102" t="n">
        <v>337</v>
      </c>
      <c r="E102" t="s">
        <v>112</v>
      </c>
      <c r="F102">
        <f>HYPERLINK("https://video.twimg.com/ext_tw_video/981689097570824194/pu/vid/1280x720/3tW5rl9UusfvlBIH.mp4?tag=2", "https://video.twimg.com/ext_tw_video/981689097570824194/pu/vid/1280x720/3tW5rl9UusfvlBIH.mp4?tag=2")</f>
        <v/>
      </c>
      <c r="G102" t="s"/>
      <c r="H102" t="s"/>
      <c r="I102" t="s"/>
      <c r="J102" t="n">
        <v>0</v>
      </c>
      <c r="K102" t="n">
        <v>0</v>
      </c>
      <c r="L102" t="n">
        <v>1</v>
      </c>
      <c r="M102" t="n">
        <v>0</v>
      </c>
    </row>
    <row r="103" spans="1:13">
      <c r="A103" s="1">
        <f>HYPERLINK("http://www.twitter.com/NathanBLawrence/status/997963501502164993", "997963501502164993")</f>
        <v/>
      </c>
      <c r="B103" s="2" t="n">
        <v>43239.92608796297</v>
      </c>
      <c r="C103" t="n">
        <v>0</v>
      </c>
      <c r="D103" t="n">
        <v>12</v>
      </c>
      <c r="E103" t="s">
        <v>113</v>
      </c>
      <c r="F103">
        <f>HYPERLINK("https://video.twimg.com/ext_tw_video/997637023031640065/pu/vid/1280x720/bWOU65dl2OGGW2Im.mp4?tag=3", "https://video.twimg.com/ext_tw_video/997637023031640065/pu/vid/1280x720/bWOU65dl2OGGW2Im.mp4?tag=3")</f>
        <v/>
      </c>
      <c r="G103" t="s"/>
      <c r="H103" t="s"/>
      <c r="I103" t="s"/>
      <c r="J103" t="n">
        <v>0</v>
      </c>
      <c r="K103" t="n">
        <v>0</v>
      </c>
      <c r="L103" t="n">
        <v>1</v>
      </c>
      <c r="M103" t="n">
        <v>0</v>
      </c>
    </row>
    <row r="104" spans="1:13">
      <c r="A104" s="1">
        <f>HYPERLINK("http://www.twitter.com/NathanBLawrence/status/997963429007765505", "997963429007765505")</f>
        <v/>
      </c>
      <c r="B104" s="2" t="n">
        <v>43239.9258912037</v>
      </c>
      <c r="C104" t="n">
        <v>0</v>
      </c>
      <c r="D104" t="n">
        <v>10</v>
      </c>
      <c r="E104" t="s">
        <v>114</v>
      </c>
      <c r="F104">
        <f>HYPERLINK("http://pbs.twimg.com/media/DdhRKkmX0AAiYS6.jpg", "http://pbs.twimg.com/media/DdhRKkmX0AAiYS6.jpg")</f>
        <v/>
      </c>
      <c r="G104" t="s"/>
      <c r="H104" t="s"/>
      <c r="I104" t="s"/>
      <c r="J104" t="n">
        <v>0.4767</v>
      </c>
      <c r="K104" t="n">
        <v>0</v>
      </c>
      <c r="L104" t="n">
        <v>0.795</v>
      </c>
      <c r="M104" t="n">
        <v>0.205</v>
      </c>
    </row>
    <row r="105" spans="1:13">
      <c r="A105" s="1">
        <f>HYPERLINK("http://www.twitter.com/NathanBLawrence/status/997963327778287616", "997963327778287616")</f>
        <v/>
      </c>
      <c r="B105" s="2" t="n">
        <v>43239.92561342593</v>
      </c>
      <c r="C105" t="n">
        <v>0</v>
      </c>
      <c r="D105" t="n">
        <v>22</v>
      </c>
      <c r="E105" t="s">
        <v>115</v>
      </c>
      <c r="F105">
        <f>HYPERLINK("http://pbs.twimg.com/media/DdfZZNYVAAA67hS.jpg", "http://pbs.twimg.com/media/DdfZZNYVAAA67hS.jpg")</f>
        <v/>
      </c>
      <c r="G105" t="s"/>
      <c r="H105" t="s"/>
      <c r="I105" t="s"/>
      <c r="J105" t="n">
        <v>0</v>
      </c>
      <c r="K105" t="n">
        <v>0</v>
      </c>
      <c r="L105" t="n">
        <v>1</v>
      </c>
      <c r="M105" t="n">
        <v>0</v>
      </c>
    </row>
    <row r="106" spans="1:13">
      <c r="A106" s="1">
        <f>HYPERLINK("http://www.twitter.com/NathanBLawrence/status/997963102166618112", "997963102166618112")</f>
        <v/>
      </c>
      <c r="B106" s="2" t="n">
        <v>43239.92498842593</v>
      </c>
      <c r="C106" t="n">
        <v>0</v>
      </c>
      <c r="D106" t="n">
        <v>2</v>
      </c>
      <c r="E106" t="s">
        <v>116</v>
      </c>
      <c r="F106">
        <f>HYPERLINK("http://pbs.twimg.com/media/DdhsWDhVMAU6ELI.jpg", "http://pbs.twimg.com/media/DdhsWDhVMAU6ELI.jpg")</f>
        <v/>
      </c>
      <c r="G106">
        <f>HYPERLINK("http://pbs.twimg.com/media/DdhsYNhV0AAHnyS.jpg", "http://pbs.twimg.com/media/DdhsYNhV0AAHnyS.jpg")</f>
        <v/>
      </c>
      <c r="H106">
        <f>HYPERLINK("http://pbs.twimg.com/media/DdhsZGBVMAA9mba.jpg", "http://pbs.twimg.com/media/DdhsZGBVMAA9mba.jpg")</f>
        <v/>
      </c>
      <c r="I106">
        <f>HYPERLINK("http://pbs.twimg.com/media/DdhsaBpVMAADO2v.jpg", "http://pbs.twimg.com/media/DdhsaBpVMAADO2v.jpg")</f>
        <v/>
      </c>
      <c r="J106" t="n">
        <v>0</v>
      </c>
      <c r="K106" t="n">
        <v>0</v>
      </c>
      <c r="L106" t="n">
        <v>1</v>
      </c>
      <c r="M106" t="n">
        <v>0</v>
      </c>
    </row>
    <row r="107" spans="1:13">
      <c r="A107" s="1">
        <f>HYPERLINK("http://www.twitter.com/NathanBLawrence/status/997962589551415297", "997962589551415297")</f>
        <v/>
      </c>
      <c r="B107" s="2" t="n">
        <v>43239.92357638889</v>
      </c>
      <c r="C107" t="n">
        <v>0</v>
      </c>
      <c r="D107" t="n">
        <v>34</v>
      </c>
      <c r="E107" t="s">
        <v>117</v>
      </c>
      <c r="F107" t="s"/>
      <c r="G107" t="s"/>
      <c r="H107" t="s"/>
      <c r="I107" t="s"/>
      <c r="J107" t="n">
        <v>0.0772</v>
      </c>
      <c r="K107" t="n">
        <v>0</v>
      </c>
      <c r="L107" t="n">
        <v>0.86</v>
      </c>
      <c r="M107" t="n">
        <v>0.14</v>
      </c>
    </row>
    <row r="108" spans="1:13">
      <c r="A108" s="1">
        <f>HYPERLINK("http://www.twitter.com/NathanBLawrence/status/997962420361551872", "997962420361551872")</f>
        <v/>
      </c>
      <c r="B108" s="2" t="n">
        <v>43239.92310185185</v>
      </c>
      <c r="C108" t="n">
        <v>0</v>
      </c>
      <c r="D108" t="n">
        <v>10</v>
      </c>
      <c r="E108" t="s">
        <v>118</v>
      </c>
      <c r="F108">
        <f>HYPERLINK("http://pbs.twimg.com/media/DdhYu5hU8AAGBNR.jpg", "http://pbs.twimg.com/media/DdhYu5hU8AAGBNR.jpg")</f>
        <v/>
      </c>
      <c r="G108" t="s"/>
      <c r="H108" t="s"/>
      <c r="I108" t="s"/>
      <c r="J108" t="n">
        <v>0</v>
      </c>
      <c r="K108" t="n">
        <v>0</v>
      </c>
      <c r="L108" t="n">
        <v>1</v>
      </c>
      <c r="M108" t="n">
        <v>0</v>
      </c>
    </row>
    <row r="109" spans="1:13">
      <c r="A109" s="1">
        <f>HYPERLINK("http://www.twitter.com/NathanBLawrence/status/997961774564630529", "997961774564630529")</f>
        <v/>
      </c>
      <c r="B109" s="2" t="n">
        <v>43239.92131944445</v>
      </c>
      <c r="C109" t="n">
        <v>0</v>
      </c>
      <c r="D109" t="n">
        <v>1</v>
      </c>
      <c r="E109" t="s">
        <v>119</v>
      </c>
      <c r="F109" t="s"/>
      <c r="G109" t="s"/>
      <c r="H109" t="s"/>
      <c r="I109" t="s"/>
      <c r="J109" t="n">
        <v>0</v>
      </c>
      <c r="K109" t="n">
        <v>0</v>
      </c>
      <c r="L109" t="n">
        <v>1</v>
      </c>
      <c r="M109" t="n">
        <v>0</v>
      </c>
    </row>
    <row r="110" spans="1:13">
      <c r="A110" s="1">
        <f>HYPERLINK("http://www.twitter.com/NathanBLawrence/status/997955362253832192", "997955362253832192")</f>
        <v/>
      </c>
      <c r="B110" s="2" t="n">
        <v>43239.90363425926</v>
      </c>
      <c r="C110" t="n">
        <v>0</v>
      </c>
      <c r="D110" t="n">
        <v>391</v>
      </c>
      <c r="E110" t="s">
        <v>120</v>
      </c>
      <c r="F110" t="s"/>
      <c r="G110" t="s"/>
      <c r="H110" t="s"/>
      <c r="I110" t="s"/>
      <c r="J110" t="n">
        <v>0.5994</v>
      </c>
      <c r="K110" t="n">
        <v>0</v>
      </c>
      <c r="L110" t="n">
        <v>0.865</v>
      </c>
      <c r="M110" t="n">
        <v>0.135</v>
      </c>
    </row>
    <row r="111" spans="1:13">
      <c r="A111" s="1">
        <f>HYPERLINK("http://www.twitter.com/NathanBLawrence/status/997948000919015429", "997948000919015429")</f>
        <v/>
      </c>
      <c r="B111" s="2" t="n">
        <v>43239.88332175926</v>
      </c>
      <c r="C111" t="n">
        <v>0</v>
      </c>
      <c r="D111" t="n">
        <v>1049</v>
      </c>
      <c r="E111" t="s">
        <v>121</v>
      </c>
      <c r="F111">
        <f>HYPERLINK("http://pbs.twimg.com/media/DdfJ_PCVQAI8lN4.jpg", "http://pbs.twimg.com/media/DdfJ_PCVQAI8lN4.jpg")</f>
        <v/>
      </c>
      <c r="G111" t="s"/>
      <c r="H111" t="s"/>
      <c r="I111" t="s"/>
      <c r="J111" t="n">
        <v>0.7673</v>
      </c>
      <c r="K111" t="n">
        <v>0</v>
      </c>
      <c r="L111" t="n">
        <v>0.751</v>
      </c>
      <c r="M111" t="n">
        <v>0.249</v>
      </c>
    </row>
    <row r="112" spans="1:13">
      <c r="A112" s="1">
        <f>HYPERLINK("http://www.twitter.com/NathanBLawrence/status/997947931239043072", "997947931239043072")</f>
        <v/>
      </c>
      <c r="B112" s="2" t="n">
        <v>43239.883125</v>
      </c>
      <c r="C112" t="n">
        <v>0</v>
      </c>
      <c r="D112" t="n">
        <v>244</v>
      </c>
      <c r="E112" t="s">
        <v>122</v>
      </c>
      <c r="F112">
        <f>HYPERLINK("http://pbs.twimg.com/media/Ddc0ZH_UwAAnjDg.jpg", "http://pbs.twimg.com/media/Ddc0ZH_UwAAnjDg.jpg")</f>
        <v/>
      </c>
      <c r="G112" t="s"/>
      <c r="H112" t="s"/>
      <c r="I112" t="s"/>
      <c r="J112" t="n">
        <v>-0.6908</v>
      </c>
      <c r="K112" t="n">
        <v>0.284</v>
      </c>
      <c r="L112" t="n">
        <v>0.604</v>
      </c>
      <c r="M112" t="n">
        <v>0.112</v>
      </c>
    </row>
    <row r="113" spans="1:13">
      <c r="A113" s="1">
        <f>HYPERLINK("http://www.twitter.com/NathanBLawrence/status/997864069104308224", "997864069104308224")</f>
        <v/>
      </c>
      <c r="B113" s="2" t="n">
        <v>43239.65171296296</v>
      </c>
      <c r="C113" t="n">
        <v>0</v>
      </c>
      <c r="D113" t="n">
        <v>3</v>
      </c>
      <c r="E113" t="s">
        <v>123</v>
      </c>
      <c r="F113" t="s"/>
      <c r="G113" t="s"/>
      <c r="H113" t="s"/>
      <c r="I113" t="s"/>
      <c r="J113" t="n">
        <v>-0.296</v>
      </c>
      <c r="K113" t="n">
        <v>0.099</v>
      </c>
      <c r="L113" t="n">
        <v>0.901</v>
      </c>
      <c r="M113" t="n">
        <v>0</v>
      </c>
    </row>
    <row r="114" spans="1:13">
      <c r="A114" s="1">
        <f>HYPERLINK("http://www.twitter.com/NathanBLawrence/status/997863511530274816", "997863511530274816")</f>
        <v/>
      </c>
      <c r="B114" s="2" t="n">
        <v>43239.65017361111</v>
      </c>
      <c r="C114" t="n">
        <v>0</v>
      </c>
      <c r="D114" t="n">
        <v>18</v>
      </c>
      <c r="E114" t="s">
        <v>124</v>
      </c>
      <c r="F114" t="s"/>
      <c r="G114" t="s"/>
      <c r="H114" t="s"/>
      <c r="I114" t="s"/>
      <c r="J114" t="n">
        <v>-0.3182</v>
      </c>
      <c r="K114" t="n">
        <v>0.108</v>
      </c>
      <c r="L114" t="n">
        <v>0.892</v>
      </c>
      <c r="M114" t="n">
        <v>0</v>
      </c>
    </row>
    <row r="115" spans="1:13">
      <c r="A115" s="1">
        <f>HYPERLINK("http://www.twitter.com/NathanBLawrence/status/997859975149047810", "997859975149047810")</f>
        <v/>
      </c>
      <c r="B115" s="2" t="n">
        <v>43239.64041666667</v>
      </c>
      <c r="C115" t="n">
        <v>0</v>
      </c>
      <c r="D115" t="n">
        <v>89</v>
      </c>
      <c r="E115" t="s">
        <v>125</v>
      </c>
      <c r="F115" t="s"/>
      <c r="G115" t="s"/>
      <c r="H115" t="s"/>
      <c r="I115" t="s"/>
      <c r="J115" t="n">
        <v>0.2023</v>
      </c>
      <c r="K115" t="n">
        <v>0.075</v>
      </c>
      <c r="L115" t="n">
        <v>0.821</v>
      </c>
      <c r="M115" t="n">
        <v>0.104</v>
      </c>
    </row>
    <row r="116" spans="1:13">
      <c r="A116" s="1">
        <f>HYPERLINK("http://www.twitter.com/NathanBLawrence/status/997674887186706432", "997674887186706432")</f>
        <v/>
      </c>
      <c r="B116" s="2" t="n">
        <v>43239.12966435185</v>
      </c>
      <c r="C116" t="n">
        <v>0</v>
      </c>
      <c r="D116" t="n">
        <v>16</v>
      </c>
      <c r="E116" t="s">
        <v>126</v>
      </c>
      <c r="F116">
        <f>HYPERLINK("http://pbs.twimg.com/media/DdgJnAfVwAAfQ2V.jpg", "http://pbs.twimg.com/media/DdgJnAfVwAAfQ2V.jpg")</f>
        <v/>
      </c>
      <c r="G116" t="s"/>
      <c r="H116" t="s"/>
      <c r="I116" t="s"/>
      <c r="J116" t="n">
        <v>0.1511</v>
      </c>
      <c r="K116" t="n">
        <v>0</v>
      </c>
      <c r="L116" t="n">
        <v>0.904</v>
      </c>
      <c r="M116" t="n">
        <v>0.096</v>
      </c>
    </row>
    <row r="117" spans="1:13">
      <c r="A117" s="1">
        <f>HYPERLINK("http://www.twitter.com/NathanBLawrence/status/997673373533696000", "997673373533696000")</f>
        <v/>
      </c>
      <c r="B117" s="2" t="n">
        <v>43239.12548611111</v>
      </c>
      <c r="C117" t="n">
        <v>0</v>
      </c>
      <c r="D117" t="n">
        <v>10</v>
      </c>
      <c r="E117" t="s">
        <v>127</v>
      </c>
      <c r="F117" t="s"/>
      <c r="G117" t="s"/>
      <c r="H117" t="s"/>
      <c r="I117" t="s"/>
      <c r="J117" t="n">
        <v>-0.6808</v>
      </c>
      <c r="K117" t="n">
        <v>0.173</v>
      </c>
      <c r="L117" t="n">
        <v>0.827</v>
      </c>
      <c r="M117" t="n">
        <v>0</v>
      </c>
    </row>
    <row r="118" spans="1:13">
      <c r="A118" s="1">
        <f>HYPERLINK("http://www.twitter.com/NathanBLawrence/status/997668359138349056", "997668359138349056")</f>
        <v/>
      </c>
      <c r="B118" s="2" t="n">
        <v>43239.11165509259</v>
      </c>
      <c r="C118" t="n">
        <v>0</v>
      </c>
      <c r="D118" t="n">
        <v>16</v>
      </c>
      <c r="E118" t="s">
        <v>56</v>
      </c>
      <c r="F118">
        <f>HYPERLINK("http://pbs.twimg.com/media/DdgZjAKWsAAtKh8.jpg", "http://pbs.twimg.com/media/DdgZjAKWsAAtKh8.jpg")</f>
        <v/>
      </c>
      <c r="G118" t="s"/>
      <c r="H118" t="s"/>
      <c r="I118" t="s"/>
      <c r="J118" t="n">
        <v>-0.2387</v>
      </c>
      <c r="K118" t="n">
        <v>0.176</v>
      </c>
      <c r="L118" t="n">
        <v>0.6889999999999999</v>
      </c>
      <c r="M118" t="n">
        <v>0.135</v>
      </c>
    </row>
    <row r="119" spans="1:13">
      <c r="A119" s="1">
        <f>HYPERLINK("http://www.twitter.com/NathanBLawrence/status/997535432392036352", "997535432392036352")</f>
        <v/>
      </c>
      <c r="B119" s="2" t="n">
        <v>43238.74484953703</v>
      </c>
      <c r="C119" t="n">
        <v>0</v>
      </c>
      <c r="D119" t="n">
        <v>226</v>
      </c>
      <c r="E119" t="s">
        <v>128</v>
      </c>
      <c r="F119" t="s"/>
      <c r="G119" t="s"/>
      <c r="H119" t="s"/>
      <c r="I119" t="s"/>
      <c r="J119" t="n">
        <v>0</v>
      </c>
      <c r="K119" t="n">
        <v>0</v>
      </c>
      <c r="L119" t="n">
        <v>1</v>
      </c>
      <c r="M119" t="n">
        <v>0</v>
      </c>
    </row>
    <row r="120" spans="1:13">
      <c r="A120" s="1">
        <f>HYPERLINK("http://www.twitter.com/NathanBLawrence/status/997535389618528258", "997535389618528258")</f>
        <v/>
      </c>
      <c r="B120" s="2" t="n">
        <v>43238.74472222223</v>
      </c>
      <c r="C120" t="n">
        <v>0</v>
      </c>
      <c r="D120" t="n">
        <v>67</v>
      </c>
      <c r="E120" t="s">
        <v>129</v>
      </c>
      <c r="F120" t="s"/>
      <c r="G120" t="s"/>
      <c r="H120" t="s"/>
      <c r="I120" t="s"/>
      <c r="J120" t="n">
        <v>-0.2732</v>
      </c>
      <c r="K120" t="n">
        <v>0.104</v>
      </c>
      <c r="L120" t="n">
        <v>0.896</v>
      </c>
      <c r="M120" t="n">
        <v>0</v>
      </c>
    </row>
    <row r="121" spans="1:13">
      <c r="A121" s="1">
        <f>HYPERLINK("http://www.twitter.com/NathanBLawrence/status/997535336061288448", "997535336061288448")</f>
        <v/>
      </c>
      <c r="B121" s="2" t="n">
        <v>43238.74458333333</v>
      </c>
      <c r="C121" t="n">
        <v>0</v>
      </c>
      <c r="D121" t="n">
        <v>46</v>
      </c>
      <c r="E121" t="s">
        <v>130</v>
      </c>
      <c r="F121" t="s"/>
      <c r="G121" t="s"/>
      <c r="H121" t="s"/>
      <c r="I121" t="s"/>
      <c r="J121" t="n">
        <v>0</v>
      </c>
      <c r="K121" t="n">
        <v>0</v>
      </c>
      <c r="L121" t="n">
        <v>1</v>
      </c>
      <c r="M121" t="n">
        <v>0</v>
      </c>
    </row>
    <row r="122" spans="1:13">
      <c r="A122" s="1">
        <f>HYPERLINK("http://www.twitter.com/NathanBLawrence/status/997535297087959041", "997535297087959041")</f>
        <v/>
      </c>
      <c r="B122" s="2" t="n">
        <v>43238.74446759259</v>
      </c>
      <c r="C122" t="n">
        <v>0</v>
      </c>
      <c r="D122" t="n">
        <v>53</v>
      </c>
      <c r="E122" t="s">
        <v>131</v>
      </c>
      <c r="F122" t="s"/>
      <c r="G122" t="s"/>
      <c r="H122" t="s"/>
      <c r="I122" t="s"/>
      <c r="J122" t="n">
        <v>0</v>
      </c>
      <c r="K122" t="n">
        <v>0</v>
      </c>
      <c r="L122" t="n">
        <v>1</v>
      </c>
      <c r="M122" t="n">
        <v>0</v>
      </c>
    </row>
    <row r="123" spans="1:13">
      <c r="A123" s="1">
        <f>HYPERLINK("http://www.twitter.com/NathanBLawrence/status/997535088022835205", "997535088022835205")</f>
        <v/>
      </c>
      <c r="B123" s="2" t="n">
        <v>43238.74388888889</v>
      </c>
      <c r="C123" t="n">
        <v>0</v>
      </c>
      <c r="D123" t="n">
        <v>67</v>
      </c>
      <c r="E123" t="s">
        <v>132</v>
      </c>
      <c r="F123" t="s"/>
      <c r="G123" t="s"/>
      <c r="H123" t="s"/>
      <c r="I123" t="s"/>
      <c r="J123" t="n">
        <v>0.4716</v>
      </c>
      <c r="K123" t="n">
        <v>0</v>
      </c>
      <c r="L123" t="n">
        <v>0.877</v>
      </c>
      <c r="M123" t="n">
        <v>0.123</v>
      </c>
    </row>
    <row r="124" spans="1:13">
      <c r="A124" s="1">
        <f>HYPERLINK("http://www.twitter.com/NathanBLawrence/status/997533052279623681", "997533052279623681")</f>
        <v/>
      </c>
      <c r="B124" s="2" t="n">
        <v>43238.73827546297</v>
      </c>
      <c r="C124" t="n">
        <v>0</v>
      </c>
      <c r="D124" t="n">
        <v>78</v>
      </c>
      <c r="E124" t="s">
        <v>133</v>
      </c>
      <c r="F124" t="s"/>
      <c r="G124" t="s"/>
      <c r="H124" t="s"/>
      <c r="I124" t="s"/>
      <c r="J124" t="n">
        <v>0</v>
      </c>
      <c r="K124" t="n">
        <v>0</v>
      </c>
      <c r="L124" t="n">
        <v>1</v>
      </c>
      <c r="M124" t="n">
        <v>0</v>
      </c>
    </row>
    <row r="125" spans="1:13">
      <c r="A125" s="1">
        <f>HYPERLINK("http://www.twitter.com/NathanBLawrence/status/997532549005152256", "997532549005152256")</f>
        <v/>
      </c>
      <c r="B125" s="2" t="n">
        <v>43238.73688657407</v>
      </c>
      <c r="C125" t="n">
        <v>0</v>
      </c>
      <c r="D125" t="n">
        <v>53</v>
      </c>
      <c r="E125" t="s">
        <v>134</v>
      </c>
      <c r="F125" t="s"/>
      <c r="G125" t="s"/>
      <c r="H125" t="s"/>
      <c r="I125" t="s"/>
      <c r="J125" t="n">
        <v>0.2263</v>
      </c>
      <c r="K125" t="n">
        <v>0.104</v>
      </c>
      <c r="L125" t="n">
        <v>0.717</v>
      </c>
      <c r="M125" t="n">
        <v>0.179</v>
      </c>
    </row>
    <row r="126" spans="1:13">
      <c r="A126" s="1">
        <f>HYPERLINK("http://www.twitter.com/NathanBLawrence/status/997527097865310209", "997527097865310209")</f>
        <v/>
      </c>
      <c r="B126" s="2" t="n">
        <v>43238.72184027778</v>
      </c>
      <c r="C126" t="n">
        <v>0</v>
      </c>
      <c r="D126" t="n">
        <v>8</v>
      </c>
      <c r="E126" t="s">
        <v>135</v>
      </c>
      <c r="F126" t="s"/>
      <c r="G126" t="s"/>
      <c r="H126" t="s"/>
      <c r="I126" t="s"/>
      <c r="J126" t="n">
        <v>0</v>
      </c>
      <c r="K126" t="n">
        <v>0</v>
      </c>
      <c r="L126" t="n">
        <v>1</v>
      </c>
      <c r="M126" t="n">
        <v>0</v>
      </c>
    </row>
    <row r="127" spans="1:13">
      <c r="A127" s="1">
        <f>HYPERLINK("http://www.twitter.com/NathanBLawrence/status/997527059160236038", "997527059160236038")</f>
        <v/>
      </c>
      <c r="B127" s="2" t="n">
        <v>43238.72173611111</v>
      </c>
      <c r="C127" t="n">
        <v>0</v>
      </c>
      <c r="D127" t="n">
        <v>6</v>
      </c>
      <c r="E127" t="s">
        <v>136</v>
      </c>
      <c r="F127" t="s"/>
      <c r="G127" t="s"/>
      <c r="H127" t="s"/>
      <c r="I127" t="s"/>
      <c r="J127" t="n">
        <v>0.5229</v>
      </c>
      <c r="K127" t="n">
        <v>0</v>
      </c>
      <c r="L127" t="n">
        <v>0.849</v>
      </c>
      <c r="M127" t="n">
        <v>0.151</v>
      </c>
    </row>
    <row r="128" spans="1:13">
      <c r="A128" s="1">
        <f>HYPERLINK("http://www.twitter.com/NathanBLawrence/status/997526674588819456", "997526674588819456")</f>
        <v/>
      </c>
      <c r="B128" s="2" t="n">
        <v>43238.72068287037</v>
      </c>
      <c r="C128" t="n">
        <v>0</v>
      </c>
      <c r="D128" t="n">
        <v>32</v>
      </c>
      <c r="E128" t="s">
        <v>137</v>
      </c>
      <c r="F128" t="s"/>
      <c r="G128" t="s"/>
      <c r="H128" t="s"/>
      <c r="I128" t="s"/>
      <c r="J128" t="n">
        <v>-0.2462</v>
      </c>
      <c r="K128" t="n">
        <v>0.135</v>
      </c>
      <c r="L128" t="n">
        <v>0.777</v>
      </c>
      <c r="M128" t="n">
        <v>0.08699999999999999</v>
      </c>
    </row>
    <row r="129" spans="1:13">
      <c r="A129" s="1">
        <f>HYPERLINK("http://www.twitter.com/NathanBLawrence/status/997520448761065472", "997520448761065472")</f>
        <v/>
      </c>
      <c r="B129" s="2" t="n">
        <v>43238.70349537037</v>
      </c>
      <c r="C129" t="n">
        <v>0</v>
      </c>
      <c r="D129" t="n">
        <v>5</v>
      </c>
      <c r="E129" t="s">
        <v>138</v>
      </c>
      <c r="F129">
        <f>HYPERLINK("http://pbs.twimg.com/media/DdfQOKYV0AETHwS.jpg", "http://pbs.twimg.com/media/DdfQOKYV0AETHwS.jpg")</f>
        <v/>
      </c>
      <c r="G129" t="s"/>
      <c r="H129" t="s"/>
      <c r="I129" t="s"/>
      <c r="J129" t="n">
        <v>-0.636</v>
      </c>
      <c r="K129" t="n">
        <v>0.189</v>
      </c>
      <c r="L129" t="n">
        <v>0.8110000000000001</v>
      </c>
      <c r="M129" t="n">
        <v>0</v>
      </c>
    </row>
    <row r="130" spans="1:13">
      <c r="A130" s="1">
        <f>HYPERLINK("http://www.twitter.com/NathanBLawrence/status/997466428394672128", "997466428394672128")</f>
        <v/>
      </c>
      <c r="B130" s="2" t="n">
        <v>43238.55443287037</v>
      </c>
      <c r="C130" t="n">
        <v>0</v>
      </c>
      <c r="D130" t="n">
        <v>3</v>
      </c>
      <c r="E130" t="s">
        <v>139</v>
      </c>
      <c r="F130">
        <f>HYPERLINK("http://pbs.twimg.com/media/DdS8W6HX4AAFLhZ.jpg", "http://pbs.twimg.com/media/DdS8W6HX4AAFLhZ.jpg")</f>
        <v/>
      </c>
      <c r="G130" t="s"/>
      <c r="H130" t="s"/>
      <c r="I130" t="s"/>
      <c r="J130" t="n">
        <v>0</v>
      </c>
      <c r="K130" t="n">
        <v>0</v>
      </c>
      <c r="L130" t="n">
        <v>1</v>
      </c>
      <c r="M130" t="n">
        <v>0</v>
      </c>
    </row>
    <row r="131" spans="1:13">
      <c r="A131" s="1">
        <f>HYPERLINK("http://www.twitter.com/NathanBLawrence/status/997240421578309632", "997240421578309632")</f>
        <v/>
      </c>
      <c r="B131" s="2" t="n">
        <v>43237.93076388889</v>
      </c>
      <c r="C131" t="n">
        <v>0</v>
      </c>
      <c r="D131" t="n">
        <v>12</v>
      </c>
      <c r="E131" t="s">
        <v>140</v>
      </c>
      <c r="F131">
        <f>HYPERLINK("https://video.twimg.com/ext_tw_video/997166363079720961/pu/vid/1280x720/b-njKwnB2uooVwoN.mp4?tag=3", "https://video.twimg.com/ext_tw_video/997166363079720961/pu/vid/1280x720/b-njKwnB2uooVwoN.mp4?tag=3")</f>
        <v/>
      </c>
      <c r="G131" t="s"/>
      <c r="H131" t="s"/>
      <c r="I131" t="s"/>
      <c r="J131" t="n">
        <v>0.5106000000000001</v>
      </c>
      <c r="K131" t="n">
        <v>0</v>
      </c>
      <c r="L131" t="n">
        <v>0.845</v>
      </c>
      <c r="M131" t="n">
        <v>0.155</v>
      </c>
    </row>
    <row r="132" spans="1:13">
      <c r="A132" s="1">
        <f>HYPERLINK("http://www.twitter.com/NathanBLawrence/status/997240081227354117", "997240081227354117")</f>
        <v/>
      </c>
      <c r="B132" s="2" t="n">
        <v>43237.92982638889</v>
      </c>
      <c r="C132" t="n">
        <v>0</v>
      </c>
      <c r="D132" t="n">
        <v>31</v>
      </c>
      <c r="E132" t="s">
        <v>141</v>
      </c>
      <c r="F132">
        <f>HYPERLINK("http://pbs.twimg.com/media/DdbZwDrVwAIDEFj.jpg", "http://pbs.twimg.com/media/DdbZwDrVwAIDEFj.jpg")</f>
        <v/>
      </c>
      <c r="G132" t="s"/>
      <c r="H132" t="s"/>
      <c r="I132" t="s"/>
      <c r="J132" t="n">
        <v>-0.233</v>
      </c>
      <c r="K132" t="n">
        <v>0.123</v>
      </c>
      <c r="L132" t="n">
        <v>0.797</v>
      </c>
      <c r="M132" t="n">
        <v>0.08</v>
      </c>
    </row>
    <row r="133" spans="1:13">
      <c r="A133" s="1">
        <f>HYPERLINK("http://www.twitter.com/NathanBLawrence/status/997239678700064768", "997239678700064768")</f>
        <v/>
      </c>
      <c r="B133" s="2" t="n">
        <v>43237.92871527778</v>
      </c>
      <c r="C133" t="n">
        <v>0</v>
      </c>
      <c r="D133" t="n">
        <v>33</v>
      </c>
      <c r="E133" t="s">
        <v>142</v>
      </c>
      <c r="F133">
        <f>HYPERLINK("http://pbs.twimg.com/media/DdbW5vwVMAEzcor.jpg", "http://pbs.twimg.com/media/DdbW5vwVMAEzcor.jpg")</f>
        <v/>
      </c>
      <c r="G133" t="s"/>
      <c r="H133" t="s"/>
      <c r="I133" t="s"/>
      <c r="J133" t="n">
        <v>0.784</v>
      </c>
      <c r="K133" t="n">
        <v>0</v>
      </c>
      <c r="L133" t="n">
        <v>0.622</v>
      </c>
      <c r="M133" t="n">
        <v>0.378</v>
      </c>
    </row>
    <row r="134" spans="1:13">
      <c r="A134" s="1">
        <f>HYPERLINK("http://www.twitter.com/NathanBLawrence/status/997239666804953088", "997239666804953088")</f>
        <v/>
      </c>
      <c r="B134" s="2" t="n">
        <v>43237.92869212963</v>
      </c>
      <c r="C134" t="n">
        <v>0</v>
      </c>
      <c r="D134" t="n">
        <v>3</v>
      </c>
      <c r="E134" t="s">
        <v>143</v>
      </c>
      <c r="F134" t="s"/>
      <c r="G134" t="s"/>
      <c r="H134" t="s"/>
      <c r="I134" t="s"/>
      <c r="J134" t="n">
        <v>0</v>
      </c>
      <c r="K134" t="n">
        <v>0</v>
      </c>
      <c r="L134" t="n">
        <v>1</v>
      </c>
      <c r="M134" t="n">
        <v>0</v>
      </c>
    </row>
    <row r="135" spans="1:13">
      <c r="A135" s="1">
        <f>HYPERLINK("http://www.twitter.com/NathanBLawrence/status/997239170904010753", "997239170904010753")</f>
        <v/>
      </c>
      <c r="B135" s="2" t="n">
        <v>43237.92731481481</v>
      </c>
      <c r="C135" t="n">
        <v>0</v>
      </c>
      <c r="D135" t="n">
        <v>5</v>
      </c>
      <c r="E135" t="s">
        <v>144</v>
      </c>
      <c r="F135" t="s"/>
      <c r="G135" t="s"/>
      <c r="H135" t="s"/>
      <c r="I135" t="s"/>
      <c r="J135" t="n">
        <v>0.25</v>
      </c>
      <c r="K135" t="n">
        <v>0.111</v>
      </c>
      <c r="L135" t="n">
        <v>0.704</v>
      </c>
      <c r="M135" t="n">
        <v>0.185</v>
      </c>
    </row>
    <row r="136" spans="1:13">
      <c r="A136" s="1">
        <f>HYPERLINK("http://www.twitter.com/NathanBLawrence/status/997238817517178880", "997238817517178880")</f>
        <v/>
      </c>
      <c r="B136" s="2" t="n">
        <v>43237.92634259259</v>
      </c>
      <c r="C136" t="n">
        <v>19</v>
      </c>
      <c r="D136" t="n">
        <v>15</v>
      </c>
      <c r="E136" t="s">
        <v>145</v>
      </c>
      <c r="F136" t="s"/>
      <c r="G136" t="s"/>
      <c r="H136" t="s"/>
      <c r="I136" t="s"/>
      <c r="J136" t="n">
        <v>-0.3453</v>
      </c>
      <c r="K136" t="n">
        <v>0.158</v>
      </c>
      <c r="L136" t="n">
        <v>0.754</v>
      </c>
      <c r="M136" t="n">
        <v>0.08799999999999999</v>
      </c>
    </row>
    <row r="137" spans="1:13">
      <c r="A137" s="1">
        <f>HYPERLINK("http://www.twitter.com/NathanBLawrence/status/997054158149734401", "997054158149734401")</f>
        <v/>
      </c>
      <c r="B137" s="2" t="n">
        <v>43237.41678240741</v>
      </c>
      <c r="C137" t="n">
        <v>0</v>
      </c>
      <c r="D137" t="n">
        <v>14</v>
      </c>
      <c r="E137" t="s">
        <v>146</v>
      </c>
      <c r="F137">
        <f>HYPERLINK("http://pbs.twimg.com/media/DdQsAyUWkAAqSEy.jpg", "http://pbs.twimg.com/media/DdQsAyUWkAAqSEy.jpg")</f>
        <v/>
      </c>
      <c r="G137" t="s"/>
      <c r="H137" t="s"/>
      <c r="I137" t="s"/>
      <c r="J137" t="n">
        <v>0.4149</v>
      </c>
      <c r="K137" t="n">
        <v>0.051</v>
      </c>
      <c r="L137" t="n">
        <v>0.798</v>
      </c>
      <c r="M137" t="n">
        <v>0.151</v>
      </c>
    </row>
    <row r="138" spans="1:13">
      <c r="A138" s="1">
        <f>HYPERLINK("http://www.twitter.com/NathanBLawrence/status/997050618354307072", "997050618354307072")</f>
        <v/>
      </c>
      <c r="B138" s="2" t="n">
        <v>43237.40701388889</v>
      </c>
      <c r="C138" t="n">
        <v>0</v>
      </c>
      <c r="D138" t="n">
        <v>4</v>
      </c>
      <c r="E138" t="s">
        <v>147</v>
      </c>
      <c r="F138" t="s"/>
      <c r="G138" t="s"/>
      <c r="H138" t="s"/>
      <c r="I138" t="s"/>
      <c r="J138" t="n">
        <v>0.4767</v>
      </c>
      <c r="K138" t="n">
        <v>0.107</v>
      </c>
      <c r="L138" t="n">
        <v>0.676</v>
      </c>
      <c r="M138" t="n">
        <v>0.217</v>
      </c>
    </row>
    <row r="139" spans="1:13">
      <c r="A139" s="1">
        <f>HYPERLINK("http://www.twitter.com/NathanBLawrence/status/997050537102184448", "997050537102184448")</f>
        <v/>
      </c>
      <c r="B139" s="2" t="n">
        <v>43237.40679398148</v>
      </c>
      <c r="C139" t="n">
        <v>4</v>
      </c>
      <c r="D139" t="n">
        <v>3</v>
      </c>
      <c r="E139" t="s">
        <v>148</v>
      </c>
      <c r="F139" t="s"/>
      <c r="G139" t="s"/>
      <c r="H139" t="s"/>
      <c r="I139" t="s"/>
      <c r="J139" t="n">
        <v>0.9089</v>
      </c>
      <c r="K139" t="n">
        <v>0</v>
      </c>
      <c r="L139" t="n">
        <v>0.309</v>
      </c>
      <c r="M139" t="n">
        <v>0.6909999999999999</v>
      </c>
    </row>
    <row r="140" spans="1:13">
      <c r="A140" s="1">
        <f>HYPERLINK("http://www.twitter.com/NathanBLawrence/status/997046050782367745", "997046050782367745")</f>
        <v/>
      </c>
      <c r="B140" s="2" t="n">
        <v>43237.39440972222</v>
      </c>
      <c r="C140" t="n">
        <v>0</v>
      </c>
      <c r="D140" t="n">
        <v>11</v>
      </c>
      <c r="E140" t="s">
        <v>149</v>
      </c>
      <c r="F140" t="s"/>
      <c r="G140" t="s"/>
      <c r="H140" t="s"/>
      <c r="I140" t="s"/>
      <c r="J140" t="n">
        <v>-0.5106000000000001</v>
      </c>
      <c r="K140" t="n">
        <v>0.142</v>
      </c>
      <c r="L140" t="n">
        <v>0.858</v>
      </c>
      <c r="M140" t="n">
        <v>0</v>
      </c>
    </row>
    <row r="141" spans="1:13">
      <c r="A141" s="1">
        <f>HYPERLINK("http://www.twitter.com/NathanBLawrence/status/996979248794603520", "996979248794603520")</f>
        <v/>
      </c>
      <c r="B141" s="2" t="n">
        <v>43237.21006944445</v>
      </c>
      <c r="C141" t="n">
        <v>0</v>
      </c>
      <c r="D141" t="n">
        <v>106</v>
      </c>
      <c r="E141" t="s">
        <v>150</v>
      </c>
      <c r="F141" t="s"/>
      <c r="G141" t="s"/>
      <c r="H141" t="s"/>
      <c r="I141" t="s"/>
      <c r="J141" t="n">
        <v>0.3612</v>
      </c>
      <c r="K141" t="n">
        <v>0</v>
      </c>
      <c r="L141" t="n">
        <v>0.898</v>
      </c>
      <c r="M141" t="n">
        <v>0.102</v>
      </c>
    </row>
    <row r="142" spans="1:13">
      <c r="A142" s="1">
        <f>HYPERLINK("http://www.twitter.com/NathanBLawrence/status/996606520065515520", "996606520065515520")</f>
        <v/>
      </c>
      <c r="B142" s="2" t="n">
        <v>43236.18153935186</v>
      </c>
      <c r="C142" t="n">
        <v>0</v>
      </c>
      <c r="D142" t="n">
        <v>14</v>
      </c>
      <c r="E142" t="s">
        <v>151</v>
      </c>
      <c r="F142" t="s"/>
      <c r="G142" t="s"/>
      <c r="H142" t="s"/>
      <c r="I142" t="s"/>
      <c r="J142" t="n">
        <v>-0.4648</v>
      </c>
      <c r="K142" t="n">
        <v>0.121</v>
      </c>
      <c r="L142" t="n">
        <v>0.879</v>
      </c>
      <c r="M142" t="n">
        <v>0</v>
      </c>
    </row>
    <row r="143" spans="1:13">
      <c r="A143" s="1">
        <f>HYPERLINK("http://www.twitter.com/NathanBLawrence/status/996605796640272384", "996605796640272384")</f>
        <v/>
      </c>
      <c r="B143" s="2" t="n">
        <v>43236.17953703704</v>
      </c>
      <c r="C143" t="n">
        <v>0</v>
      </c>
      <c r="D143" t="n">
        <v>25</v>
      </c>
      <c r="E143" t="s">
        <v>152</v>
      </c>
      <c r="F143">
        <f>HYPERLINK("http://pbs.twimg.com/media/DdQOBynV0AAO_wj.jpg", "http://pbs.twimg.com/media/DdQOBynV0AAO_wj.jpg")</f>
        <v/>
      </c>
      <c r="G143" t="s"/>
      <c r="H143" t="s"/>
      <c r="I143" t="s"/>
      <c r="J143" t="n">
        <v>0</v>
      </c>
      <c r="K143" t="n">
        <v>0</v>
      </c>
      <c r="L143" t="n">
        <v>1</v>
      </c>
      <c r="M143" t="n">
        <v>0</v>
      </c>
    </row>
    <row r="144" spans="1:13">
      <c r="A144" s="1">
        <f>HYPERLINK("http://www.twitter.com/NathanBLawrence/status/996498315393974274", "996498315393974274")</f>
        <v/>
      </c>
      <c r="B144" s="2" t="n">
        <v>43235.88295138889</v>
      </c>
      <c r="C144" t="n">
        <v>2</v>
      </c>
      <c r="D144" t="n">
        <v>0</v>
      </c>
      <c r="E144" t="s">
        <v>153</v>
      </c>
      <c r="F144">
        <f>HYPERLINK("http://pbs.twimg.com/media/DdRF7WWWAAAq2rl.jpg", "http://pbs.twimg.com/media/DdRF7WWWAAAq2rl.jpg")</f>
        <v/>
      </c>
      <c r="G144" t="s"/>
      <c r="H144" t="s"/>
      <c r="I144" t="s"/>
      <c r="J144" t="n">
        <v>0</v>
      </c>
      <c r="K144" t="n">
        <v>0</v>
      </c>
      <c r="L144" t="n">
        <v>1</v>
      </c>
      <c r="M144" t="n">
        <v>0</v>
      </c>
    </row>
    <row r="145" spans="1:13">
      <c r="A145" s="1">
        <f>HYPERLINK("http://www.twitter.com/NathanBLawrence/status/996497068352049152", "996497068352049152")</f>
        <v/>
      </c>
      <c r="B145" s="2" t="n">
        <v>43235.87950231481</v>
      </c>
      <c r="C145" t="n">
        <v>0</v>
      </c>
      <c r="D145" t="n">
        <v>20</v>
      </c>
      <c r="E145" t="s">
        <v>154</v>
      </c>
      <c r="F145" t="s"/>
      <c r="G145" t="s"/>
      <c r="H145" t="s"/>
      <c r="I145" t="s"/>
      <c r="J145" t="n">
        <v>0</v>
      </c>
      <c r="K145" t="n">
        <v>0</v>
      </c>
      <c r="L145" t="n">
        <v>1</v>
      </c>
      <c r="M145" t="n">
        <v>0</v>
      </c>
    </row>
    <row r="146" spans="1:13">
      <c r="A146" s="1">
        <f>HYPERLINK("http://www.twitter.com/NathanBLawrence/status/996416503233773569", "996416503233773569")</f>
        <v/>
      </c>
      <c r="B146" s="2" t="n">
        <v>43235.6571875</v>
      </c>
      <c r="C146" t="n">
        <v>4</v>
      </c>
      <c r="D146" t="n">
        <v>5</v>
      </c>
      <c r="E146" t="s">
        <v>155</v>
      </c>
      <c r="F146">
        <f>HYPERLINK("http://pbs.twimg.com/media/DdP7hcEWkAEuUqP.jpg", "http://pbs.twimg.com/media/DdP7hcEWkAEuUqP.jpg")</f>
        <v/>
      </c>
      <c r="G146" t="s"/>
      <c r="H146" t="s"/>
      <c r="I146" t="s"/>
      <c r="J146" t="n">
        <v>-0.8155</v>
      </c>
      <c r="K146" t="n">
        <v>0.217</v>
      </c>
      <c r="L146" t="n">
        <v>0.6889999999999999</v>
      </c>
      <c r="M146" t="n">
        <v>0.094</v>
      </c>
    </row>
    <row r="147" spans="1:13">
      <c r="A147" s="1">
        <f>HYPERLINK("http://www.twitter.com/NathanBLawrence/status/996261758485528576", "996261758485528576")</f>
        <v/>
      </c>
      <c r="B147" s="2" t="n">
        <v>43235.23017361111</v>
      </c>
      <c r="C147" t="n">
        <v>0</v>
      </c>
      <c r="D147" t="n">
        <v>13</v>
      </c>
      <c r="E147" t="s">
        <v>156</v>
      </c>
      <c r="F147">
        <f>HYPERLINK("http://pbs.twimg.com/media/DdNNmBfWkAIePMt.jpg", "http://pbs.twimg.com/media/DdNNmBfWkAIePMt.jpg")</f>
        <v/>
      </c>
      <c r="G147" t="s"/>
      <c r="H147" t="s"/>
      <c r="I147" t="s"/>
      <c r="J147" t="n">
        <v>0</v>
      </c>
      <c r="K147" t="n">
        <v>0</v>
      </c>
      <c r="L147" t="n">
        <v>1</v>
      </c>
      <c r="M147" t="n">
        <v>0</v>
      </c>
    </row>
    <row r="148" spans="1:13">
      <c r="A148" s="1">
        <f>HYPERLINK("http://www.twitter.com/NathanBLawrence/status/996235068493500419", "996235068493500419")</f>
        <v/>
      </c>
      <c r="B148" s="2" t="n">
        <v>43235.15652777778</v>
      </c>
      <c r="C148" t="n">
        <v>0</v>
      </c>
      <c r="D148" t="n">
        <v>3</v>
      </c>
      <c r="E148" t="s">
        <v>157</v>
      </c>
      <c r="F148" t="s"/>
      <c r="G148" t="s"/>
      <c r="H148" t="s"/>
      <c r="I148" t="s"/>
      <c r="J148" t="n">
        <v>0.6229</v>
      </c>
      <c r="K148" t="n">
        <v>0.075</v>
      </c>
      <c r="L148" t="n">
        <v>0.705</v>
      </c>
      <c r="M148" t="n">
        <v>0.22</v>
      </c>
    </row>
    <row r="149" spans="1:13">
      <c r="A149" s="1">
        <f>HYPERLINK("http://www.twitter.com/NathanBLawrence/status/996234425213087744", "996234425213087744")</f>
        <v/>
      </c>
      <c r="B149" s="2" t="n">
        <v>43235.15474537037</v>
      </c>
      <c r="C149" t="n">
        <v>3</v>
      </c>
      <c r="D149" t="n">
        <v>0</v>
      </c>
      <c r="E149" t="s">
        <v>158</v>
      </c>
      <c r="F149" t="s"/>
      <c r="G149" t="s"/>
      <c r="H149" t="s"/>
      <c r="I149" t="s"/>
      <c r="J149" t="n">
        <v>0</v>
      </c>
      <c r="K149" t="n">
        <v>0</v>
      </c>
      <c r="L149" t="n">
        <v>1</v>
      </c>
      <c r="M149" t="n">
        <v>0</v>
      </c>
    </row>
    <row r="150" spans="1:13">
      <c r="A150" s="1">
        <f>HYPERLINK("http://www.twitter.com/NathanBLawrence/status/996233782209466369", "996233782209466369")</f>
        <v/>
      </c>
      <c r="B150" s="2" t="n">
        <v>43235.15297453704</v>
      </c>
      <c r="C150" t="n">
        <v>7</v>
      </c>
      <c r="D150" t="n">
        <v>1</v>
      </c>
      <c r="E150" t="s">
        <v>159</v>
      </c>
      <c r="F150" t="s"/>
      <c r="G150" t="s"/>
      <c r="H150" t="s"/>
      <c r="I150" t="s"/>
      <c r="J150" t="n">
        <v>0.6514</v>
      </c>
      <c r="K150" t="n">
        <v>0</v>
      </c>
      <c r="L150" t="n">
        <v>0.842</v>
      </c>
      <c r="M150" t="n">
        <v>0.158</v>
      </c>
    </row>
    <row r="151" spans="1:13">
      <c r="A151" s="1">
        <f>HYPERLINK("http://www.twitter.com/NathanBLawrence/status/996232025421111298", "996232025421111298")</f>
        <v/>
      </c>
      <c r="B151" s="2" t="n">
        <v>43235.148125</v>
      </c>
      <c r="C151" t="n">
        <v>0</v>
      </c>
      <c r="D151" t="n">
        <v>6</v>
      </c>
      <c r="E151" t="s">
        <v>160</v>
      </c>
      <c r="F151" t="s"/>
      <c r="G151" t="s"/>
      <c r="H151" t="s"/>
      <c r="I151" t="s"/>
      <c r="J151" t="n">
        <v>-0.6573</v>
      </c>
      <c r="K151" t="n">
        <v>0.204</v>
      </c>
      <c r="L151" t="n">
        <v>0.796</v>
      </c>
      <c r="M151" t="n">
        <v>0</v>
      </c>
    </row>
    <row r="152" spans="1:13">
      <c r="A152" s="1">
        <f>HYPERLINK("http://www.twitter.com/NathanBLawrence/status/996231912602718208", "996231912602718208")</f>
        <v/>
      </c>
      <c r="B152" s="2" t="n">
        <v>43235.1478125</v>
      </c>
      <c r="C152" t="n">
        <v>0</v>
      </c>
      <c r="D152" t="n">
        <v>198</v>
      </c>
      <c r="E152" t="s">
        <v>161</v>
      </c>
      <c r="F152" t="s"/>
      <c r="G152" t="s"/>
      <c r="H152" t="s"/>
      <c r="I152" t="s"/>
      <c r="J152" t="n">
        <v>-0.8442</v>
      </c>
      <c r="K152" t="n">
        <v>0.336</v>
      </c>
      <c r="L152" t="n">
        <v>0.664</v>
      </c>
      <c r="M152" t="n">
        <v>0</v>
      </c>
    </row>
    <row r="153" spans="1:13">
      <c r="A153" s="1">
        <f>HYPERLINK("http://www.twitter.com/NathanBLawrence/status/996231794319118336", "996231794319118336")</f>
        <v/>
      </c>
      <c r="B153" s="2" t="n">
        <v>43235.14748842592</v>
      </c>
      <c r="C153" t="n">
        <v>0</v>
      </c>
      <c r="D153" t="n">
        <v>10</v>
      </c>
      <c r="E153" t="s">
        <v>162</v>
      </c>
      <c r="F153" t="s"/>
      <c r="G153" t="s"/>
      <c r="H153" t="s"/>
      <c r="I153" t="s"/>
      <c r="J153" t="n">
        <v>-0.6369</v>
      </c>
      <c r="K153" t="n">
        <v>0.215</v>
      </c>
      <c r="L153" t="n">
        <v>0.785</v>
      </c>
      <c r="M153" t="n">
        <v>0</v>
      </c>
    </row>
    <row r="154" spans="1:13">
      <c r="A154" s="1">
        <f>HYPERLINK("http://www.twitter.com/NathanBLawrence/status/996231656511037440", "996231656511037440")</f>
        <v/>
      </c>
      <c r="B154" s="2" t="n">
        <v>43235.14710648148</v>
      </c>
      <c r="C154" t="n">
        <v>0</v>
      </c>
      <c r="D154" t="n">
        <v>22</v>
      </c>
      <c r="E154" t="s">
        <v>163</v>
      </c>
      <c r="F154" t="s"/>
      <c r="G154" t="s"/>
      <c r="H154" t="s"/>
      <c r="I154" t="s"/>
      <c r="J154" t="n">
        <v>-0.4767</v>
      </c>
      <c r="K154" t="n">
        <v>0.129</v>
      </c>
      <c r="L154" t="n">
        <v>0.871</v>
      </c>
      <c r="M154" t="n">
        <v>0</v>
      </c>
    </row>
    <row r="155" spans="1:13">
      <c r="A155" s="1">
        <f>HYPERLINK("http://www.twitter.com/NathanBLawrence/status/996231284593655808", "996231284593655808")</f>
        <v/>
      </c>
      <c r="B155" s="2" t="n">
        <v>43235.14607638889</v>
      </c>
      <c r="C155" t="n">
        <v>0</v>
      </c>
      <c r="D155" t="n">
        <v>23</v>
      </c>
      <c r="E155" t="s">
        <v>164</v>
      </c>
      <c r="F155">
        <f>HYPERLINK("http://pbs.twimg.com/media/DdMvXEtU8AAgf7a.jpg", "http://pbs.twimg.com/media/DdMvXEtU8AAgf7a.jpg")</f>
        <v/>
      </c>
      <c r="G155" t="s"/>
      <c r="H155" t="s"/>
      <c r="I155" t="s"/>
      <c r="J155" t="n">
        <v>-0.296</v>
      </c>
      <c r="K155" t="n">
        <v>0.104</v>
      </c>
      <c r="L155" t="n">
        <v>0.896</v>
      </c>
      <c r="M155" t="n">
        <v>0</v>
      </c>
    </row>
    <row r="156" spans="1:13">
      <c r="A156" s="1">
        <f>HYPERLINK("http://www.twitter.com/NathanBLawrence/status/996231160597540864", "996231160597540864")</f>
        <v/>
      </c>
      <c r="B156" s="2" t="n">
        <v>43235.14574074074</v>
      </c>
      <c r="C156" t="n">
        <v>0</v>
      </c>
      <c r="D156" t="n">
        <v>36</v>
      </c>
      <c r="E156" t="s">
        <v>165</v>
      </c>
      <c r="F156">
        <f>HYPERLINK("http://pbs.twimg.com/media/DdMo_hGWAAA9-6q.jpg", "http://pbs.twimg.com/media/DdMo_hGWAAA9-6q.jpg")</f>
        <v/>
      </c>
      <c r="G156" t="s"/>
      <c r="H156" t="s"/>
      <c r="I156" t="s"/>
      <c r="J156" t="n">
        <v>-0.3578</v>
      </c>
      <c r="K156" t="n">
        <v>0.112</v>
      </c>
      <c r="L156" t="n">
        <v>0.837</v>
      </c>
      <c r="M156" t="n">
        <v>0.05</v>
      </c>
    </row>
    <row r="157" spans="1:13">
      <c r="A157" s="1">
        <f>HYPERLINK("http://www.twitter.com/NathanBLawrence/status/996230788931833856", "996230788931833856")</f>
        <v/>
      </c>
      <c r="B157" s="2" t="n">
        <v>43235.14471064815</v>
      </c>
      <c r="C157" t="n">
        <v>0</v>
      </c>
      <c r="D157" t="n">
        <v>482</v>
      </c>
      <c r="E157" t="s">
        <v>166</v>
      </c>
      <c r="F157" t="s"/>
      <c r="G157" t="s"/>
      <c r="H157" t="s"/>
      <c r="I157" t="s"/>
      <c r="J157" t="n">
        <v>0.4588</v>
      </c>
      <c r="K157" t="n">
        <v>0.08</v>
      </c>
      <c r="L157" t="n">
        <v>0.763</v>
      </c>
      <c r="M157" t="n">
        <v>0.156</v>
      </c>
    </row>
    <row r="158" spans="1:13">
      <c r="A158" s="1">
        <f>HYPERLINK("http://www.twitter.com/NathanBLawrence/status/996076420718907392", "996076420718907392")</f>
        <v/>
      </c>
      <c r="B158" s="2" t="n">
        <v>43234.71873842592</v>
      </c>
      <c r="C158" t="n">
        <v>0</v>
      </c>
      <c r="D158" t="n">
        <v>22</v>
      </c>
      <c r="E158" t="s">
        <v>167</v>
      </c>
      <c r="F158" t="s"/>
      <c r="G158" t="s"/>
      <c r="H158" t="s"/>
      <c r="I158" t="s"/>
      <c r="J158" t="n">
        <v>0.2481</v>
      </c>
      <c r="K158" t="n">
        <v>0.096</v>
      </c>
      <c r="L158" t="n">
        <v>0.731</v>
      </c>
      <c r="M158" t="n">
        <v>0.173</v>
      </c>
    </row>
    <row r="159" spans="1:13">
      <c r="A159" s="1">
        <f>HYPERLINK("http://www.twitter.com/NathanBLawrence/status/996058070861209600", "996058070861209600")</f>
        <v/>
      </c>
      <c r="B159" s="2" t="n">
        <v>43234.66810185185</v>
      </c>
      <c r="C159" t="n">
        <v>0</v>
      </c>
      <c r="D159" t="n">
        <v>11001</v>
      </c>
      <c r="E159" t="s">
        <v>168</v>
      </c>
      <c r="F159">
        <f>HYPERLINK("https://video.twimg.com/ext_tw_video/996011243168137216/pu/vid/1280x720/dTrnPWv0HKhaiC_8.mp4?tag=3", "https://video.twimg.com/ext_tw_video/996011243168137216/pu/vid/1280x720/dTrnPWv0HKhaiC_8.mp4?tag=3")</f>
        <v/>
      </c>
      <c r="G159" t="s"/>
      <c r="H159" t="s"/>
      <c r="I159" t="s"/>
      <c r="J159" t="n">
        <v>0.6679</v>
      </c>
      <c r="K159" t="n">
        <v>0.098</v>
      </c>
      <c r="L159" t="n">
        <v>0.663</v>
      </c>
      <c r="M159" t="n">
        <v>0.239</v>
      </c>
    </row>
    <row r="160" spans="1:13">
      <c r="A160" s="1">
        <f>HYPERLINK("http://www.twitter.com/NathanBLawrence/status/996057556048105472", "996057556048105472")</f>
        <v/>
      </c>
      <c r="B160" s="2" t="n">
        <v>43234.66667824074</v>
      </c>
      <c r="C160" t="n">
        <v>0</v>
      </c>
      <c r="D160" t="n">
        <v>236</v>
      </c>
      <c r="E160" t="s">
        <v>169</v>
      </c>
      <c r="F160">
        <f>HYPERLINK("http://pbs.twimg.com/media/DdKXxrjWkAA0R78.jpg", "http://pbs.twimg.com/media/DdKXxrjWkAA0R78.jpg")</f>
        <v/>
      </c>
      <c r="G160" t="s"/>
      <c r="H160" t="s"/>
      <c r="I160" t="s"/>
      <c r="J160" t="n">
        <v>0.1007</v>
      </c>
      <c r="K160" t="n">
        <v>0.107</v>
      </c>
      <c r="L160" t="n">
        <v>0.772</v>
      </c>
      <c r="M160" t="n">
        <v>0.121</v>
      </c>
    </row>
    <row r="161" spans="1:13">
      <c r="A161" s="1">
        <f>HYPERLINK("http://www.twitter.com/NathanBLawrence/status/996033810608345088", "996033810608345088")</f>
        <v/>
      </c>
      <c r="B161" s="2" t="n">
        <v>43234.60115740741</v>
      </c>
      <c r="C161" t="n">
        <v>0</v>
      </c>
      <c r="D161" t="n">
        <v>18</v>
      </c>
      <c r="E161" t="s">
        <v>170</v>
      </c>
      <c r="F161" t="s"/>
      <c r="G161" t="s"/>
      <c r="H161" t="s"/>
      <c r="I161" t="s"/>
      <c r="J161" t="n">
        <v>-0.4019</v>
      </c>
      <c r="K161" t="n">
        <v>0.262</v>
      </c>
      <c r="L161" t="n">
        <v>0.5610000000000001</v>
      </c>
      <c r="M161" t="n">
        <v>0.178</v>
      </c>
    </row>
    <row r="162" spans="1:13">
      <c r="A162" s="1">
        <f>HYPERLINK("http://www.twitter.com/NathanBLawrence/status/995993293929435136", "995993293929435136")</f>
        <v/>
      </c>
      <c r="B162" s="2" t="n">
        <v>43234.48935185185</v>
      </c>
      <c r="C162" t="n">
        <v>0</v>
      </c>
      <c r="D162" t="n">
        <v>18401</v>
      </c>
      <c r="E162" t="s">
        <v>171</v>
      </c>
      <c r="F162">
        <f>HYPERLINK("https://video.twimg.com/ext_tw_video/992501842553663488/pu/vid/1280x720/5Z79u27HVGQFUonV.mp4?tag=3", "https://video.twimg.com/ext_tw_video/992501842553663488/pu/vid/1280x720/5Z79u27HVGQFUonV.mp4?tag=3")</f>
        <v/>
      </c>
      <c r="G162" t="s"/>
      <c r="H162" t="s"/>
      <c r="I162" t="s"/>
      <c r="J162" t="n">
        <v>0.8957000000000001</v>
      </c>
      <c r="K162" t="n">
        <v>0</v>
      </c>
      <c r="L162" t="n">
        <v>0.64</v>
      </c>
      <c r="M162" t="n">
        <v>0.36</v>
      </c>
    </row>
    <row r="163" spans="1:13">
      <c r="A163" s="1">
        <f>HYPERLINK("http://www.twitter.com/NathanBLawrence/status/995988732233834496", "995988732233834496")</f>
        <v/>
      </c>
      <c r="B163" s="2" t="n">
        <v>43234.47675925926</v>
      </c>
      <c r="C163" t="n">
        <v>16</v>
      </c>
      <c r="D163" t="n">
        <v>22</v>
      </c>
      <c r="E163" t="s">
        <v>172</v>
      </c>
      <c r="F163" t="s"/>
      <c r="G163" t="s"/>
      <c r="H163" t="s"/>
      <c r="I163" t="s"/>
      <c r="J163" t="n">
        <v>0.2714</v>
      </c>
      <c r="K163" t="n">
        <v>0.06</v>
      </c>
      <c r="L163" t="n">
        <v>0.843</v>
      </c>
      <c r="M163" t="n">
        <v>0.097</v>
      </c>
    </row>
    <row r="164" spans="1:13">
      <c r="A164" s="1">
        <f>HYPERLINK("http://www.twitter.com/NathanBLawrence/status/995977187034587136", "995977187034587136")</f>
        <v/>
      </c>
      <c r="B164" s="2" t="n">
        <v>43234.44490740741</v>
      </c>
      <c r="C164" t="n">
        <v>0</v>
      </c>
      <c r="D164" t="n">
        <v>1</v>
      </c>
      <c r="E164" t="s">
        <v>173</v>
      </c>
      <c r="F164" t="s"/>
      <c r="G164" t="s"/>
      <c r="H164" t="s"/>
      <c r="I164" t="s"/>
      <c r="J164" t="n">
        <v>0</v>
      </c>
      <c r="K164" t="n">
        <v>0</v>
      </c>
      <c r="L164" t="n">
        <v>1</v>
      </c>
      <c r="M164" t="n">
        <v>0</v>
      </c>
    </row>
    <row r="165" spans="1:13">
      <c r="A165" s="1">
        <f>HYPERLINK("http://www.twitter.com/NathanBLawrence/status/995937334263713792", "995937334263713792")</f>
        <v/>
      </c>
      <c r="B165" s="2" t="n">
        <v>43234.33493055555</v>
      </c>
      <c r="C165" t="n">
        <v>0</v>
      </c>
      <c r="D165" t="n">
        <v>1715</v>
      </c>
      <c r="E165" t="s">
        <v>174</v>
      </c>
      <c r="F165">
        <f>HYPERLINK("https://video.twimg.com/ext_tw_video/995604453205200896/pu/vid/1280x720/yREuMBqy8uddweO2.mp4?tag=3", "https://video.twimg.com/ext_tw_video/995604453205200896/pu/vid/1280x720/yREuMBqy8uddweO2.mp4?tag=3")</f>
        <v/>
      </c>
      <c r="G165" t="s"/>
      <c r="H165" t="s"/>
      <c r="I165" t="s"/>
      <c r="J165" t="n">
        <v>0</v>
      </c>
      <c r="K165" t="n">
        <v>0</v>
      </c>
      <c r="L165" t="n">
        <v>1</v>
      </c>
      <c r="M165" t="n">
        <v>0</v>
      </c>
    </row>
    <row r="166" spans="1:13">
      <c r="A166" s="1">
        <f>HYPERLINK("http://www.twitter.com/NathanBLawrence/status/995937219524354048", "995937219524354048")</f>
        <v/>
      </c>
      <c r="B166" s="2" t="n">
        <v>43234.33461805555</v>
      </c>
      <c r="C166" t="n">
        <v>0</v>
      </c>
      <c r="D166" t="n">
        <v>17</v>
      </c>
      <c r="E166" t="s">
        <v>175</v>
      </c>
      <c r="F166">
        <f>HYPERLINK("http://pbs.twimg.com/media/Dc_3OMiXkAAaUt5.jpg", "http://pbs.twimg.com/media/Dc_3OMiXkAAaUt5.jpg")</f>
        <v/>
      </c>
      <c r="G166" t="s"/>
      <c r="H166" t="s"/>
      <c r="I166" t="s"/>
      <c r="J166" t="n">
        <v>0</v>
      </c>
      <c r="K166" t="n">
        <v>0</v>
      </c>
      <c r="L166" t="n">
        <v>1</v>
      </c>
      <c r="M166" t="n">
        <v>0</v>
      </c>
    </row>
    <row r="167" spans="1:13">
      <c r="A167" s="1">
        <f>HYPERLINK("http://www.twitter.com/NathanBLawrence/status/995936705944477696", "995936705944477696")</f>
        <v/>
      </c>
      <c r="B167" s="2" t="n">
        <v>43234.33319444444</v>
      </c>
      <c r="C167" t="n">
        <v>0</v>
      </c>
      <c r="D167" t="n">
        <v>3889</v>
      </c>
      <c r="E167" t="s">
        <v>176</v>
      </c>
      <c r="F167" t="s"/>
      <c r="G167" t="s"/>
      <c r="H167" t="s"/>
      <c r="I167" t="s"/>
      <c r="J167" t="n">
        <v>-0.2263</v>
      </c>
      <c r="K167" t="n">
        <v>0.146</v>
      </c>
      <c r="L167" t="n">
        <v>0.854</v>
      </c>
      <c r="M167" t="n">
        <v>0</v>
      </c>
    </row>
    <row r="168" spans="1:13">
      <c r="A168" s="1">
        <f>HYPERLINK("http://www.twitter.com/NathanBLawrence/status/995931819643154432", "995931819643154432")</f>
        <v/>
      </c>
      <c r="B168" s="2" t="n">
        <v>43234.31971064815</v>
      </c>
      <c r="C168" t="n">
        <v>0</v>
      </c>
      <c r="D168" t="n">
        <v>995</v>
      </c>
      <c r="E168" t="s">
        <v>177</v>
      </c>
      <c r="F168" t="s"/>
      <c r="G168" t="s"/>
      <c r="H168" t="s"/>
      <c r="I168" t="s"/>
      <c r="J168" t="n">
        <v>0.4767</v>
      </c>
      <c r="K168" t="n">
        <v>0.083</v>
      </c>
      <c r="L168" t="n">
        <v>0.711</v>
      </c>
      <c r="M168" t="n">
        <v>0.206</v>
      </c>
    </row>
    <row r="169" spans="1:13">
      <c r="A169" s="1">
        <f>HYPERLINK("http://www.twitter.com/NathanBLawrence/status/995930622928580608", "995930622928580608")</f>
        <v/>
      </c>
      <c r="B169" s="2" t="n">
        <v>43234.31641203703</v>
      </c>
      <c r="C169" t="n">
        <v>0</v>
      </c>
      <c r="D169" t="n">
        <v>9373</v>
      </c>
      <c r="E169" t="s">
        <v>178</v>
      </c>
      <c r="F169">
        <f>HYPERLINK("http://pbs.twimg.com/media/Dc4Mw6CVMAERSPA.jpg", "http://pbs.twimg.com/media/Dc4Mw6CVMAERSPA.jpg")</f>
        <v/>
      </c>
      <c r="G169" t="s"/>
      <c r="H169" t="s"/>
      <c r="I169" t="s"/>
      <c r="J169" t="n">
        <v>-0.6229</v>
      </c>
      <c r="K169" t="n">
        <v>0.282</v>
      </c>
      <c r="L169" t="n">
        <v>0.623</v>
      </c>
      <c r="M169" t="n">
        <v>0.095</v>
      </c>
    </row>
    <row r="170" spans="1:13">
      <c r="A170" s="1">
        <f>HYPERLINK("http://www.twitter.com/NathanBLawrence/status/995930029245829120", "995930029245829120")</f>
        <v/>
      </c>
      <c r="B170" s="2" t="n">
        <v>43234.31478009259</v>
      </c>
      <c r="C170" t="n">
        <v>0</v>
      </c>
      <c r="D170" t="n">
        <v>33</v>
      </c>
      <c r="E170" t="s">
        <v>179</v>
      </c>
      <c r="F170" t="s"/>
      <c r="G170" t="s"/>
      <c r="H170" t="s"/>
      <c r="I170" t="s"/>
      <c r="J170" t="n">
        <v>0</v>
      </c>
      <c r="K170" t="n">
        <v>0</v>
      </c>
      <c r="L170" t="n">
        <v>1</v>
      </c>
      <c r="M170" t="n">
        <v>0</v>
      </c>
    </row>
    <row r="171" spans="1:13">
      <c r="A171" s="1">
        <f>HYPERLINK("http://www.twitter.com/NathanBLawrence/status/995929586679545856", "995929586679545856")</f>
        <v/>
      </c>
      <c r="B171" s="2" t="n">
        <v>43234.31355324074</v>
      </c>
      <c r="C171" t="n">
        <v>0</v>
      </c>
      <c r="D171" t="n">
        <v>80</v>
      </c>
      <c r="E171" t="s">
        <v>180</v>
      </c>
      <c r="F171">
        <f>HYPERLINK("http://pbs.twimg.com/media/DdG5Vr0U8AAZymR.jpg", "http://pbs.twimg.com/media/DdG5Vr0U8AAZymR.jpg")</f>
        <v/>
      </c>
      <c r="G171" t="s"/>
      <c r="H171" t="s"/>
      <c r="I171" t="s"/>
      <c r="J171" t="n">
        <v>0.4019</v>
      </c>
      <c r="K171" t="n">
        <v>0</v>
      </c>
      <c r="L171" t="n">
        <v>0.876</v>
      </c>
      <c r="M171" t="n">
        <v>0.124</v>
      </c>
    </row>
    <row r="172" spans="1:13">
      <c r="A172" s="1">
        <f>HYPERLINK("http://www.twitter.com/NathanBLawrence/status/995928526497964032", "995928526497964032")</f>
        <v/>
      </c>
      <c r="B172" s="2" t="n">
        <v>43234.310625</v>
      </c>
      <c r="C172" t="n">
        <v>0</v>
      </c>
      <c r="D172" t="n">
        <v>2737</v>
      </c>
      <c r="E172" t="s">
        <v>181</v>
      </c>
      <c r="F172" t="s"/>
      <c r="G172" t="s"/>
      <c r="H172" t="s"/>
      <c r="I172" t="s"/>
      <c r="J172" t="n">
        <v>0</v>
      </c>
      <c r="K172" t="n">
        <v>0</v>
      </c>
      <c r="L172" t="n">
        <v>1</v>
      </c>
      <c r="M172" t="n">
        <v>0</v>
      </c>
    </row>
    <row r="173" spans="1:13">
      <c r="A173" s="1">
        <f>HYPERLINK("http://www.twitter.com/NathanBLawrence/status/995883293131329536", "995883293131329536")</f>
        <v/>
      </c>
      <c r="B173" s="2" t="n">
        <v>43234.18581018518</v>
      </c>
      <c r="C173" t="n">
        <v>0</v>
      </c>
      <c r="D173" t="n">
        <v>1354</v>
      </c>
      <c r="E173" t="s">
        <v>182</v>
      </c>
      <c r="F173" t="s"/>
      <c r="G173" t="s"/>
      <c r="H173" t="s"/>
      <c r="I173" t="s"/>
      <c r="J173" t="n">
        <v>-0.2619</v>
      </c>
      <c r="K173" t="n">
        <v>0.132</v>
      </c>
      <c r="L173" t="n">
        <v>0.773</v>
      </c>
      <c r="M173" t="n">
        <v>0.095</v>
      </c>
    </row>
    <row r="174" spans="1:13">
      <c r="A174" s="1">
        <f>HYPERLINK("http://www.twitter.com/NathanBLawrence/status/995654657455329280", "995654657455329280")</f>
        <v/>
      </c>
      <c r="B174" s="2" t="n">
        <v>43233.55489583333</v>
      </c>
      <c r="C174" t="n">
        <v>0</v>
      </c>
      <c r="D174" t="n">
        <v>1873</v>
      </c>
      <c r="E174" t="s">
        <v>183</v>
      </c>
      <c r="F174">
        <f>HYPERLINK("http://pbs.twimg.com/media/DdCOQojUwAAo9oB.jpg", "http://pbs.twimg.com/media/DdCOQojUwAAo9oB.jpg")</f>
        <v/>
      </c>
      <c r="G174" t="s"/>
      <c r="H174" t="s"/>
      <c r="I174" t="s"/>
      <c r="J174" t="n">
        <v>-0.5574</v>
      </c>
      <c r="K174" t="n">
        <v>0.262</v>
      </c>
      <c r="L174" t="n">
        <v>0.617</v>
      </c>
      <c r="M174" t="n">
        <v>0.12</v>
      </c>
    </row>
    <row r="175" spans="1:13">
      <c r="A175" s="1">
        <f>HYPERLINK("http://www.twitter.com/NathanBLawrence/status/995649892679897094", "995649892679897094")</f>
        <v/>
      </c>
      <c r="B175" s="2" t="n">
        <v>43233.54174768519</v>
      </c>
      <c r="C175" t="n">
        <v>1</v>
      </c>
      <c r="D175" t="n">
        <v>0</v>
      </c>
      <c r="E175" t="s">
        <v>184</v>
      </c>
      <c r="F175" t="s"/>
      <c r="G175" t="s"/>
      <c r="H175" t="s"/>
      <c r="I175" t="s"/>
      <c r="J175" t="n">
        <v>0.6917</v>
      </c>
      <c r="K175" t="n">
        <v>0.079</v>
      </c>
      <c r="L175" t="n">
        <v>0.769</v>
      </c>
      <c r="M175" t="n">
        <v>0.152</v>
      </c>
    </row>
    <row r="176" spans="1:13">
      <c r="A176" s="1">
        <f>HYPERLINK("http://www.twitter.com/NathanBLawrence/status/995638446235570176", "995638446235570176")</f>
        <v/>
      </c>
      <c r="B176" s="2" t="n">
        <v>43233.51016203704</v>
      </c>
      <c r="C176" t="n">
        <v>0</v>
      </c>
      <c r="D176" t="n">
        <v>154</v>
      </c>
      <c r="E176" t="s">
        <v>185</v>
      </c>
      <c r="F176">
        <f>HYPERLINK("http://pbs.twimg.com/media/DdE0J86VwAAS7Ac.jpg", "http://pbs.twimg.com/media/DdE0J86VwAAS7Ac.jpg")</f>
        <v/>
      </c>
      <c r="G176">
        <f>HYPERLINK("http://pbs.twimg.com/media/DdE0J82U0AEsLGK.jpg", "http://pbs.twimg.com/media/DdE0J82U0AEsLGK.jpg")</f>
        <v/>
      </c>
      <c r="H176" t="s"/>
      <c r="I176" t="s"/>
      <c r="J176" t="n">
        <v>0</v>
      </c>
      <c r="K176" t="n">
        <v>0</v>
      </c>
      <c r="L176" t="n">
        <v>1</v>
      </c>
      <c r="M176" t="n">
        <v>0</v>
      </c>
    </row>
    <row r="177" spans="1:13">
      <c r="A177" s="1">
        <f>HYPERLINK("http://www.twitter.com/NathanBLawrence/status/995638168580968449", "995638168580968449")</f>
        <v/>
      </c>
      <c r="B177" s="2" t="n">
        <v>43233.50939814815</v>
      </c>
      <c r="C177" t="n">
        <v>0</v>
      </c>
      <c r="D177" t="n">
        <v>339</v>
      </c>
      <c r="E177" t="s">
        <v>186</v>
      </c>
      <c r="F177">
        <f>HYPERLINK("http://pbs.twimg.com/media/DcsjNOEUQAAsyDl.jpg", "http://pbs.twimg.com/media/DcsjNOEUQAAsyDl.jpg")</f>
        <v/>
      </c>
      <c r="G177" t="s"/>
      <c r="H177" t="s"/>
      <c r="I177" t="s"/>
      <c r="J177" t="n">
        <v>0.4926</v>
      </c>
      <c r="K177" t="n">
        <v>0.118</v>
      </c>
      <c r="L177" t="n">
        <v>0.538</v>
      </c>
      <c r="M177" t="n">
        <v>0.344</v>
      </c>
    </row>
    <row r="178" spans="1:13">
      <c r="A178" s="1">
        <f>HYPERLINK("http://www.twitter.com/NathanBLawrence/status/995637176472952832", "995637176472952832")</f>
        <v/>
      </c>
      <c r="B178" s="2" t="n">
        <v>43233.50665509259</v>
      </c>
      <c r="C178" t="n">
        <v>0</v>
      </c>
      <c r="D178" t="n">
        <v>5072</v>
      </c>
      <c r="E178" t="s">
        <v>187</v>
      </c>
      <c r="F178" t="s"/>
      <c r="G178" t="s"/>
      <c r="H178" t="s"/>
      <c r="I178" t="s"/>
      <c r="J178" t="n">
        <v>-0.4939</v>
      </c>
      <c r="K178" t="n">
        <v>0.212</v>
      </c>
      <c r="L178" t="n">
        <v>0.6929999999999999</v>
      </c>
      <c r="M178" t="n">
        <v>0.095</v>
      </c>
    </row>
    <row r="179" spans="1:13">
      <c r="A179" s="1">
        <f>HYPERLINK("http://www.twitter.com/NathanBLawrence/status/995545776964231168", "995545776964231168")</f>
        <v/>
      </c>
      <c r="B179" s="2" t="n">
        <v>43233.25444444444</v>
      </c>
      <c r="C179" t="n">
        <v>0</v>
      </c>
      <c r="D179" t="n">
        <v>1438</v>
      </c>
      <c r="E179" t="s">
        <v>188</v>
      </c>
      <c r="F179">
        <f>HYPERLINK("http://pbs.twimg.com/media/DdAu2gKV0AAy8V8.jpg", "http://pbs.twimg.com/media/DdAu2gKV0AAy8V8.jpg")</f>
        <v/>
      </c>
      <c r="G179" t="s"/>
      <c r="H179" t="s"/>
      <c r="I179" t="s"/>
      <c r="J179" t="n">
        <v>-0.9253</v>
      </c>
      <c r="K179" t="n">
        <v>0.384</v>
      </c>
      <c r="L179" t="n">
        <v>0.616</v>
      </c>
      <c r="M179" t="n">
        <v>0</v>
      </c>
    </row>
    <row r="180" spans="1:13">
      <c r="A180" s="1">
        <f>HYPERLINK("http://www.twitter.com/NathanBLawrence/status/995340747984506880", "995340747984506880")</f>
        <v/>
      </c>
      <c r="B180" s="2" t="n">
        <v>43232.68866898148</v>
      </c>
      <c r="C180" t="n">
        <v>0</v>
      </c>
      <c r="D180" t="n">
        <v>7</v>
      </c>
      <c r="E180" t="s">
        <v>189</v>
      </c>
      <c r="F180">
        <f>HYPERLINK("http://pbs.twimg.com/media/DdAX5-9VAAE8-di.jpg", "http://pbs.twimg.com/media/DdAX5-9VAAE8-di.jpg")</f>
        <v/>
      </c>
      <c r="G180" t="s"/>
      <c r="H180" t="s"/>
      <c r="I180" t="s"/>
      <c r="J180" t="n">
        <v>0</v>
      </c>
      <c r="K180" t="n">
        <v>0</v>
      </c>
      <c r="L180" t="n">
        <v>1</v>
      </c>
      <c r="M180" t="n">
        <v>0</v>
      </c>
    </row>
    <row r="181" spans="1:13">
      <c r="A181" s="1">
        <f>HYPERLINK("http://www.twitter.com/NathanBLawrence/status/995216741000204289", "995216741000204289")</f>
        <v/>
      </c>
      <c r="B181" s="2" t="n">
        <v>43232.34646990741</v>
      </c>
      <c r="C181" t="n">
        <v>0</v>
      </c>
      <c r="D181" t="n">
        <v>2053</v>
      </c>
      <c r="E181" t="s">
        <v>190</v>
      </c>
      <c r="F181">
        <f>HYPERLINK("https://video.twimg.com/ext_tw_video/995119021665144832/pu/vid/720x1280/zyc-XjxMyo1yRB3R.mp4?tag=3", "https://video.twimg.com/ext_tw_video/995119021665144832/pu/vid/720x1280/zyc-XjxMyo1yRB3R.mp4?tag=3")</f>
        <v/>
      </c>
      <c r="G181" t="s"/>
      <c r="H181" t="s"/>
      <c r="I181" t="s"/>
      <c r="J181" t="n">
        <v>-0.7003</v>
      </c>
      <c r="K181" t="n">
        <v>0.173</v>
      </c>
      <c r="L181" t="n">
        <v>0.827</v>
      </c>
      <c r="M181" t="n">
        <v>0</v>
      </c>
    </row>
    <row r="182" spans="1:13">
      <c r="A182" s="1">
        <f>HYPERLINK("http://www.twitter.com/NathanBLawrence/status/995208957768724480", "995208957768724480")</f>
        <v/>
      </c>
      <c r="B182" s="2" t="n">
        <v>43232.325</v>
      </c>
      <c r="C182" t="n">
        <v>0</v>
      </c>
      <c r="D182" t="n">
        <v>4</v>
      </c>
      <c r="E182" t="s">
        <v>191</v>
      </c>
      <c r="F182" t="s"/>
      <c r="G182" t="s"/>
      <c r="H182" t="s"/>
      <c r="I182" t="s"/>
      <c r="J182" t="n">
        <v>-0.765</v>
      </c>
      <c r="K182" t="n">
        <v>0.268</v>
      </c>
      <c r="L182" t="n">
        <v>0.645</v>
      </c>
      <c r="M182" t="n">
        <v>0.08699999999999999</v>
      </c>
    </row>
    <row r="183" spans="1:13">
      <c r="A183" s="1">
        <f>HYPERLINK("http://www.twitter.com/NathanBLawrence/status/995196801752928256", "995196801752928256")</f>
        <v/>
      </c>
      <c r="B183" s="2" t="n">
        <v>43232.29145833333</v>
      </c>
      <c r="C183" t="n">
        <v>0</v>
      </c>
      <c r="D183" t="n">
        <v>10178</v>
      </c>
      <c r="E183" t="s">
        <v>192</v>
      </c>
      <c r="F183" t="s"/>
      <c r="G183" t="s"/>
      <c r="H183" t="s"/>
      <c r="I183" t="s"/>
      <c r="J183" t="n">
        <v>0</v>
      </c>
      <c r="K183" t="n">
        <v>0</v>
      </c>
      <c r="L183" t="n">
        <v>1</v>
      </c>
      <c r="M183" t="n">
        <v>0</v>
      </c>
    </row>
    <row r="184" spans="1:13">
      <c r="A184" s="1">
        <f>HYPERLINK("http://www.twitter.com/NathanBLawrence/status/995196633888550912", "995196633888550912")</f>
        <v/>
      </c>
      <c r="B184" s="2" t="n">
        <v>43232.29099537037</v>
      </c>
      <c r="C184" t="n">
        <v>0</v>
      </c>
      <c r="D184" t="n">
        <v>125</v>
      </c>
      <c r="E184" t="s">
        <v>193</v>
      </c>
      <c r="F184">
        <f>HYPERLINK("http://pbs.twimg.com/media/Dc3ifnhU8AMoWFF.jpg", "http://pbs.twimg.com/media/Dc3ifnhU8AMoWFF.jpg")</f>
        <v/>
      </c>
      <c r="G184" t="s"/>
      <c r="H184" t="s"/>
      <c r="I184" t="s"/>
      <c r="J184" t="n">
        <v>0.4466</v>
      </c>
      <c r="K184" t="n">
        <v>0</v>
      </c>
      <c r="L184" t="n">
        <v>0.672</v>
      </c>
      <c r="M184" t="n">
        <v>0.328</v>
      </c>
    </row>
    <row r="185" spans="1:13">
      <c r="A185" s="1">
        <f>HYPERLINK("http://www.twitter.com/NathanBLawrence/status/995192413026226177", "995192413026226177")</f>
        <v/>
      </c>
      <c r="B185" s="2" t="n">
        <v>43232.27934027778</v>
      </c>
      <c r="C185" t="n">
        <v>0</v>
      </c>
      <c r="D185" t="n">
        <v>18</v>
      </c>
      <c r="E185" t="s">
        <v>194</v>
      </c>
      <c r="F185">
        <f>HYPERLINK("http://pbs.twimg.com/media/Dc-Rp8kW4AA6MNf.jpg", "http://pbs.twimg.com/media/Dc-Rp8kW4AA6MNf.jpg")</f>
        <v/>
      </c>
      <c r="G185" t="s"/>
      <c r="H185" t="s"/>
      <c r="I185" t="s"/>
      <c r="J185" t="n">
        <v>0.5719</v>
      </c>
      <c r="K185" t="n">
        <v>0</v>
      </c>
      <c r="L185" t="n">
        <v>0.829</v>
      </c>
      <c r="M185" t="n">
        <v>0.171</v>
      </c>
    </row>
    <row r="186" spans="1:13">
      <c r="A186" s="1">
        <f>HYPERLINK("http://www.twitter.com/NathanBLawrence/status/995171679503560704", "995171679503560704")</f>
        <v/>
      </c>
      <c r="B186" s="2" t="n">
        <v>43232.22212962963</v>
      </c>
      <c r="C186" t="n">
        <v>0</v>
      </c>
      <c r="D186" t="n">
        <v>50</v>
      </c>
      <c r="E186" t="s">
        <v>195</v>
      </c>
      <c r="F186">
        <f>HYPERLINK("http://pbs.twimg.com/media/Dc9jB5aX0AANKgf.jpg", "http://pbs.twimg.com/media/Dc9jB5aX0AANKgf.jpg")</f>
        <v/>
      </c>
      <c r="G186" t="s"/>
      <c r="H186" t="s"/>
      <c r="I186" t="s"/>
      <c r="J186" t="n">
        <v>0</v>
      </c>
      <c r="K186" t="n">
        <v>0</v>
      </c>
      <c r="L186" t="n">
        <v>1</v>
      </c>
      <c r="M186" t="n">
        <v>0</v>
      </c>
    </row>
    <row r="187" spans="1:13">
      <c r="A187" s="1">
        <f>HYPERLINK("http://www.twitter.com/NathanBLawrence/status/995126284488454144", "995126284488454144")</f>
        <v/>
      </c>
      <c r="B187" s="2" t="n">
        <v>43232.09686342593</v>
      </c>
      <c r="C187" t="n">
        <v>0</v>
      </c>
      <c r="D187" t="n">
        <v>5</v>
      </c>
      <c r="E187" t="s">
        <v>196</v>
      </c>
      <c r="F187" t="s"/>
      <c r="G187" t="s"/>
      <c r="H187" t="s"/>
      <c r="I187" t="s"/>
      <c r="J187" t="n">
        <v>-0.7437</v>
      </c>
      <c r="K187" t="n">
        <v>0.288</v>
      </c>
      <c r="L187" t="n">
        <v>0.655</v>
      </c>
      <c r="M187" t="n">
        <v>0.057</v>
      </c>
    </row>
    <row r="188" spans="1:13">
      <c r="A188" s="1">
        <f>HYPERLINK("http://www.twitter.com/NathanBLawrence/status/995126220298817537", "995126220298817537")</f>
        <v/>
      </c>
      <c r="B188" s="2" t="n">
        <v>43232.09668981482</v>
      </c>
      <c r="C188" t="n">
        <v>0</v>
      </c>
      <c r="D188" t="n">
        <v>8</v>
      </c>
      <c r="E188" t="s">
        <v>197</v>
      </c>
      <c r="F188" t="s"/>
      <c r="G188" t="s"/>
      <c r="H188" t="s"/>
      <c r="I188" t="s"/>
      <c r="J188" t="n">
        <v>-0.7096</v>
      </c>
      <c r="K188" t="n">
        <v>0.247</v>
      </c>
      <c r="L188" t="n">
        <v>0.695</v>
      </c>
      <c r="M188" t="n">
        <v>0.058</v>
      </c>
    </row>
    <row r="189" spans="1:13">
      <c r="A189" s="1">
        <f>HYPERLINK("http://www.twitter.com/NathanBLawrence/status/995126210991714305", "995126210991714305")</f>
        <v/>
      </c>
      <c r="B189" s="2" t="n">
        <v>43232.0966550926</v>
      </c>
      <c r="C189" t="n">
        <v>0</v>
      </c>
      <c r="D189" t="n">
        <v>2</v>
      </c>
      <c r="E189" t="s">
        <v>198</v>
      </c>
      <c r="F189" t="s"/>
      <c r="G189" t="s"/>
      <c r="H189" t="s"/>
      <c r="I189" t="s"/>
      <c r="J189" t="n">
        <v>-0.5009</v>
      </c>
      <c r="K189" t="n">
        <v>0.134</v>
      </c>
      <c r="L189" t="n">
        <v>0.866</v>
      </c>
      <c r="M189" t="n">
        <v>0</v>
      </c>
    </row>
    <row r="190" spans="1:13">
      <c r="A190" s="1">
        <f>HYPERLINK("http://www.twitter.com/NathanBLawrence/status/995125980204236803", "995125980204236803")</f>
        <v/>
      </c>
      <c r="B190" s="2" t="n">
        <v>43232.09601851852</v>
      </c>
      <c r="C190" t="n">
        <v>0</v>
      </c>
      <c r="D190" t="n">
        <v>10</v>
      </c>
      <c r="E190" t="s">
        <v>199</v>
      </c>
      <c r="F190" t="s"/>
      <c r="G190" t="s"/>
      <c r="H190" t="s"/>
      <c r="I190" t="s"/>
      <c r="J190" t="n">
        <v>-0.6808</v>
      </c>
      <c r="K190" t="n">
        <v>0.248</v>
      </c>
      <c r="L190" t="n">
        <v>0.752</v>
      </c>
      <c r="M190" t="n">
        <v>0</v>
      </c>
    </row>
    <row r="191" spans="1:13">
      <c r="A191" s="1">
        <f>HYPERLINK("http://www.twitter.com/NathanBLawrence/status/995125472534171648", "995125472534171648")</f>
        <v/>
      </c>
      <c r="B191" s="2" t="n">
        <v>43232.09461805555</v>
      </c>
      <c r="C191" t="n">
        <v>0</v>
      </c>
      <c r="D191" t="n">
        <v>61</v>
      </c>
      <c r="E191" t="s">
        <v>200</v>
      </c>
      <c r="F191" t="s"/>
      <c r="G191" t="s"/>
      <c r="H191" t="s"/>
      <c r="I191" t="s"/>
      <c r="J191" t="n">
        <v>-0.0516</v>
      </c>
      <c r="K191" t="n">
        <v>0.12</v>
      </c>
      <c r="L191" t="n">
        <v>0.769</v>
      </c>
      <c r="M191" t="n">
        <v>0.111</v>
      </c>
    </row>
    <row r="192" spans="1:13">
      <c r="A192" s="1">
        <f>HYPERLINK("http://www.twitter.com/NathanBLawrence/status/995125272801406976", "995125272801406976")</f>
        <v/>
      </c>
      <c r="B192" s="2" t="n">
        <v>43232.09407407408</v>
      </c>
      <c r="C192" t="n">
        <v>0</v>
      </c>
      <c r="D192" t="n">
        <v>2</v>
      </c>
      <c r="E192" t="s">
        <v>201</v>
      </c>
      <c r="F192" t="s"/>
      <c r="G192" t="s"/>
      <c r="H192" t="s"/>
      <c r="I192" t="s"/>
      <c r="J192" t="n">
        <v>-0.4528</v>
      </c>
      <c r="K192" t="n">
        <v>0.222</v>
      </c>
      <c r="L192" t="n">
        <v>0.6830000000000001</v>
      </c>
      <c r="M192" t="n">
        <v>0.095</v>
      </c>
    </row>
    <row r="193" spans="1:13">
      <c r="A193" s="1">
        <f>HYPERLINK("http://www.twitter.com/NathanBLawrence/status/995125135333117953", "995125135333117953")</f>
        <v/>
      </c>
      <c r="B193" s="2" t="n">
        <v>43232.09369212963</v>
      </c>
      <c r="C193" t="n">
        <v>0</v>
      </c>
      <c r="D193" t="n">
        <v>5508</v>
      </c>
      <c r="E193" t="s">
        <v>202</v>
      </c>
      <c r="F193" t="s"/>
      <c r="G193" t="s"/>
      <c r="H193" t="s"/>
      <c r="I193" t="s"/>
      <c r="J193" t="n">
        <v>0</v>
      </c>
      <c r="K193" t="n">
        <v>0</v>
      </c>
      <c r="L193" t="n">
        <v>1</v>
      </c>
      <c r="M193" t="n">
        <v>0</v>
      </c>
    </row>
    <row r="194" spans="1:13">
      <c r="A194" s="1">
        <f>HYPERLINK("http://www.twitter.com/NathanBLawrence/status/995124214310064129", "995124214310064129")</f>
        <v/>
      </c>
      <c r="B194" s="2" t="n">
        <v>43232.09114583334</v>
      </c>
      <c r="C194" t="n">
        <v>0</v>
      </c>
      <c r="D194" t="n">
        <v>3814</v>
      </c>
      <c r="E194" t="s">
        <v>203</v>
      </c>
      <c r="F194">
        <f>HYPERLINK("https://video.twimg.com/ext_tw_video/995119021665144832/pu/vid/720x1280/zyc-XjxMyo1yRB3R.mp4?tag=3", "https://video.twimg.com/ext_tw_video/995119021665144832/pu/vid/720x1280/zyc-XjxMyo1yRB3R.mp4?tag=3")</f>
        <v/>
      </c>
      <c r="G194" t="s"/>
      <c r="H194" t="s"/>
      <c r="I194" t="s"/>
      <c r="J194" t="n">
        <v>-0.5837</v>
      </c>
      <c r="K194" t="n">
        <v>0.269</v>
      </c>
      <c r="L194" t="n">
        <v>0.6</v>
      </c>
      <c r="M194" t="n">
        <v>0.13</v>
      </c>
    </row>
    <row r="195" spans="1:13">
      <c r="A195" s="1">
        <f>HYPERLINK("http://www.twitter.com/NathanBLawrence/status/995123764361822210", "995123764361822210")</f>
        <v/>
      </c>
      <c r="B195" s="2" t="n">
        <v>43232.0899074074</v>
      </c>
      <c r="C195" t="n">
        <v>0</v>
      </c>
      <c r="D195" t="n">
        <v>29</v>
      </c>
      <c r="E195" t="s">
        <v>204</v>
      </c>
      <c r="F195" t="s"/>
      <c r="G195" t="s"/>
      <c r="H195" t="s"/>
      <c r="I195" t="s"/>
      <c r="J195" t="n">
        <v>0.5106000000000001</v>
      </c>
      <c r="K195" t="n">
        <v>0</v>
      </c>
      <c r="L195" t="n">
        <v>0.829</v>
      </c>
      <c r="M195" t="n">
        <v>0.171</v>
      </c>
    </row>
    <row r="196" spans="1:13">
      <c r="A196" s="1">
        <f>HYPERLINK("http://www.twitter.com/NathanBLawrence/status/995032389339484162", "995032389339484162")</f>
        <v/>
      </c>
      <c r="B196" s="2" t="n">
        <v>43231.8377662037</v>
      </c>
      <c r="C196" t="n">
        <v>1</v>
      </c>
      <c r="D196" t="n">
        <v>0</v>
      </c>
      <c r="E196" t="s">
        <v>205</v>
      </c>
      <c r="F196" t="s"/>
      <c r="G196" t="s"/>
      <c r="H196" t="s"/>
      <c r="I196" t="s"/>
      <c r="J196" t="n">
        <v>0</v>
      </c>
      <c r="K196" t="n">
        <v>0</v>
      </c>
      <c r="L196" t="n">
        <v>1</v>
      </c>
      <c r="M196" t="n">
        <v>0</v>
      </c>
    </row>
    <row r="197" spans="1:13">
      <c r="A197" s="1">
        <f>HYPERLINK("http://www.twitter.com/NathanBLawrence/status/995032013466931200", "995032013466931200")</f>
        <v/>
      </c>
      <c r="B197" s="2" t="n">
        <v>43231.83672453704</v>
      </c>
      <c r="C197" t="n">
        <v>0</v>
      </c>
      <c r="D197" t="n">
        <v>7</v>
      </c>
      <c r="E197" t="s">
        <v>206</v>
      </c>
      <c r="F197">
        <f>HYPERLINK("http://pbs.twimg.com/media/Dc68-j9VAAAow8v.jpg", "http://pbs.twimg.com/media/Dc68-j9VAAAow8v.jpg")</f>
        <v/>
      </c>
      <c r="G197" t="s"/>
      <c r="H197" t="s"/>
      <c r="I197" t="s"/>
      <c r="J197" t="n">
        <v>0</v>
      </c>
      <c r="K197" t="n">
        <v>0</v>
      </c>
      <c r="L197" t="n">
        <v>1</v>
      </c>
      <c r="M197" t="n">
        <v>0</v>
      </c>
    </row>
    <row r="198" spans="1:13">
      <c r="A198" s="1">
        <f>HYPERLINK("http://www.twitter.com/NathanBLawrence/status/995031993967632384", "995031993967632384")</f>
        <v/>
      </c>
      <c r="B198" s="2" t="n">
        <v>43231.83666666667</v>
      </c>
      <c r="C198" t="n">
        <v>0</v>
      </c>
      <c r="D198" t="n">
        <v>10</v>
      </c>
      <c r="E198" t="s">
        <v>207</v>
      </c>
      <c r="F198" t="s"/>
      <c r="G198" t="s"/>
      <c r="H198" t="s"/>
      <c r="I198" t="s"/>
      <c r="J198" t="n">
        <v>0</v>
      </c>
      <c r="K198" t="n">
        <v>0</v>
      </c>
      <c r="L198" t="n">
        <v>1</v>
      </c>
      <c r="M198" t="n">
        <v>0</v>
      </c>
    </row>
    <row r="199" spans="1:13">
      <c r="A199" s="1">
        <f>HYPERLINK("http://www.twitter.com/NathanBLawrence/status/995031522393640960", "995031522393640960")</f>
        <v/>
      </c>
      <c r="B199" s="2" t="n">
        <v>43231.83537037037</v>
      </c>
      <c r="C199" t="n">
        <v>14</v>
      </c>
      <c r="D199" t="n">
        <v>10</v>
      </c>
      <c r="E199" t="s">
        <v>208</v>
      </c>
      <c r="F199" t="s"/>
      <c r="G199" t="s"/>
      <c r="H199" t="s"/>
      <c r="I199" t="s"/>
      <c r="J199" t="n">
        <v>0</v>
      </c>
      <c r="K199" t="n">
        <v>0</v>
      </c>
      <c r="L199" t="n">
        <v>1</v>
      </c>
      <c r="M199" t="n">
        <v>0</v>
      </c>
    </row>
    <row r="200" spans="1:13">
      <c r="A200" s="1">
        <f>HYPERLINK("http://www.twitter.com/NathanBLawrence/status/995026010679791617", "995026010679791617")</f>
        <v/>
      </c>
      <c r="B200" s="2" t="n">
        <v>43231.82016203704</v>
      </c>
      <c r="C200" t="n">
        <v>0</v>
      </c>
      <c r="D200" t="n">
        <v>1965</v>
      </c>
      <c r="E200" t="s">
        <v>209</v>
      </c>
      <c r="F200">
        <f>HYPERLINK("http://pbs.twimg.com/media/Dc4grFlX4AIAY_g.jpg", "http://pbs.twimg.com/media/Dc4grFlX4AIAY_g.jpg")</f>
        <v/>
      </c>
      <c r="G200" t="s"/>
      <c r="H200" t="s"/>
      <c r="I200" t="s"/>
      <c r="J200" t="n">
        <v>0</v>
      </c>
      <c r="K200" t="n">
        <v>0</v>
      </c>
      <c r="L200" t="n">
        <v>1</v>
      </c>
      <c r="M200" t="n">
        <v>0</v>
      </c>
    </row>
    <row r="201" spans="1:13">
      <c r="A201" s="1">
        <f>HYPERLINK("http://www.twitter.com/NathanBLawrence/status/995023105935527938", "995023105935527938")</f>
        <v/>
      </c>
      <c r="B201" s="2" t="n">
        <v>43231.81214120371</v>
      </c>
      <c r="C201" t="n">
        <v>0</v>
      </c>
      <c r="D201" t="n">
        <v>12</v>
      </c>
      <c r="E201" t="s">
        <v>210</v>
      </c>
      <c r="F201" t="s"/>
      <c r="G201" t="s"/>
      <c r="H201" t="s"/>
      <c r="I201" t="s"/>
      <c r="J201" t="n">
        <v>0.0258</v>
      </c>
      <c r="K201" t="n">
        <v>0.214</v>
      </c>
      <c r="L201" t="n">
        <v>0.503</v>
      </c>
      <c r="M201" t="n">
        <v>0.283</v>
      </c>
    </row>
    <row r="202" spans="1:13">
      <c r="A202" s="1">
        <f>HYPERLINK("http://www.twitter.com/NathanBLawrence/status/995021401160671233", "995021401160671233")</f>
        <v/>
      </c>
      <c r="B202" s="2" t="n">
        <v>43231.80744212963</v>
      </c>
      <c r="C202" t="n">
        <v>0</v>
      </c>
      <c r="D202" t="n">
        <v>198</v>
      </c>
      <c r="E202" t="s">
        <v>211</v>
      </c>
      <c r="F202">
        <f>HYPERLINK("http://pbs.twimg.com/media/Dcr6Up6U8AAxnBG.jpg", "http://pbs.twimg.com/media/Dcr6Up6U8AAxnBG.jpg")</f>
        <v/>
      </c>
      <c r="G202" t="s"/>
      <c r="H202" t="s"/>
      <c r="I202" t="s"/>
      <c r="J202" t="n">
        <v>-0.1531</v>
      </c>
      <c r="K202" t="n">
        <v>0.13</v>
      </c>
      <c r="L202" t="n">
        <v>0.725</v>
      </c>
      <c r="M202" t="n">
        <v>0.145</v>
      </c>
    </row>
    <row r="203" spans="1:13">
      <c r="A203" s="1">
        <f>HYPERLINK("http://www.twitter.com/NathanBLawrence/status/995021271279853568", "995021271279853568")</f>
        <v/>
      </c>
      <c r="B203" s="2" t="n">
        <v>43231.80708333333</v>
      </c>
      <c r="C203" t="n">
        <v>0</v>
      </c>
      <c r="D203" t="n">
        <v>517</v>
      </c>
      <c r="E203" t="s">
        <v>212</v>
      </c>
      <c r="F203" t="s"/>
      <c r="G203" t="s"/>
      <c r="H203" t="s"/>
      <c r="I203" t="s"/>
      <c r="J203" t="n">
        <v>0</v>
      </c>
      <c r="K203" t="n">
        <v>0</v>
      </c>
      <c r="L203" t="n">
        <v>1</v>
      </c>
      <c r="M203" t="n">
        <v>0</v>
      </c>
    </row>
    <row r="204" spans="1:13">
      <c r="A204" s="1">
        <f>HYPERLINK("http://www.twitter.com/NathanBLawrence/status/995021145874272256", "995021145874272256")</f>
        <v/>
      </c>
      <c r="B204" s="2" t="n">
        <v>43231.80673611111</v>
      </c>
      <c r="C204" t="n">
        <v>2</v>
      </c>
      <c r="D204" t="n">
        <v>2</v>
      </c>
      <c r="E204" t="s">
        <v>213</v>
      </c>
      <c r="F204" t="s"/>
      <c r="G204" t="s"/>
      <c r="H204" t="s"/>
      <c r="I204" t="s"/>
      <c r="J204" t="n">
        <v>0</v>
      </c>
      <c r="K204" t="n">
        <v>0</v>
      </c>
      <c r="L204" t="n">
        <v>1</v>
      </c>
      <c r="M204" t="n">
        <v>0</v>
      </c>
    </row>
    <row r="205" spans="1:13">
      <c r="A205" s="1">
        <f>HYPERLINK("http://www.twitter.com/NathanBLawrence/status/995019547441815554", "995019547441815554")</f>
        <v/>
      </c>
      <c r="B205" s="2" t="n">
        <v>43231.80232638889</v>
      </c>
      <c r="C205" t="n">
        <v>12</v>
      </c>
      <c r="D205" t="n">
        <v>9</v>
      </c>
      <c r="E205" t="s">
        <v>214</v>
      </c>
      <c r="F205" t="s"/>
      <c r="G205" t="s"/>
      <c r="H205" t="s"/>
      <c r="I205" t="s"/>
      <c r="J205" t="n">
        <v>0</v>
      </c>
      <c r="K205" t="n">
        <v>0</v>
      </c>
      <c r="L205" t="n">
        <v>1</v>
      </c>
      <c r="M205" t="n">
        <v>0</v>
      </c>
    </row>
    <row r="206" spans="1:13">
      <c r="A206" s="1">
        <f>HYPERLINK("http://www.twitter.com/NathanBLawrence/status/994912148022231041", "994912148022231041")</f>
        <v/>
      </c>
      <c r="B206" s="2" t="n">
        <v>43231.50596064814</v>
      </c>
      <c r="C206" t="n">
        <v>3</v>
      </c>
      <c r="D206" t="n">
        <v>1</v>
      </c>
      <c r="E206" t="s">
        <v>215</v>
      </c>
      <c r="F206" t="s"/>
      <c r="G206" t="s"/>
      <c r="H206" t="s"/>
      <c r="I206" t="s"/>
      <c r="J206" t="n">
        <v>0</v>
      </c>
      <c r="K206" t="n">
        <v>0</v>
      </c>
      <c r="L206" t="n">
        <v>1</v>
      </c>
      <c r="M206" t="n">
        <v>0</v>
      </c>
    </row>
    <row r="207" spans="1:13">
      <c r="A207" s="1">
        <f>HYPERLINK("http://www.twitter.com/NathanBLawrence/status/994911916622565377", "994911916622565377")</f>
        <v/>
      </c>
      <c r="B207" s="2" t="n">
        <v>43231.50532407407</v>
      </c>
      <c r="C207" t="n">
        <v>0</v>
      </c>
      <c r="D207" t="n">
        <v>0</v>
      </c>
      <c r="E207" t="s">
        <v>216</v>
      </c>
      <c r="F207" t="s"/>
      <c r="G207" t="s"/>
      <c r="H207" t="s"/>
      <c r="I207" t="s"/>
      <c r="J207" t="n">
        <v>0</v>
      </c>
      <c r="K207" t="n">
        <v>0</v>
      </c>
      <c r="L207" t="n">
        <v>1</v>
      </c>
      <c r="M207" t="n">
        <v>0</v>
      </c>
    </row>
    <row r="208" spans="1:13">
      <c r="A208" s="1">
        <f>HYPERLINK("http://www.twitter.com/NathanBLawrence/status/994911834590404609", "994911834590404609")</f>
        <v/>
      </c>
      <c r="B208" s="2" t="n">
        <v>43231.50509259259</v>
      </c>
      <c r="C208" t="n">
        <v>1</v>
      </c>
      <c r="D208" t="n">
        <v>1</v>
      </c>
      <c r="E208" t="s">
        <v>217</v>
      </c>
      <c r="F208" t="s"/>
      <c r="G208" t="s"/>
      <c r="H208" t="s"/>
      <c r="I208" t="s"/>
      <c r="J208" t="n">
        <v>0</v>
      </c>
      <c r="K208" t="n">
        <v>0</v>
      </c>
      <c r="L208" t="n">
        <v>1</v>
      </c>
      <c r="M208" t="n">
        <v>0</v>
      </c>
    </row>
    <row r="209" spans="1:13">
      <c r="A209" s="1">
        <f>HYPERLINK("http://www.twitter.com/NathanBLawrence/status/994911403587854336", "994911403587854336")</f>
        <v/>
      </c>
      <c r="B209" s="2" t="n">
        <v>43231.50390046297</v>
      </c>
      <c r="C209" t="n">
        <v>0</v>
      </c>
      <c r="D209" t="n">
        <v>12</v>
      </c>
      <c r="E209" t="s">
        <v>218</v>
      </c>
      <c r="F209">
        <f>HYPERLINK("http://pbs.twimg.com/media/Dc6d7juW0AEDq08.jpg", "http://pbs.twimg.com/media/Dc6d7juW0AEDq08.jpg")</f>
        <v/>
      </c>
      <c r="G209" t="s"/>
      <c r="H209" t="s"/>
      <c r="I209" t="s"/>
      <c r="J209" t="n">
        <v>0.6552</v>
      </c>
      <c r="K209" t="n">
        <v>0</v>
      </c>
      <c r="L209" t="n">
        <v>0.8129999999999999</v>
      </c>
      <c r="M209" t="n">
        <v>0.187</v>
      </c>
    </row>
    <row r="210" spans="1:13">
      <c r="A210" s="1">
        <f>HYPERLINK("http://www.twitter.com/NathanBLawrence/status/994911349003218944", "994911349003218944")</f>
        <v/>
      </c>
      <c r="B210" s="2" t="n">
        <v>43231.50375</v>
      </c>
      <c r="C210" t="n">
        <v>0</v>
      </c>
      <c r="D210" t="n">
        <v>3</v>
      </c>
      <c r="E210" t="s">
        <v>219</v>
      </c>
      <c r="F210">
        <f>HYPERLINK("http://pbs.twimg.com/media/Dc6iPmXXcAERA5w.jpg", "http://pbs.twimg.com/media/Dc6iPmXXcAERA5w.jpg")</f>
        <v/>
      </c>
      <c r="G210" t="s"/>
      <c r="H210" t="s"/>
      <c r="I210" t="s"/>
      <c r="J210" t="n">
        <v>0</v>
      </c>
      <c r="K210" t="n">
        <v>0</v>
      </c>
      <c r="L210" t="n">
        <v>1</v>
      </c>
      <c r="M210" t="n">
        <v>0</v>
      </c>
    </row>
    <row r="211" spans="1:13">
      <c r="A211" s="1">
        <f>HYPERLINK("http://www.twitter.com/NathanBLawrence/status/994910963848695808", "994910963848695808")</f>
        <v/>
      </c>
      <c r="B211" s="2" t="n">
        <v>43231.50268518519</v>
      </c>
      <c r="C211" t="n">
        <v>5</v>
      </c>
      <c r="D211" t="n">
        <v>3</v>
      </c>
      <c r="E211" t="s">
        <v>220</v>
      </c>
      <c r="F211">
        <f>HYPERLINK("http://pbs.twimg.com/media/Dc6iPmXXcAERA5w.jpg", "http://pbs.twimg.com/media/Dc6iPmXXcAERA5w.jpg")</f>
        <v/>
      </c>
      <c r="G211" t="s"/>
      <c r="H211" t="s"/>
      <c r="I211" t="s"/>
      <c r="J211" t="n">
        <v>0</v>
      </c>
      <c r="K211" t="n">
        <v>0</v>
      </c>
      <c r="L211" t="n">
        <v>1</v>
      </c>
      <c r="M211" t="n">
        <v>0</v>
      </c>
    </row>
    <row r="212" spans="1:13">
      <c r="A212" s="1">
        <f>HYPERLINK("http://www.twitter.com/NathanBLawrence/status/994906815589703681", "994906815589703681")</f>
        <v/>
      </c>
      <c r="B212" s="2" t="n">
        <v>43231.49123842592</v>
      </c>
      <c r="C212" t="n">
        <v>0</v>
      </c>
      <c r="D212" t="n">
        <v>0</v>
      </c>
      <c r="E212" t="s">
        <v>221</v>
      </c>
      <c r="F212" t="s"/>
      <c r="G212" t="s"/>
      <c r="H212" t="s"/>
      <c r="I212" t="s"/>
      <c r="J212" t="n">
        <v>0</v>
      </c>
      <c r="K212" t="n">
        <v>0</v>
      </c>
      <c r="L212" t="n">
        <v>1</v>
      </c>
      <c r="M212" t="n">
        <v>0</v>
      </c>
    </row>
    <row r="213" spans="1:13">
      <c r="A213" s="1">
        <f>HYPERLINK("http://www.twitter.com/NathanBLawrence/status/994906570013233153", "994906570013233153")</f>
        <v/>
      </c>
      <c r="B213" s="2" t="n">
        <v>43231.49056712963</v>
      </c>
      <c r="C213" t="n">
        <v>0</v>
      </c>
      <c r="D213" t="n">
        <v>0</v>
      </c>
      <c r="E213" t="s">
        <v>222</v>
      </c>
      <c r="F213" t="s"/>
      <c r="G213" t="s"/>
      <c r="H213" t="s"/>
      <c r="I213" t="s"/>
      <c r="J213" t="n">
        <v>0</v>
      </c>
      <c r="K213" t="n">
        <v>0</v>
      </c>
      <c r="L213" t="n">
        <v>1</v>
      </c>
      <c r="M213" t="n">
        <v>0</v>
      </c>
    </row>
    <row r="214" spans="1:13">
      <c r="A214" s="1">
        <f>HYPERLINK("http://www.twitter.com/NathanBLawrence/status/994906224306151424", "994906224306151424")</f>
        <v/>
      </c>
      <c r="B214" s="2" t="n">
        <v>43231.48960648148</v>
      </c>
      <c r="C214" t="n">
        <v>12</v>
      </c>
      <c r="D214" t="n">
        <v>12</v>
      </c>
      <c r="E214" t="s">
        <v>223</v>
      </c>
      <c r="F214">
        <f>HYPERLINK("http://pbs.twimg.com/media/Dc6d7juW0AEDq08.jpg", "http://pbs.twimg.com/media/Dc6d7juW0AEDq08.jpg")</f>
        <v/>
      </c>
      <c r="G214" t="s"/>
      <c r="H214" t="s"/>
      <c r="I214" t="s"/>
      <c r="J214" t="n">
        <v>0.7134</v>
      </c>
      <c r="K214" t="n">
        <v>0</v>
      </c>
      <c r="L214" t="n">
        <v>0.89</v>
      </c>
      <c r="M214" t="n">
        <v>0.11</v>
      </c>
    </row>
    <row r="215" spans="1:13">
      <c r="A215" s="1">
        <f>HYPERLINK("http://www.twitter.com/NathanBLawrence/status/994753164510457856", "994753164510457856")</f>
        <v/>
      </c>
      <c r="B215" s="2" t="n">
        <v>43231.06724537037</v>
      </c>
      <c r="C215" t="n">
        <v>0</v>
      </c>
      <c r="D215" t="n">
        <v>35</v>
      </c>
      <c r="E215" t="s">
        <v>224</v>
      </c>
      <c r="F215">
        <f>HYPERLINK("http://pbs.twimg.com/media/DOPmDeXWsAAlVh1.jpg", "http://pbs.twimg.com/media/DOPmDeXWsAAlVh1.jpg")</f>
        <v/>
      </c>
      <c r="G215" t="s"/>
      <c r="H215" t="s"/>
      <c r="I215" t="s"/>
      <c r="J215" t="n">
        <v>0.6166</v>
      </c>
      <c r="K215" t="n">
        <v>0</v>
      </c>
      <c r="L215" t="n">
        <v>0.748</v>
      </c>
      <c r="M215" t="n">
        <v>0.252</v>
      </c>
    </row>
    <row r="216" spans="1:13">
      <c r="A216" s="1">
        <f>HYPERLINK("http://www.twitter.com/NathanBLawrence/status/994699617454477314", "994699617454477314")</f>
        <v/>
      </c>
      <c r="B216" s="2" t="n">
        <v>43230.91949074074</v>
      </c>
      <c r="C216" t="n">
        <v>15</v>
      </c>
      <c r="D216" t="n">
        <v>16</v>
      </c>
      <c r="E216" t="s">
        <v>225</v>
      </c>
      <c r="F216">
        <f>HYPERLINK("http://pbs.twimg.com/media/Dc3iBliX0AAAyDw.jpg", "http://pbs.twimg.com/media/Dc3iBliX0AAAyDw.jpg")</f>
        <v/>
      </c>
      <c r="G216" t="s"/>
      <c r="H216" t="s"/>
      <c r="I216" t="s"/>
      <c r="J216" t="n">
        <v>-0.4981</v>
      </c>
      <c r="K216" t="n">
        <v>0.08400000000000001</v>
      </c>
      <c r="L216" t="n">
        <v>0.916</v>
      </c>
      <c r="M216" t="n">
        <v>0</v>
      </c>
    </row>
    <row r="217" spans="1:13">
      <c r="A217" s="1">
        <f>HYPERLINK("http://www.twitter.com/NathanBLawrence/status/994607547259740162", "994607547259740162")</f>
        <v/>
      </c>
      <c r="B217" s="2" t="n">
        <v>43230.66541666666</v>
      </c>
      <c r="C217" t="n">
        <v>12</v>
      </c>
      <c r="D217" t="n">
        <v>8</v>
      </c>
      <c r="E217" t="s">
        <v>226</v>
      </c>
      <c r="F217" t="s"/>
      <c r="G217" t="s"/>
      <c r="H217" t="s"/>
      <c r="I217" t="s"/>
      <c r="J217" t="n">
        <v>-0.745</v>
      </c>
      <c r="K217" t="n">
        <v>0.216</v>
      </c>
      <c r="L217" t="n">
        <v>0.67</v>
      </c>
      <c r="M217" t="n">
        <v>0.114</v>
      </c>
    </row>
    <row r="218" spans="1:13">
      <c r="A218" s="1">
        <f>HYPERLINK("http://www.twitter.com/NathanBLawrence/status/994602003484594176", "994602003484594176")</f>
        <v/>
      </c>
      <c r="B218" s="2" t="n">
        <v>43230.65012731482</v>
      </c>
      <c r="C218" t="n">
        <v>4</v>
      </c>
      <c r="D218" t="n">
        <v>3</v>
      </c>
      <c r="E218" t="s">
        <v>227</v>
      </c>
      <c r="F218" t="s"/>
      <c r="G218" t="s"/>
      <c r="H218" t="s"/>
      <c r="I218" t="s"/>
      <c r="J218" t="n">
        <v>0</v>
      </c>
      <c r="K218" t="n">
        <v>0</v>
      </c>
      <c r="L218" t="n">
        <v>1</v>
      </c>
      <c r="M218" t="n">
        <v>0</v>
      </c>
    </row>
    <row r="219" spans="1:13">
      <c r="A219" s="1">
        <f>HYPERLINK("http://www.twitter.com/NathanBLawrence/status/994598668404699141", "994598668404699141")</f>
        <v/>
      </c>
      <c r="B219" s="2" t="n">
        <v>43230.64091435185</v>
      </c>
      <c r="C219" t="n">
        <v>5</v>
      </c>
      <c r="D219" t="n">
        <v>3</v>
      </c>
      <c r="E219" t="s">
        <v>228</v>
      </c>
      <c r="F219" t="s"/>
      <c r="G219" t="s"/>
      <c r="H219" t="s"/>
      <c r="I219" t="s"/>
      <c r="J219" t="n">
        <v>0</v>
      </c>
      <c r="K219" t="n">
        <v>0</v>
      </c>
      <c r="L219" t="n">
        <v>1</v>
      </c>
      <c r="M219" t="n">
        <v>0</v>
      </c>
    </row>
    <row r="220" spans="1:13">
      <c r="A220" s="1">
        <f>HYPERLINK("http://www.twitter.com/NathanBLawrence/status/994594768528211968", "994594768528211968")</f>
        <v/>
      </c>
      <c r="B220" s="2" t="n">
        <v>43230.63016203704</v>
      </c>
      <c r="C220" t="n">
        <v>19</v>
      </c>
      <c r="D220" t="n">
        <v>19</v>
      </c>
      <c r="E220" t="s">
        <v>229</v>
      </c>
      <c r="F220">
        <f>HYPERLINK("http://pbs.twimg.com/media/Dc2Cq1BWsAEbDZn.jpg", "http://pbs.twimg.com/media/Dc2Cq1BWsAEbDZn.jpg")</f>
        <v/>
      </c>
      <c r="G220" t="s"/>
      <c r="H220" t="s"/>
      <c r="I220" t="s"/>
      <c r="J220" t="n">
        <v>0.6901</v>
      </c>
      <c r="K220" t="n">
        <v>0</v>
      </c>
      <c r="L220" t="n">
        <v>0.882</v>
      </c>
      <c r="M220" t="n">
        <v>0.118</v>
      </c>
    </row>
    <row r="221" spans="1:13">
      <c r="A221" s="1">
        <f>HYPERLINK("http://www.twitter.com/NathanBLawrence/status/994505752134987776", "994505752134987776")</f>
        <v/>
      </c>
      <c r="B221" s="2" t="n">
        <v>43230.38451388889</v>
      </c>
      <c r="C221" t="n">
        <v>0</v>
      </c>
      <c r="D221" t="n">
        <v>2683</v>
      </c>
      <c r="E221" t="s">
        <v>230</v>
      </c>
      <c r="F221">
        <f>HYPERLINK("https://video.twimg.com/ext_tw_video/994307444057759745/pu/vid/320x180/7f3nMykhl7W6S3ZS.mp4?tag=3", "https://video.twimg.com/ext_tw_video/994307444057759745/pu/vid/320x180/7f3nMykhl7W6S3ZS.mp4?tag=3")</f>
        <v/>
      </c>
      <c r="G221" t="s"/>
      <c r="H221" t="s"/>
      <c r="I221" t="s"/>
      <c r="J221" t="n">
        <v>0</v>
      </c>
      <c r="K221" t="n">
        <v>0</v>
      </c>
      <c r="L221" t="n">
        <v>1</v>
      </c>
      <c r="M221" t="n">
        <v>0</v>
      </c>
    </row>
    <row r="222" spans="1:13">
      <c r="A222" s="1">
        <f>HYPERLINK("http://www.twitter.com/NathanBLawrence/status/994497097197080576", "994497097197080576")</f>
        <v/>
      </c>
      <c r="B222" s="2" t="n">
        <v>43230.36063657407</v>
      </c>
      <c r="C222" t="n">
        <v>0</v>
      </c>
      <c r="D222" t="n">
        <v>1107</v>
      </c>
      <c r="E222" t="s">
        <v>231</v>
      </c>
      <c r="F222">
        <f>HYPERLINK("http://pbs.twimg.com/media/DczSholU0AEB18c.jpg", "http://pbs.twimg.com/media/DczSholU0AEB18c.jpg")</f>
        <v/>
      </c>
      <c r="G222" t="s"/>
      <c r="H222" t="s"/>
      <c r="I222" t="s"/>
      <c r="J222" t="n">
        <v>0</v>
      </c>
      <c r="K222" t="n">
        <v>0</v>
      </c>
      <c r="L222" t="n">
        <v>1</v>
      </c>
      <c r="M222" t="n">
        <v>0</v>
      </c>
    </row>
    <row r="223" spans="1:13">
      <c r="A223" s="1">
        <f>HYPERLINK("http://www.twitter.com/NathanBLawrence/status/994497003022364672", "994497003022364672")</f>
        <v/>
      </c>
      <c r="B223" s="2" t="n">
        <v>43230.36038194445</v>
      </c>
      <c r="C223" t="n">
        <v>0</v>
      </c>
      <c r="D223" t="n">
        <v>3336</v>
      </c>
      <c r="E223" t="s">
        <v>232</v>
      </c>
      <c r="F223">
        <f>HYPERLINK("http://pbs.twimg.com/media/DczdA6sV4AA7vzk.jpg", "http://pbs.twimg.com/media/DczdA6sV4AA7vzk.jpg")</f>
        <v/>
      </c>
      <c r="G223" t="s"/>
      <c r="H223" t="s"/>
      <c r="I223" t="s"/>
      <c r="J223" t="n">
        <v>0</v>
      </c>
      <c r="K223" t="n">
        <v>0</v>
      </c>
      <c r="L223" t="n">
        <v>1</v>
      </c>
      <c r="M223" t="n">
        <v>0</v>
      </c>
    </row>
    <row r="224" spans="1:13">
      <c r="A224" s="1">
        <f>HYPERLINK("http://www.twitter.com/NathanBLawrence/status/994425047317139456", "994425047317139456")</f>
        <v/>
      </c>
      <c r="B224" s="2" t="n">
        <v>43230.16181712963</v>
      </c>
      <c r="C224" t="n">
        <v>0</v>
      </c>
      <c r="D224" t="n">
        <v>4761</v>
      </c>
      <c r="E224" t="s">
        <v>233</v>
      </c>
      <c r="F224">
        <f>HYPERLINK("http://pbs.twimg.com/media/Dcyu7B_XUAImXJ9.jpg", "http://pbs.twimg.com/media/Dcyu7B_XUAImXJ9.jpg")</f>
        <v/>
      </c>
      <c r="G224" t="s"/>
      <c r="H224" t="s"/>
      <c r="I224" t="s"/>
      <c r="J224" t="n">
        <v>0.4019</v>
      </c>
      <c r="K224" t="n">
        <v>0</v>
      </c>
      <c r="L224" t="n">
        <v>0.863</v>
      </c>
      <c r="M224" t="n">
        <v>0.137</v>
      </c>
    </row>
    <row r="225" spans="1:13">
      <c r="A225" s="1">
        <f>HYPERLINK("http://www.twitter.com/NathanBLawrence/status/994422233081753600", "994422233081753600")</f>
        <v/>
      </c>
      <c r="B225" s="2" t="n">
        <v>43230.15405092593</v>
      </c>
      <c r="C225" t="n">
        <v>0</v>
      </c>
      <c r="D225" t="n">
        <v>498</v>
      </c>
      <c r="E225" t="s">
        <v>234</v>
      </c>
      <c r="F225" t="s"/>
      <c r="G225" t="s"/>
      <c r="H225" t="s"/>
      <c r="I225" t="s"/>
      <c r="J225" t="n">
        <v>-0.2023</v>
      </c>
      <c r="K225" t="n">
        <v>0.08699999999999999</v>
      </c>
      <c r="L225" t="n">
        <v>0.913</v>
      </c>
      <c r="M225" t="n">
        <v>0</v>
      </c>
    </row>
    <row r="226" spans="1:13">
      <c r="A226" s="1">
        <f>HYPERLINK("http://www.twitter.com/NathanBLawrence/status/994410742047703045", "994410742047703045")</f>
        <v/>
      </c>
      <c r="B226" s="2" t="n">
        <v>43230.12233796297</v>
      </c>
      <c r="C226" t="n">
        <v>0</v>
      </c>
      <c r="D226" t="n">
        <v>22</v>
      </c>
      <c r="E226" t="s">
        <v>235</v>
      </c>
      <c r="F226">
        <f>HYPERLINK("http://pbs.twimg.com/media/DczPmTuX4AAZgZB.jpg", "http://pbs.twimg.com/media/DczPmTuX4AAZgZB.jpg")</f>
        <v/>
      </c>
      <c r="G226" t="s"/>
      <c r="H226" t="s"/>
      <c r="I226" t="s"/>
      <c r="J226" t="n">
        <v>0.891</v>
      </c>
      <c r="K226" t="n">
        <v>0</v>
      </c>
      <c r="L226" t="n">
        <v>0.547</v>
      </c>
      <c r="M226" t="n">
        <v>0.453</v>
      </c>
    </row>
    <row r="227" spans="1:13">
      <c r="A227" s="1">
        <f>HYPERLINK("http://www.twitter.com/NathanBLawrence/status/994408428088057856", "994408428088057856")</f>
        <v/>
      </c>
      <c r="B227" s="2" t="n">
        <v>43230.11596064815</v>
      </c>
      <c r="C227" t="n">
        <v>0</v>
      </c>
      <c r="D227" t="n">
        <v>8</v>
      </c>
      <c r="E227" t="s">
        <v>236</v>
      </c>
      <c r="F227" t="s"/>
      <c r="G227" t="s"/>
      <c r="H227" t="s"/>
      <c r="I227" t="s"/>
      <c r="J227" t="n">
        <v>0</v>
      </c>
      <c r="K227" t="n">
        <v>0.108</v>
      </c>
      <c r="L227" t="n">
        <v>0.784</v>
      </c>
      <c r="M227" t="n">
        <v>0.108</v>
      </c>
    </row>
    <row r="228" spans="1:13">
      <c r="A228" s="1">
        <f>HYPERLINK("http://www.twitter.com/NathanBLawrence/status/994374780483665921", "994374780483665921")</f>
        <v/>
      </c>
      <c r="B228" s="2" t="n">
        <v>43230.02310185185</v>
      </c>
      <c r="C228" t="n">
        <v>0</v>
      </c>
      <c r="D228" t="n">
        <v>12</v>
      </c>
      <c r="E228" t="s">
        <v>237</v>
      </c>
      <c r="F228" t="s"/>
      <c r="G228" t="s"/>
      <c r="H228" t="s"/>
      <c r="I228" t="s"/>
      <c r="J228" t="n">
        <v>0.3885</v>
      </c>
      <c r="K228" t="n">
        <v>0</v>
      </c>
      <c r="L228" t="n">
        <v>0.872</v>
      </c>
      <c r="M228" t="n">
        <v>0.128</v>
      </c>
    </row>
    <row r="229" spans="1:13">
      <c r="A229" s="1">
        <f>HYPERLINK("http://www.twitter.com/NathanBLawrence/status/994365398958116865", "994365398958116865")</f>
        <v/>
      </c>
      <c r="B229" s="2" t="n">
        <v>43229.99722222222</v>
      </c>
      <c r="C229" t="n">
        <v>0</v>
      </c>
      <c r="D229" t="n">
        <v>3</v>
      </c>
      <c r="E229" t="s">
        <v>238</v>
      </c>
      <c r="F229" t="s"/>
      <c r="G229" t="s"/>
      <c r="H229" t="s"/>
      <c r="I229" t="s"/>
      <c r="J229" t="n">
        <v>0</v>
      </c>
      <c r="K229" t="n">
        <v>0</v>
      </c>
      <c r="L229" t="n">
        <v>1</v>
      </c>
      <c r="M229" t="n">
        <v>0</v>
      </c>
    </row>
    <row r="230" spans="1:13">
      <c r="A230" s="1">
        <f>HYPERLINK("http://www.twitter.com/NathanBLawrence/status/994344041998364678", "994344041998364678")</f>
        <v/>
      </c>
      <c r="B230" s="2" t="n">
        <v>43229.93828703704</v>
      </c>
      <c r="C230" t="n">
        <v>0</v>
      </c>
      <c r="D230" t="n">
        <v>18</v>
      </c>
      <c r="E230" t="s">
        <v>239</v>
      </c>
      <c r="F230" t="s"/>
      <c r="G230" t="s"/>
      <c r="H230" t="s"/>
      <c r="I230" t="s"/>
      <c r="J230" t="n">
        <v>0</v>
      </c>
      <c r="K230" t="n">
        <v>0</v>
      </c>
      <c r="L230" t="n">
        <v>1</v>
      </c>
      <c r="M230" t="n">
        <v>0</v>
      </c>
    </row>
    <row r="231" spans="1:13">
      <c r="A231" s="1">
        <f>HYPERLINK("http://www.twitter.com/NathanBLawrence/status/994328878565949445", "994328878565949445")</f>
        <v/>
      </c>
      <c r="B231" s="2" t="n">
        <v>43229.89644675926</v>
      </c>
      <c r="C231" t="n">
        <v>0</v>
      </c>
      <c r="D231" t="n">
        <v>11</v>
      </c>
      <c r="E231" t="s">
        <v>240</v>
      </c>
      <c r="F231">
        <f>HYPERLINK("https://video.twimg.com/ext_tw_video/994319575771561985/pu/vid/1280x720/g4ImC7udzwA49FOc.mp4?tag=3", "https://video.twimg.com/ext_tw_video/994319575771561985/pu/vid/1280x720/g4ImC7udzwA49FOc.mp4?tag=3")</f>
        <v/>
      </c>
      <c r="G231" t="s"/>
      <c r="H231" t="s"/>
      <c r="I231" t="s"/>
      <c r="J231" t="n">
        <v>0</v>
      </c>
      <c r="K231" t="n">
        <v>0</v>
      </c>
      <c r="L231" t="n">
        <v>1</v>
      </c>
      <c r="M231" t="n">
        <v>0</v>
      </c>
    </row>
    <row r="232" spans="1:13">
      <c r="A232" s="1">
        <f>HYPERLINK("http://www.twitter.com/NathanBLawrence/status/994328784559132672", "994328784559132672")</f>
        <v/>
      </c>
      <c r="B232" s="2" t="n">
        <v>43229.89618055556</v>
      </c>
      <c r="C232" t="n">
        <v>6</v>
      </c>
      <c r="D232" t="n">
        <v>6</v>
      </c>
      <c r="E232" t="s">
        <v>241</v>
      </c>
      <c r="F232" t="s"/>
      <c r="G232" t="s"/>
      <c r="H232" t="s"/>
      <c r="I232" t="s"/>
      <c r="J232" t="n">
        <v>0</v>
      </c>
      <c r="K232" t="n">
        <v>0</v>
      </c>
      <c r="L232" t="n">
        <v>1</v>
      </c>
      <c r="M232" t="n">
        <v>0</v>
      </c>
    </row>
    <row r="233" spans="1:13">
      <c r="A233" s="1">
        <f>HYPERLINK("http://www.twitter.com/NathanBLawrence/status/994328354017939456", "994328354017939456")</f>
        <v/>
      </c>
      <c r="B233" s="2" t="n">
        <v>43229.89498842593</v>
      </c>
      <c r="C233" t="n">
        <v>31</v>
      </c>
      <c r="D233" t="n">
        <v>28</v>
      </c>
      <c r="E233" t="s">
        <v>242</v>
      </c>
      <c r="F233" t="s"/>
      <c r="G233" t="s"/>
      <c r="H233" t="s"/>
      <c r="I233" t="s"/>
      <c r="J233" t="n">
        <v>0.3544</v>
      </c>
      <c r="K233" t="n">
        <v>0.158</v>
      </c>
      <c r="L233" t="n">
        <v>0.63</v>
      </c>
      <c r="M233" t="n">
        <v>0.212</v>
      </c>
    </row>
    <row r="234" spans="1:13">
      <c r="A234" s="1">
        <f>HYPERLINK("http://www.twitter.com/NathanBLawrence/status/994307744927764481", "994307744927764481")</f>
        <v/>
      </c>
      <c r="B234" s="2" t="n">
        <v>43229.838125</v>
      </c>
      <c r="C234" t="n">
        <v>0</v>
      </c>
      <c r="D234" t="n">
        <v>16</v>
      </c>
      <c r="E234" t="s">
        <v>243</v>
      </c>
      <c r="F234" t="s"/>
      <c r="G234" t="s"/>
      <c r="H234" t="s"/>
      <c r="I234" t="s"/>
      <c r="J234" t="n">
        <v>0.8168</v>
      </c>
      <c r="K234" t="n">
        <v>0.046</v>
      </c>
      <c r="L234" t="n">
        <v>0.66</v>
      </c>
      <c r="M234" t="n">
        <v>0.293</v>
      </c>
    </row>
    <row r="235" spans="1:13">
      <c r="A235" s="1">
        <f>HYPERLINK("http://www.twitter.com/NathanBLawrence/status/994281671653580800", "994281671653580800")</f>
        <v/>
      </c>
      <c r="B235" s="2" t="n">
        <v>43229.76618055555</v>
      </c>
      <c r="C235" t="n">
        <v>0</v>
      </c>
      <c r="D235" t="n">
        <v>7</v>
      </c>
      <c r="E235" t="s">
        <v>244</v>
      </c>
      <c r="F235" t="s"/>
      <c r="G235" t="s"/>
      <c r="H235" t="s"/>
      <c r="I235" t="s"/>
      <c r="J235" t="n">
        <v>0.2732</v>
      </c>
      <c r="K235" t="n">
        <v>0.124</v>
      </c>
      <c r="L235" t="n">
        <v>0.6840000000000001</v>
      </c>
      <c r="M235" t="n">
        <v>0.192</v>
      </c>
    </row>
    <row r="236" spans="1:13">
      <c r="A236" s="1">
        <f>HYPERLINK("http://www.twitter.com/NathanBLawrence/status/994089069515812864", "994089069515812864")</f>
        <v/>
      </c>
      <c r="B236" s="2" t="n">
        <v>43229.23469907408</v>
      </c>
      <c r="C236" t="n">
        <v>0</v>
      </c>
      <c r="D236" t="n">
        <v>21</v>
      </c>
      <c r="E236" t="s">
        <v>245</v>
      </c>
      <c r="F236">
        <f>HYPERLINK("http://pbs.twimg.com/media/DcuY4bUU0AANpR6.jpg", "http://pbs.twimg.com/media/DcuY4bUU0AANpR6.jpg")</f>
        <v/>
      </c>
      <c r="G236" t="s"/>
      <c r="H236" t="s"/>
      <c r="I236" t="s"/>
      <c r="J236" t="n">
        <v>0</v>
      </c>
      <c r="K236" t="n">
        <v>0</v>
      </c>
      <c r="L236" t="n">
        <v>1</v>
      </c>
      <c r="M236" t="n">
        <v>0</v>
      </c>
    </row>
    <row r="237" spans="1:13">
      <c r="A237" s="1">
        <f>HYPERLINK("http://www.twitter.com/NathanBLawrence/status/994076671308386304", "994076671308386304")</f>
        <v/>
      </c>
      <c r="B237" s="2" t="n">
        <v>43229.20048611111</v>
      </c>
      <c r="C237" t="n">
        <v>0</v>
      </c>
      <c r="D237" t="n">
        <v>1902</v>
      </c>
      <c r="E237" t="s">
        <v>246</v>
      </c>
      <c r="F237">
        <f>HYPERLINK("https://video.twimg.com/ext_tw_video/991999534405423104/pu/vid/1280x720/JQtPpGrJPRG5XpsH.mp4?tag=3", "https://video.twimg.com/ext_tw_video/991999534405423104/pu/vid/1280x720/JQtPpGrJPRG5XpsH.mp4?tag=3")</f>
        <v/>
      </c>
      <c r="G237" t="s"/>
      <c r="H237" t="s"/>
      <c r="I237" t="s"/>
      <c r="J237" t="n">
        <v>0</v>
      </c>
      <c r="K237" t="n">
        <v>0</v>
      </c>
      <c r="L237" t="n">
        <v>1</v>
      </c>
      <c r="M237" t="n">
        <v>0</v>
      </c>
    </row>
    <row r="238" spans="1:13">
      <c r="A238" s="1">
        <f>HYPERLINK("http://www.twitter.com/NathanBLawrence/status/994071353081978880", "994071353081978880")</f>
        <v/>
      </c>
      <c r="B238" s="2" t="n">
        <v>43229.18581018518</v>
      </c>
      <c r="C238" t="n">
        <v>0</v>
      </c>
      <c r="D238" t="n">
        <v>459</v>
      </c>
      <c r="E238" t="s">
        <v>247</v>
      </c>
      <c r="F238" t="s"/>
      <c r="G238" t="s"/>
      <c r="H238" t="s"/>
      <c r="I238" t="s"/>
      <c r="J238" t="n">
        <v>0</v>
      </c>
      <c r="K238" t="n">
        <v>0</v>
      </c>
      <c r="L238" t="n">
        <v>1</v>
      </c>
      <c r="M238" t="n">
        <v>0</v>
      </c>
    </row>
    <row r="239" spans="1:13">
      <c r="A239" s="1">
        <f>HYPERLINK("http://www.twitter.com/NathanBLawrence/status/994070547133796352", "994070547133796352")</f>
        <v/>
      </c>
      <c r="B239" s="2" t="n">
        <v>43229.18358796297</v>
      </c>
      <c r="C239" t="n">
        <v>0</v>
      </c>
      <c r="D239" t="n">
        <v>3</v>
      </c>
      <c r="E239" t="s">
        <v>248</v>
      </c>
      <c r="F239" t="s"/>
      <c r="G239" t="s"/>
      <c r="H239" t="s"/>
      <c r="I239" t="s"/>
      <c r="J239" t="n">
        <v>-0.5707</v>
      </c>
      <c r="K239" t="n">
        <v>0.305</v>
      </c>
      <c r="L239" t="n">
        <v>0.695</v>
      </c>
      <c r="M239" t="n">
        <v>0</v>
      </c>
    </row>
    <row r="240" spans="1:13">
      <c r="A240" s="1">
        <f>HYPERLINK("http://www.twitter.com/NathanBLawrence/status/994061265441050624", "994061265441050624")</f>
        <v/>
      </c>
      <c r="B240" s="2" t="n">
        <v>43229.15797453704</v>
      </c>
      <c r="C240" t="n">
        <v>3</v>
      </c>
      <c r="D240" t="n">
        <v>2</v>
      </c>
      <c r="E240" t="s">
        <v>249</v>
      </c>
      <c r="F240" t="s"/>
      <c r="G240" t="s"/>
      <c r="H240" t="s"/>
      <c r="I240" t="s"/>
      <c r="J240" t="n">
        <v>-0.1027</v>
      </c>
      <c r="K240" t="n">
        <v>0.168</v>
      </c>
      <c r="L240" t="n">
        <v>0.672</v>
      </c>
      <c r="M240" t="n">
        <v>0.16</v>
      </c>
    </row>
    <row r="241" spans="1:13">
      <c r="A241" s="1">
        <f>HYPERLINK("http://www.twitter.com/NathanBLawrence/status/994056261946761217", "994056261946761217")</f>
        <v/>
      </c>
      <c r="B241" s="2" t="n">
        <v>43229.14416666667</v>
      </c>
      <c r="C241" t="n">
        <v>0</v>
      </c>
      <c r="D241" t="n">
        <v>15</v>
      </c>
      <c r="E241" t="s">
        <v>250</v>
      </c>
      <c r="F241">
        <f>HYPERLINK("http://pbs.twimg.com/media/DcuJf1JUQAA0zv4.jpg", "http://pbs.twimg.com/media/DcuJf1JUQAA0zv4.jpg")</f>
        <v/>
      </c>
      <c r="G241" t="s"/>
      <c r="H241" t="s"/>
      <c r="I241" t="s"/>
      <c r="J241" t="n">
        <v>0.3818</v>
      </c>
      <c r="K241" t="n">
        <v>0.11</v>
      </c>
      <c r="L241" t="n">
        <v>0.6899999999999999</v>
      </c>
      <c r="M241" t="n">
        <v>0.2</v>
      </c>
    </row>
    <row r="242" spans="1:13">
      <c r="A242" s="1">
        <f>HYPERLINK("http://www.twitter.com/NathanBLawrence/status/994054603921592320", "994054603921592320")</f>
        <v/>
      </c>
      <c r="B242" s="2" t="n">
        <v>43229.13958333333</v>
      </c>
      <c r="C242" t="n">
        <v>0</v>
      </c>
      <c r="D242" t="n">
        <v>88</v>
      </c>
      <c r="E242" t="s">
        <v>251</v>
      </c>
      <c r="F242">
        <f>HYPERLINK("http://pbs.twimg.com/media/DcuVO4dU8AAdYBY.jpg", "http://pbs.twimg.com/media/DcuVO4dU8AAdYBY.jpg")</f>
        <v/>
      </c>
      <c r="G242" t="s"/>
      <c r="H242" t="s"/>
      <c r="I242" t="s"/>
      <c r="J242" t="n">
        <v>-0.5848</v>
      </c>
      <c r="K242" t="n">
        <v>0.153</v>
      </c>
      <c r="L242" t="n">
        <v>0.847</v>
      </c>
      <c r="M242" t="n">
        <v>0</v>
      </c>
    </row>
    <row r="243" spans="1:13">
      <c r="A243" s="1">
        <f>HYPERLINK("http://www.twitter.com/NathanBLawrence/status/994026269955194885", "994026269955194885")</f>
        <v/>
      </c>
      <c r="B243" s="2" t="n">
        <v>43229.06140046296</v>
      </c>
      <c r="C243" t="n">
        <v>0</v>
      </c>
      <c r="D243" t="n">
        <v>35</v>
      </c>
      <c r="E243" t="s">
        <v>252</v>
      </c>
      <c r="F243">
        <f>HYPERLINK("http://pbs.twimg.com/media/DcmZCu9VMAAGRZH.jpg", "http://pbs.twimg.com/media/DcmZCu9VMAAGRZH.jpg")</f>
        <v/>
      </c>
      <c r="G243" t="s"/>
      <c r="H243" t="s"/>
      <c r="I243" t="s"/>
      <c r="J243" t="n">
        <v>0.296</v>
      </c>
      <c r="K243" t="n">
        <v>0.097</v>
      </c>
      <c r="L243" t="n">
        <v>0.752</v>
      </c>
      <c r="M243" t="n">
        <v>0.15</v>
      </c>
    </row>
    <row r="244" spans="1:13">
      <c r="A244" s="1">
        <f>HYPERLINK("http://www.twitter.com/NathanBLawrence/status/993936254151593995", "993936254151593995")</f>
        <v/>
      </c>
      <c r="B244" s="2" t="n">
        <v>43228.81300925926</v>
      </c>
      <c r="C244" t="n">
        <v>0</v>
      </c>
      <c r="D244" t="n">
        <v>133</v>
      </c>
      <c r="E244" t="s">
        <v>253</v>
      </c>
      <c r="F244" t="s"/>
      <c r="G244" t="s"/>
      <c r="H244" t="s"/>
      <c r="I244" t="s"/>
      <c r="J244" t="n">
        <v>0</v>
      </c>
      <c r="K244" t="n">
        <v>0</v>
      </c>
      <c r="L244" t="n">
        <v>1</v>
      </c>
      <c r="M244" t="n">
        <v>0</v>
      </c>
    </row>
    <row r="245" spans="1:13">
      <c r="A245" s="1">
        <f>HYPERLINK("http://www.twitter.com/NathanBLawrence/status/993936241140920320", "993936241140920320")</f>
        <v/>
      </c>
      <c r="B245" s="2" t="n">
        <v>43228.81296296296</v>
      </c>
      <c r="C245" t="n">
        <v>0</v>
      </c>
      <c r="D245" t="n">
        <v>2</v>
      </c>
      <c r="E245" t="s">
        <v>254</v>
      </c>
      <c r="F245" t="s"/>
      <c r="G245" t="s"/>
      <c r="H245" t="s"/>
      <c r="I245" t="s"/>
      <c r="J245" t="n">
        <v>0.4019</v>
      </c>
      <c r="K245" t="n">
        <v>0</v>
      </c>
      <c r="L245" t="n">
        <v>0.863</v>
      </c>
      <c r="M245" t="n">
        <v>0.137</v>
      </c>
    </row>
    <row r="246" spans="1:13">
      <c r="A246" s="1">
        <f>HYPERLINK("http://www.twitter.com/NathanBLawrence/status/993936179216216066", "993936179216216066")</f>
        <v/>
      </c>
      <c r="B246" s="2" t="n">
        <v>43228.81280092592</v>
      </c>
      <c r="C246" t="n">
        <v>8</v>
      </c>
      <c r="D246" t="n">
        <v>2</v>
      </c>
      <c r="E246" t="s">
        <v>255</v>
      </c>
      <c r="F246" t="s"/>
      <c r="G246" t="s"/>
      <c r="H246" t="s"/>
      <c r="I246" t="s"/>
      <c r="J246" t="n">
        <v>0.4019</v>
      </c>
      <c r="K246" t="n">
        <v>0</v>
      </c>
      <c r="L246" t="n">
        <v>0.881</v>
      </c>
      <c r="M246" t="n">
        <v>0.119</v>
      </c>
    </row>
    <row r="247" spans="1:13">
      <c r="A247" s="1">
        <f>HYPERLINK("http://www.twitter.com/NathanBLawrence/status/993931134798061569", "993931134798061569")</f>
        <v/>
      </c>
      <c r="B247" s="2" t="n">
        <v>43228.79887731482</v>
      </c>
      <c r="C247" t="n">
        <v>0</v>
      </c>
      <c r="D247" t="n">
        <v>353</v>
      </c>
      <c r="E247" t="s">
        <v>256</v>
      </c>
      <c r="F247">
        <f>HYPERLINK("https://video.twimg.com/amplify_video/993920388525674496/vid/1280x720/lyh9VZ0QbrfuxHz4.mp4?tag=2", "https://video.twimg.com/amplify_video/993920388525674496/vid/1280x720/lyh9VZ0QbrfuxHz4.mp4?tag=2")</f>
        <v/>
      </c>
      <c r="G247" t="s"/>
      <c r="H247" t="s"/>
      <c r="I247" t="s"/>
      <c r="J247" t="n">
        <v>0.3802</v>
      </c>
      <c r="K247" t="n">
        <v>0</v>
      </c>
      <c r="L247" t="n">
        <v>0.885</v>
      </c>
      <c r="M247" t="n">
        <v>0.115</v>
      </c>
    </row>
    <row r="248" spans="1:13">
      <c r="A248" s="1">
        <f>HYPERLINK("http://www.twitter.com/NathanBLawrence/status/993931121485369344", "993931121485369344")</f>
        <v/>
      </c>
      <c r="B248" s="2" t="n">
        <v>43228.79884259259</v>
      </c>
      <c r="C248" t="n">
        <v>0</v>
      </c>
      <c r="D248" t="n">
        <v>58</v>
      </c>
      <c r="E248" t="s">
        <v>257</v>
      </c>
      <c r="F248" t="s"/>
      <c r="G248" t="s"/>
      <c r="H248" t="s"/>
      <c r="I248" t="s"/>
      <c r="J248" t="n">
        <v>0</v>
      </c>
      <c r="K248" t="n">
        <v>0</v>
      </c>
      <c r="L248" t="n">
        <v>1</v>
      </c>
      <c r="M248" t="n">
        <v>0</v>
      </c>
    </row>
    <row r="249" spans="1:13">
      <c r="A249" s="1">
        <f>HYPERLINK("http://www.twitter.com/NathanBLawrence/status/993909828216152073", "993909828216152073")</f>
        <v/>
      </c>
      <c r="B249" s="2" t="n">
        <v>43228.74008101852</v>
      </c>
      <c r="C249" t="n">
        <v>10</v>
      </c>
      <c r="D249" t="n">
        <v>4</v>
      </c>
      <c r="E249" t="s">
        <v>258</v>
      </c>
      <c r="F249">
        <f>HYPERLINK("http://pbs.twimg.com/media/DcsTtwaWAAMggo4.jpg", "http://pbs.twimg.com/media/DcsTtwaWAAMggo4.jpg")</f>
        <v/>
      </c>
      <c r="G249" t="s"/>
      <c r="H249" t="s"/>
      <c r="I249" t="s"/>
      <c r="J249" t="n">
        <v>0.4795</v>
      </c>
      <c r="K249" t="n">
        <v>0.105</v>
      </c>
      <c r="L249" t="n">
        <v>0.758</v>
      </c>
      <c r="M249" t="n">
        <v>0.137</v>
      </c>
    </row>
    <row r="250" spans="1:13">
      <c r="A250" s="1">
        <f>HYPERLINK("http://www.twitter.com/NathanBLawrence/status/993906245110325248", "993906245110325248")</f>
        <v/>
      </c>
      <c r="B250" s="2" t="n">
        <v>43228.73019675926</v>
      </c>
      <c r="C250" t="n">
        <v>0</v>
      </c>
      <c r="D250" t="n">
        <v>9</v>
      </c>
      <c r="E250" t="s">
        <v>259</v>
      </c>
      <c r="F250">
        <f>HYPERLINK("http://pbs.twimg.com/media/DcsNmriUwAA5Hol.jpg", "http://pbs.twimg.com/media/DcsNmriUwAA5Hol.jpg")</f>
        <v/>
      </c>
      <c r="G250" t="s"/>
      <c r="H250" t="s"/>
      <c r="I250" t="s"/>
      <c r="J250" t="n">
        <v>-0.6908</v>
      </c>
      <c r="K250" t="n">
        <v>0.289</v>
      </c>
      <c r="L250" t="n">
        <v>0.711</v>
      </c>
      <c r="M250" t="n">
        <v>0</v>
      </c>
    </row>
    <row r="251" spans="1:13">
      <c r="A251" s="1">
        <f>HYPERLINK("http://www.twitter.com/NathanBLawrence/status/993906115699183617", "993906115699183617")</f>
        <v/>
      </c>
      <c r="B251" s="2" t="n">
        <v>43228.72983796296</v>
      </c>
      <c r="C251" t="n">
        <v>0</v>
      </c>
      <c r="D251" t="n">
        <v>19</v>
      </c>
      <c r="E251" t="s">
        <v>260</v>
      </c>
      <c r="F251">
        <f>HYPERLINK("http://pbs.twimg.com/media/DcsMBBGX4AEcOgk.jpg", "http://pbs.twimg.com/media/DcsMBBGX4AEcOgk.jpg")</f>
        <v/>
      </c>
      <c r="G251" t="s"/>
      <c r="H251" t="s"/>
      <c r="I251" t="s"/>
      <c r="J251" t="n">
        <v>0.6597</v>
      </c>
      <c r="K251" t="n">
        <v>0</v>
      </c>
      <c r="L251" t="n">
        <v>0.759</v>
      </c>
      <c r="M251" t="n">
        <v>0.241</v>
      </c>
    </row>
    <row r="252" spans="1:13">
      <c r="A252" s="1">
        <f>HYPERLINK("http://www.twitter.com/NathanBLawrence/status/993889298293379072", "993889298293379072")</f>
        <v/>
      </c>
      <c r="B252" s="2" t="n">
        <v>43228.68342592593</v>
      </c>
      <c r="C252" t="n">
        <v>7</v>
      </c>
      <c r="D252" t="n">
        <v>3</v>
      </c>
      <c r="E252" t="s">
        <v>261</v>
      </c>
      <c r="F252">
        <f>HYPERLINK("http://pbs.twimg.com/media/DcsBCxnW0AAj4lu.jpg", "http://pbs.twimg.com/media/DcsBCxnW0AAj4lu.jpg")</f>
        <v/>
      </c>
      <c r="G252" t="s"/>
      <c r="H252" t="s"/>
      <c r="I252" t="s"/>
      <c r="J252" t="n">
        <v>-0.9493</v>
      </c>
      <c r="K252" t="n">
        <v>0.336</v>
      </c>
      <c r="L252" t="n">
        <v>0.664</v>
      </c>
      <c r="M252" t="n">
        <v>0</v>
      </c>
    </row>
    <row r="253" spans="1:13">
      <c r="A253" s="1">
        <f>HYPERLINK("http://www.twitter.com/NathanBLawrence/status/993883618643767296", "993883618643767296")</f>
        <v/>
      </c>
      <c r="B253" s="2" t="n">
        <v>43228.66775462963</v>
      </c>
      <c r="C253" t="n">
        <v>0</v>
      </c>
      <c r="D253" t="n">
        <v>16</v>
      </c>
      <c r="E253" t="s">
        <v>262</v>
      </c>
      <c r="F253" t="s"/>
      <c r="G253" t="s"/>
      <c r="H253" t="s"/>
      <c r="I253" t="s"/>
      <c r="J253" t="n">
        <v>0.6553</v>
      </c>
      <c r="K253" t="n">
        <v>0</v>
      </c>
      <c r="L253" t="n">
        <v>0.789</v>
      </c>
      <c r="M253" t="n">
        <v>0.211</v>
      </c>
    </row>
    <row r="254" spans="1:13">
      <c r="A254" s="1">
        <f>HYPERLINK("http://www.twitter.com/NathanBLawrence/status/993883456403857409", "993883456403857409")</f>
        <v/>
      </c>
      <c r="B254" s="2" t="n">
        <v>43228.66731481482</v>
      </c>
      <c r="C254" t="n">
        <v>0</v>
      </c>
      <c r="D254" t="n">
        <v>11</v>
      </c>
      <c r="E254" t="s">
        <v>263</v>
      </c>
      <c r="F254" t="s"/>
      <c r="G254" t="s"/>
      <c r="H254" t="s"/>
      <c r="I254" t="s"/>
      <c r="J254" t="n">
        <v>-0.802</v>
      </c>
      <c r="K254" t="n">
        <v>0.286</v>
      </c>
      <c r="L254" t="n">
        <v>0.714</v>
      </c>
      <c r="M254" t="n">
        <v>0</v>
      </c>
    </row>
    <row r="255" spans="1:13">
      <c r="A255" s="1">
        <f>HYPERLINK("http://www.twitter.com/NathanBLawrence/status/993879980286316544", "993879980286316544")</f>
        <v/>
      </c>
      <c r="B255" s="2" t="n">
        <v>43228.65771990741</v>
      </c>
      <c r="C255" t="n">
        <v>0</v>
      </c>
      <c r="D255" t="n">
        <v>16</v>
      </c>
      <c r="E255" t="s">
        <v>264</v>
      </c>
      <c r="F255" t="s"/>
      <c r="G255" t="s"/>
      <c r="H255" t="s"/>
      <c r="I255" t="s"/>
      <c r="J255" t="n">
        <v>0</v>
      </c>
      <c r="K255" t="n">
        <v>0</v>
      </c>
      <c r="L255" t="n">
        <v>1</v>
      </c>
      <c r="M255" t="n">
        <v>0</v>
      </c>
    </row>
    <row r="256" spans="1:13">
      <c r="A256" s="1">
        <f>HYPERLINK("http://www.twitter.com/NathanBLawrence/status/993879691768582146", "993879691768582146")</f>
        <v/>
      </c>
      <c r="B256" s="2" t="n">
        <v>43228.65692129629</v>
      </c>
      <c r="C256" t="n">
        <v>0</v>
      </c>
      <c r="D256" t="n">
        <v>13</v>
      </c>
      <c r="E256" t="s">
        <v>265</v>
      </c>
      <c r="F256" t="s"/>
      <c r="G256" t="s"/>
      <c r="H256" t="s"/>
      <c r="I256" t="s"/>
      <c r="J256" t="n">
        <v>-0.2732</v>
      </c>
      <c r="K256" t="n">
        <v>0.08</v>
      </c>
      <c r="L256" t="n">
        <v>0.92</v>
      </c>
      <c r="M256" t="n">
        <v>0</v>
      </c>
    </row>
    <row r="257" spans="1:13">
      <c r="A257" s="1">
        <f>HYPERLINK("http://www.twitter.com/NathanBLawrence/status/993565190653468672", "993565190653468672")</f>
        <v/>
      </c>
      <c r="B257" s="2" t="n">
        <v>43227.7890625</v>
      </c>
      <c r="C257" t="n">
        <v>0</v>
      </c>
      <c r="D257" t="n">
        <v>355</v>
      </c>
      <c r="E257" t="s">
        <v>266</v>
      </c>
      <c r="F257" t="s"/>
      <c r="G257" t="s"/>
      <c r="H257" t="s"/>
      <c r="I257" t="s"/>
      <c r="J257" t="n">
        <v>0.6908</v>
      </c>
      <c r="K257" t="n">
        <v>0</v>
      </c>
      <c r="L257" t="n">
        <v>0.584</v>
      </c>
      <c r="M257" t="n">
        <v>0.416</v>
      </c>
    </row>
    <row r="258" spans="1:13">
      <c r="A258" s="1">
        <f>HYPERLINK("http://www.twitter.com/NathanBLawrence/status/993483134858661888", "993483134858661888")</f>
        <v/>
      </c>
      <c r="B258" s="2" t="n">
        <v>43227.56263888889</v>
      </c>
      <c r="C258" t="n">
        <v>3</v>
      </c>
      <c r="D258" t="n">
        <v>1</v>
      </c>
      <c r="E258" t="s">
        <v>267</v>
      </c>
      <c r="F258" t="s"/>
      <c r="G258" t="s"/>
      <c r="H258" t="s"/>
      <c r="I258" t="s"/>
      <c r="J258" t="n">
        <v>0.7199</v>
      </c>
      <c r="K258" t="n">
        <v>0</v>
      </c>
      <c r="L258" t="n">
        <v>0.642</v>
      </c>
      <c r="M258" t="n">
        <v>0.358</v>
      </c>
    </row>
    <row r="259" spans="1:13">
      <c r="A259" s="1">
        <f>HYPERLINK("http://www.twitter.com/NathanBLawrence/status/993478767396966400", "993478767396966400")</f>
        <v/>
      </c>
      <c r="B259" s="2" t="n">
        <v>43227.5505787037</v>
      </c>
      <c r="C259" t="n">
        <v>1</v>
      </c>
      <c r="D259" t="n">
        <v>0</v>
      </c>
      <c r="E259" t="s">
        <v>268</v>
      </c>
      <c r="F259" t="s"/>
      <c r="G259" t="s"/>
      <c r="H259" t="s"/>
      <c r="I259" t="s"/>
      <c r="J259" t="n">
        <v>0</v>
      </c>
      <c r="K259" t="n">
        <v>0</v>
      </c>
      <c r="L259" t="n">
        <v>1</v>
      </c>
      <c r="M259" t="n">
        <v>0</v>
      </c>
    </row>
    <row r="260" spans="1:13">
      <c r="A260" s="1">
        <f>HYPERLINK("http://www.twitter.com/NathanBLawrence/status/993478443122790401", "993478443122790401")</f>
        <v/>
      </c>
      <c r="B260" s="2" t="n">
        <v>43227.5496875</v>
      </c>
      <c r="C260" t="n">
        <v>2</v>
      </c>
      <c r="D260" t="n">
        <v>1</v>
      </c>
      <c r="E260" t="s">
        <v>269</v>
      </c>
      <c r="F260" t="s"/>
      <c r="G260" t="s"/>
      <c r="H260" t="s"/>
      <c r="I260" t="s"/>
      <c r="J260" t="n">
        <v>0</v>
      </c>
      <c r="K260" t="n">
        <v>0</v>
      </c>
      <c r="L260" t="n">
        <v>1</v>
      </c>
      <c r="M260" t="n">
        <v>0</v>
      </c>
    </row>
    <row r="261" spans="1:13">
      <c r="A261" s="1">
        <f>HYPERLINK("http://www.twitter.com/NathanBLawrence/status/993458804854591488", "993458804854591488")</f>
        <v/>
      </c>
      <c r="B261" s="2" t="n">
        <v>43227.49549768519</v>
      </c>
      <c r="C261" t="n">
        <v>8</v>
      </c>
      <c r="D261" t="n">
        <v>10</v>
      </c>
      <c r="E261" t="s">
        <v>270</v>
      </c>
      <c r="F261">
        <f>HYPERLINK("http://pbs.twimg.com/media/Dcl5g3VXUAASosC.jpg", "http://pbs.twimg.com/media/Dcl5g3VXUAASosC.jpg")</f>
        <v/>
      </c>
      <c r="G261" t="s"/>
      <c r="H261" t="s"/>
      <c r="I261" t="s"/>
      <c r="J261" t="n">
        <v>-0.8665</v>
      </c>
      <c r="K261" t="n">
        <v>0.261</v>
      </c>
      <c r="L261" t="n">
        <v>0.584</v>
      </c>
      <c r="M261" t="n">
        <v>0.156</v>
      </c>
    </row>
    <row r="262" spans="1:13">
      <c r="A262" s="1">
        <f>HYPERLINK("http://www.twitter.com/NathanBLawrence/status/993343131457343493", "993343131457343493")</f>
        <v/>
      </c>
      <c r="B262" s="2" t="n">
        <v>43227.1762962963</v>
      </c>
      <c r="C262" t="n">
        <v>0</v>
      </c>
      <c r="D262" t="n">
        <v>28</v>
      </c>
      <c r="E262" t="s">
        <v>271</v>
      </c>
      <c r="F262" t="s"/>
      <c r="G262" t="s"/>
      <c r="H262" t="s"/>
      <c r="I262" t="s"/>
      <c r="J262" t="n">
        <v>0.25</v>
      </c>
      <c r="K262" t="n">
        <v>0.062</v>
      </c>
      <c r="L262" t="n">
        <v>0.839</v>
      </c>
      <c r="M262" t="n">
        <v>0.099</v>
      </c>
    </row>
    <row r="263" spans="1:13">
      <c r="A263" s="1">
        <f>HYPERLINK("http://www.twitter.com/NathanBLawrence/status/993342989085921280", "993342989085921280")</f>
        <v/>
      </c>
      <c r="B263" s="2" t="n">
        <v>43227.17590277778</v>
      </c>
      <c r="C263" t="n">
        <v>0</v>
      </c>
      <c r="D263" t="n">
        <v>5</v>
      </c>
      <c r="E263" t="s">
        <v>272</v>
      </c>
      <c r="F263" t="s"/>
      <c r="G263" t="s"/>
      <c r="H263" t="s"/>
      <c r="I263" t="s"/>
      <c r="J263" t="n">
        <v>0.1779</v>
      </c>
      <c r="K263" t="n">
        <v>0.153</v>
      </c>
      <c r="L263" t="n">
        <v>0.71</v>
      </c>
      <c r="M263" t="n">
        <v>0.137</v>
      </c>
    </row>
    <row r="264" spans="1:13">
      <c r="A264" s="1">
        <f>HYPERLINK("http://www.twitter.com/NathanBLawrence/status/993333557908123648", "993333557908123648")</f>
        <v/>
      </c>
      <c r="B264" s="2" t="n">
        <v>43227.14988425926</v>
      </c>
      <c r="C264" t="n">
        <v>0</v>
      </c>
      <c r="D264" t="n">
        <v>67408</v>
      </c>
      <c r="E264" t="s">
        <v>273</v>
      </c>
      <c r="F264">
        <f>HYPERLINK("http://pbs.twimg.com/media/Dcj5dJ-X4AANWwd.jpg", "http://pbs.twimg.com/media/Dcj5dJ-X4AANWwd.jpg")</f>
        <v/>
      </c>
      <c r="G264" t="s"/>
      <c r="H264" t="s"/>
      <c r="I264" t="s"/>
      <c r="J264" t="n">
        <v>0.0772</v>
      </c>
      <c r="K264" t="n">
        <v>0.073</v>
      </c>
      <c r="L264" t="n">
        <v>0.843</v>
      </c>
      <c r="M264" t="n">
        <v>0.08400000000000001</v>
      </c>
    </row>
    <row r="265" spans="1:13">
      <c r="A265" s="1">
        <f>HYPERLINK("http://www.twitter.com/NathanBLawrence/status/993332386128646144", "993332386128646144")</f>
        <v/>
      </c>
      <c r="B265" s="2" t="n">
        <v>43227.14664351852</v>
      </c>
      <c r="C265" t="n">
        <v>0</v>
      </c>
      <c r="D265" t="n">
        <v>18</v>
      </c>
      <c r="E265" t="s">
        <v>274</v>
      </c>
      <c r="F265" t="s"/>
      <c r="G265" t="s"/>
      <c r="H265" t="s"/>
      <c r="I265" t="s"/>
      <c r="J265" t="n">
        <v>0</v>
      </c>
      <c r="K265" t="n">
        <v>0</v>
      </c>
      <c r="L265" t="n">
        <v>1</v>
      </c>
      <c r="M265" t="n">
        <v>0</v>
      </c>
    </row>
    <row r="266" spans="1:13">
      <c r="A266" s="1">
        <f>HYPERLINK("http://www.twitter.com/NathanBLawrence/status/993332371737972736", "993332371737972736")</f>
        <v/>
      </c>
      <c r="B266" s="2" t="n">
        <v>43227.1466087963</v>
      </c>
      <c r="C266" t="n">
        <v>0</v>
      </c>
      <c r="D266" t="n">
        <v>6</v>
      </c>
      <c r="E266" t="s">
        <v>275</v>
      </c>
      <c r="F266" t="s"/>
      <c r="G266" t="s"/>
      <c r="H266" t="s"/>
      <c r="I266" t="s"/>
      <c r="J266" t="n">
        <v>0</v>
      </c>
      <c r="K266" t="n">
        <v>0</v>
      </c>
      <c r="L266" t="n">
        <v>1</v>
      </c>
      <c r="M266" t="n">
        <v>0</v>
      </c>
    </row>
    <row r="267" spans="1:13">
      <c r="A267" s="1">
        <f>HYPERLINK("http://www.twitter.com/NathanBLawrence/status/993332304478113793", "993332304478113793")</f>
        <v/>
      </c>
      <c r="B267" s="2" t="n">
        <v>43227.14642361111</v>
      </c>
      <c r="C267" t="n">
        <v>0</v>
      </c>
      <c r="D267" t="n">
        <v>13</v>
      </c>
      <c r="E267" t="s">
        <v>276</v>
      </c>
      <c r="F267" t="s"/>
      <c r="G267" t="s"/>
      <c r="H267" t="s"/>
      <c r="I267" t="s"/>
      <c r="J267" t="n">
        <v>0.5777</v>
      </c>
      <c r="K267" t="n">
        <v>0</v>
      </c>
      <c r="L267" t="n">
        <v>0.828</v>
      </c>
      <c r="M267" t="n">
        <v>0.172</v>
      </c>
    </row>
    <row r="268" spans="1:13">
      <c r="A268" s="1">
        <f>HYPERLINK("http://www.twitter.com/NathanBLawrence/status/993331388177842176", "993331388177842176")</f>
        <v/>
      </c>
      <c r="B268" s="2" t="n">
        <v>43227.14388888889</v>
      </c>
      <c r="C268" t="n">
        <v>0</v>
      </c>
      <c r="D268" t="n">
        <v>22</v>
      </c>
      <c r="E268" t="s">
        <v>277</v>
      </c>
      <c r="F268">
        <f>HYPERLINK("http://pbs.twimg.com/media/Dcjv9DmXkAIYevh.jpg", "http://pbs.twimg.com/media/Dcjv9DmXkAIYevh.jpg")</f>
        <v/>
      </c>
      <c r="G268" t="s"/>
      <c r="H268" t="s"/>
      <c r="I268" t="s"/>
      <c r="J268" t="n">
        <v>0.7177</v>
      </c>
      <c r="K268" t="n">
        <v>0</v>
      </c>
      <c r="L268" t="n">
        <v>0.7</v>
      </c>
      <c r="M268" t="n">
        <v>0.3</v>
      </c>
    </row>
    <row r="269" spans="1:13">
      <c r="A269" s="1">
        <f>HYPERLINK("http://www.twitter.com/NathanBLawrence/status/993331138885283840", "993331138885283840")</f>
        <v/>
      </c>
      <c r="B269" s="2" t="n">
        <v>43227.14320601852</v>
      </c>
      <c r="C269" t="n">
        <v>0</v>
      </c>
      <c r="D269" t="n">
        <v>7</v>
      </c>
      <c r="E269" t="s">
        <v>278</v>
      </c>
      <c r="F269" t="s"/>
      <c r="G269" t="s"/>
      <c r="H269" t="s"/>
      <c r="I269" t="s"/>
      <c r="J269" t="n">
        <v>0</v>
      </c>
      <c r="K269" t="n">
        <v>0</v>
      </c>
      <c r="L269" t="n">
        <v>1</v>
      </c>
      <c r="M269" t="n">
        <v>0</v>
      </c>
    </row>
    <row r="270" spans="1:13">
      <c r="A270" s="1">
        <f>HYPERLINK("http://www.twitter.com/NathanBLawrence/status/993331033180393472", "993331033180393472")</f>
        <v/>
      </c>
      <c r="B270" s="2" t="n">
        <v>43227.14291666666</v>
      </c>
      <c r="C270" t="n">
        <v>0</v>
      </c>
      <c r="D270" t="n">
        <v>12</v>
      </c>
      <c r="E270" t="s">
        <v>279</v>
      </c>
      <c r="F270" t="s"/>
      <c r="G270" t="s"/>
      <c r="H270" t="s"/>
      <c r="I270" t="s"/>
      <c r="J270" t="n">
        <v>0</v>
      </c>
      <c r="K270" t="n">
        <v>0.101</v>
      </c>
      <c r="L270" t="n">
        <v>0.798</v>
      </c>
      <c r="M270" t="n">
        <v>0.101</v>
      </c>
    </row>
    <row r="271" spans="1:13">
      <c r="A271" s="1">
        <f>HYPERLINK("http://www.twitter.com/NathanBLawrence/status/993295789110808577", "993295789110808577")</f>
        <v/>
      </c>
      <c r="B271" s="2" t="n">
        <v>43227.04565972222</v>
      </c>
      <c r="C271" t="n">
        <v>6</v>
      </c>
      <c r="D271" t="n">
        <v>1</v>
      </c>
      <c r="E271" t="s">
        <v>280</v>
      </c>
      <c r="F271" t="s"/>
      <c r="G271" t="s"/>
      <c r="H271" t="s"/>
      <c r="I271" t="s"/>
      <c r="J271" t="n">
        <v>-0.8205</v>
      </c>
      <c r="K271" t="n">
        <v>0.173</v>
      </c>
      <c r="L271" t="n">
        <v>0.783</v>
      </c>
      <c r="M271" t="n">
        <v>0.044</v>
      </c>
    </row>
    <row r="272" spans="1:13">
      <c r="A272" s="1">
        <f>HYPERLINK("http://www.twitter.com/NathanBLawrence/status/993196773886910464", "993196773886910464")</f>
        <v/>
      </c>
      <c r="B272" s="2" t="n">
        <v>43226.77243055555</v>
      </c>
      <c r="C272" t="n">
        <v>0</v>
      </c>
      <c r="D272" t="n">
        <v>10</v>
      </c>
      <c r="E272" t="s">
        <v>281</v>
      </c>
      <c r="F272" t="s"/>
      <c r="G272" t="s"/>
      <c r="H272" t="s"/>
      <c r="I272" t="s"/>
      <c r="J272" t="n">
        <v>0</v>
      </c>
      <c r="K272" t="n">
        <v>0</v>
      </c>
      <c r="L272" t="n">
        <v>1</v>
      </c>
      <c r="M272" t="n">
        <v>0</v>
      </c>
    </row>
    <row r="273" spans="1:13">
      <c r="A273" s="1">
        <f>HYPERLINK("http://www.twitter.com/NathanBLawrence/status/993194381346828293", "993194381346828293")</f>
        <v/>
      </c>
      <c r="B273" s="2" t="n">
        <v>43226.76582175926</v>
      </c>
      <c r="C273" t="n">
        <v>0</v>
      </c>
      <c r="D273" t="n">
        <v>3451</v>
      </c>
      <c r="E273" t="s">
        <v>282</v>
      </c>
      <c r="F273">
        <f>HYPERLINK("https://video.twimg.com/ext_tw_video/992883302997479425/pu/vid/352x640/S-EBFZd4pKsJVTA_.mp4?tag=3", "https://video.twimg.com/ext_tw_video/992883302997479425/pu/vid/352x640/S-EBFZd4pKsJVTA_.mp4?tag=3")</f>
        <v/>
      </c>
      <c r="G273" t="s"/>
      <c r="H273" t="s"/>
      <c r="I273" t="s"/>
      <c r="J273" t="n">
        <v>-0.4215</v>
      </c>
      <c r="K273" t="n">
        <v>0.177</v>
      </c>
      <c r="L273" t="n">
        <v>0.823</v>
      </c>
      <c r="M273" t="n">
        <v>0</v>
      </c>
    </row>
    <row r="274" spans="1:13">
      <c r="A274" s="1">
        <f>HYPERLINK("http://www.twitter.com/NathanBLawrence/status/993193978609766401", "993193978609766401")</f>
        <v/>
      </c>
      <c r="B274" s="2" t="n">
        <v>43226.76471064815</v>
      </c>
      <c r="C274" t="n">
        <v>0</v>
      </c>
      <c r="D274" t="n">
        <v>3</v>
      </c>
      <c r="E274" t="s">
        <v>283</v>
      </c>
      <c r="F274" t="s"/>
      <c r="G274" t="s"/>
      <c r="H274" t="s"/>
      <c r="I274" t="s"/>
      <c r="J274" t="n">
        <v>-0.4698</v>
      </c>
      <c r="K274" t="n">
        <v>0.181</v>
      </c>
      <c r="L274" t="n">
        <v>0.736</v>
      </c>
      <c r="M274" t="n">
        <v>0.083</v>
      </c>
    </row>
    <row r="275" spans="1:13">
      <c r="A275" s="1">
        <f>HYPERLINK("http://www.twitter.com/NathanBLawrence/status/993193256593887232", "993193256593887232")</f>
        <v/>
      </c>
      <c r="B275" s="2" t="n">
        <v>43226.7627199074</v>
      </c>
      <c r="C275" t="n">
        <v>0</v>
      </c>
      <c r="D275" t="n">
        <v>1</v>
      </c>
      <c r="E275" t="s">
        <v>284</v>
      </c>
      <c r="F275" t="s"/>
      <c r="G275" t="s"/>
      <c r="H275" t="s"/>
      <c r="I275" t="s"/>
      <c r="J275" t="n">
        <v>0.5994</v>
      </c>
      <c r="K275" t="n">
        <v>0</v>
      </c>
      <c r="L275" t="n">
        <v>0.824</v>
      </c>
      <c r="M275" t="n">
        <v>0.176</v>
      </c>
    </row>
    <row r="276" spans="1:13">
      <c r="A276" s="1">
        <f>HYPERLINK("http://www.twitter.com/NathanBLawrence/status/993186265574051840", "993186265574051840")</f>
        <v/>
      </c>
      <c r="B276" s="2" t="n">
        <v>43226.74342592592</v>
      </c>
      <c r="C276" t="n">
        <v>0</v>
      </c>
      <c r="D276" t="n">
        <v>92</v>
      </c>
      <c r="E276" t="s">
        <v>285</v>
      </c>
      <c r="F276" t="s"/>
      <c r="G276" t="s"/>
      <c r="H276" t="s"/>
      <c r="I276" t="s"/>
      <c r="J276" t="n">
        <v>-0.5574</v>
      </c>
      <c r="K276" t="n">
        <v>0.211</v>
      </c>
      <c r="L276" t="n">
        <v>0.733</v>
      </c>
      <c r="M276" t="n">
        <v>0.056</v>
      </c>
    </row>
    <row r="277" spans="1:13">
      <c r="A277" s="1">
        <f>HYPERLINK("http://www.twitter.com/NathanBLawrence/status/993186028075782144", "993186028075782144")</f>
        <v/>
      </c>
      <c r="B277" s="2" t="n">
        <v>43226.74277777778</v>
      </c>
      <c r="C277" t="n">
        <v>0</v>
      </c>
      <c r="D277" t="n">
        <v>149</v>
      </c>
      <c r="E277" t="s">
        <v>286</v>
      </c>
      <c r="F277">
        <f>HYPERLINK("http://pbs.twimg.com/media/Dch7Bo6V4AEPyaR.jpg", "http://pbs.twimg.com/media/Dch7Bo6V4AEPyaR.jpg")</f>
        <v/>
      </c>
      <c r="G277" t="s"/>
      <c r="H277" t="s"/>
      <c r="I277" t="s"/>
      <c r="J277" t="n">
        <v>-0.2023</v>
      </c>
      <c r="K277" t="n">
        <v>0.167</v>
      </c>
      <c r="L277" t="n">
        <v>0.707</v>
      </c>
      <c r="M277" t="n">
        <v>0.126</v>
      </c>
    </row>
    <row r="278" spans="1:13">
      <c r="A278" s="1">
        <f>HYPERLINK("http://www.twitter.com/NathanBLawrence/status/993185179270303746", "993185179270303746")</f>
        <v/>
      </c>
      <c r="B278" s="2" t="n">
        <v>43226.74042824074</v>
      </c>
      <c r="C278" t="n">
        <v>2</v>
      </c>
      <c r="D278" t="n">
        <v>5</v>
      </c>
      <c r="E278" t="s">
        <v>287</v>
      </c>
      <c r="F278">
        <f>HYPERLINK("http://pbs.twimg.com/media/DciApskW0AIH2JF.jpg", "http://pbs.twimg.com/media/DciApskW0AIH2JF.jpg")</f>
        <v/>
      </c>
      <c r="G278" t="s"/>
      <c r="H278" t="s"/>
      <c r="I278" t="s"/>
      <c r="J278" t="n">
        <v>0</v>
      </c>
      <c r="K278" t="n">
        <v>0</v>
      </c>
      <c r="L278" t="n">
        <v>1</v>
      </c>
      <c r="M278" t="n">
        <v>0</v>
      </c>
    </row>
    <row r="279" spans="1:13">
      <c r="A279" s="1">
        <f>HYPERLINK("http://www.twitter.com/NathanBLawrence/status/993184181910933504", "993184181910933504")</f>
        <v/>
      </c>
      <c r="B279" s="2" t="n">
        <v>43226.73768518519</v>
      </c>
      <c r="C279" t="n">
        <v>0</v>
      </c>
      <c r="D279" t="n">
        <v>9</v>
      </c>
      <c r="E279" t="s">
        <v>288</v>
      </c>
      <c r="F279" t="s"/>
      <c r="G279" t="s"/>
      <c r="H279" t="s"/>
      <c r="I279" t="s"/>
      <c r="J279" t="n">
        <v>-0.1306</v>
      </c>
      <c r="K279" t="n">
        <v>0.097</v>
      </c>
      <c r="L279" t="n">
        <v>0.829</v>
      </c>
      <c r="M279" t="n">
        <v>0.074</v>
      </c>
    </row>
    <row r="280" spans="1:13">
      <c r="A280" s="1">
        <f>HYPERLINK("http://www.twitter.com/NathanBLawrence/status/993178640899870720", "993178640899870720")</f>
        <v/>
      </c>
      <c r="B280" s="2" t="n">
        <v>43226.72239583333</v>
      </c>
      <c r="C280" t="n">
        <v>0</v>
      </c>
      <c r="D280" t="n">
        <v>2</v>
      </c>
      <c r="E280" t="s">
        <v>289</v>
      </c>
      <c r="F280">
        <f>HYPERLINK("http://pbs.twimg.com/media/Dce83HEU0AAqqxt.jpg", "http://pbs.twimg.com/media/Dce83HEU0AAqqxt.jpg")</f>
        <v/>
      </c>
      <c r="G280" t="s"/>
      <c r="H280" t="s"/>
      <c r="I280" t="s"/>
      <c r="J280" t="n">
        <v>0.784</v>
      </c>
      <c r="K280" t="n">
        <v>0</v>
      </c>
      <c r="L280" t="n">
        <v>0.504</v>
      </c>
      <c r="M280" t="n">
        <v>0.496</v>
      </c>
    </row>
    <row r="281" spans="1:13">
      <c r="A281" s="1">
        <f>HYPERLINK("http://www.twitter.com/NathanBLawrence/status/993175488783929345", "993175488783929345")</f>
        <v/>
      </c>
      <c r="B281" s="2" t="n">
        <v>43226.71369212963</v>
      </c>
      <c r="C281" t="n">
        <v>0</v>
      </c>
      <c r="D281" t="n">
        <v>227</v>
      </c>
      <c r="E281" t="s">
        <v>290</v>
      </c>
      <c r="F281" t="s"/>
      <c r="G281" t="s"/>
      <c r="H281" t="s"/>
      <c r="I281" t="s"/>
      <c r="J281" t="n">
        <v>0.7554999999999999</v>
      </c>
      <c r="K281" t="n">
        <v>0</v>
      </c>
      <c r="L281" t="n">
        <v>0.65</v>
      </c>
      <c r="M281" t="n">
        <v>0.35</v>
      </c>
    </row>
    <row r="282" spans="1:13">
      <c r="A282" s="1">
        <f>HYPERLINK("http://www.twitter.com/NathanBLawrence/status/993173412335013888", "993173412335013888")</f>
        <v/>
      </c>
      <c r="B282" s="2" t="n">
        <v>43226.70796296297</v>
      </c>
      <c r="C282" t="n">
        <v>0</v>
      </c>
      <c r="D282" t="n">
        <v>11</v>
      </c>
      <c r="E282" t="s">
        <v>291</v>
      </c>
      <c r="F282">
        <f>HYPERLINK("http://pbs.twimg.com/media/Dcd9ODWX4AEwTmJ.jpg", "http://pbs.twimg.com/media/Dcd9ODWX4AEwTmJ.jpg")</f>
        <v/>
      </c>
      <c r="G282" t="s"/>
      <c r="H282" t="s"/>
      <c r="I282" t="s"/>
      <c r="J282" t="n">
        <v>0</v>
      </c>
      <c r="K282" t="n">
        <v>0</v>
      </c>
      <c r="L282" t="n">
        <v>1</v>
      </c>
      <c r="M282" t="n">
        <v>0</v>
      </c>
    </row>
    <row r="283" spans="1:13">
      <c r="A283" s="1">
        <f>HYPERLINK("http://www.twitter.com/NathanBLawrence/status/993171908068827136", "993171908068827136")</f>
        <v/>
      </c>
      <c r="B283" s="2" t="n">
        <v>43226.70380787037</v>
      </c>
      <c r="C283" t="n">
        <v>0</v>
      </c>
      <c r="D283" t="n">
        <v>3</v>
      </c>
      <c r="E283" t="s">
        <v>292</v>
      </c>
      <c r="F283">
        <f>HYPERLINK("http://pbs.twimg.com/media/DchDH-KVMAEJGUM.jpg", "http://pbs.twimg.com/media/DchDH-KVMAEJGUM.jpg")</f>
        <v/>
      </c>
      <c r="G283" t="s"/>
      <c r="H283" t="s"/>
      <c r="I283" t="s"/>
      <c r="J283" t="n">
        <v>0</v>
      </c>
      <c r="K283" t="n">
        <v>0</v>
      </c>
      <c r="L283" t="n">
        <v>1</v>
      </c>
      <c r="M283" t="n">
        <v>0</v>
      </c>
    </row>
    <row r="284" spans="1:13">
      <c r="A284" s="1">
        <f>HYPERLINK("http://www.twitter.com/NathanBLawrence/status/993171899348905984", "993171899348905984")</f>
        <v/>
      </c>
      <c r="B284" s="2" t="n">
        <v>43226.70378472222</v>
      </c>
      <c r="C284" t="n">
        <v>0</v>
      </c>
      <c r="D284" t="n">
        <v>1</v>
      </c>
      <c r="E284" t="s">
        <v>293</v>
      </c>
      <c r="F284" t="s"/>
      <c r="G284" t="s"/>
      <c r="H284" t="s"/>
      <c r="I284" t="s"/>
      <c r="J284" t="n">
        <v>0</v>
      </c>
      <c r="K284" t="n">
        <v>0</v>
      </c>
      <c r="L284" t="n">
        <v>1</v>
      </c>
      <c r="M284" t="n">
        <v>0</v>
      </c>
    </row>
    <row r="285" spans="1:13">
      <c r="A285" s="1">
        <f>HYPERLINK("http://www.twitter.com/NathanBLawrence/status/993171596755062788", "993171596755062788")</f>
        <v/>
      </c>
      <c r="B285" s="2" t="n">
        <v>43226.70295138889</v>
      </c>
      <c r="C285" t="n">
        <v>0</v>
      </c>
      <c r="D285" t="n">
        <v>17</v>
      </c>
      <c r="E285" t="s">
        <v>294</v>
      </c>
      <c r="F285" t="s"/>
      <c r="G285" t="s"/>
      <c r="H285" t="s"/>
      <c r="I285" t="s"/>
      <c r="J285" t="n">
        <v>0</v>
      </c>
      <c r="K285" t="n">
        <v>0</v>
      </c>
      <c r="L285" t="n">
        <v>1</v>
      </c>
      <c r="M285" t="n">
        <v>0</v>
      </c>
    </row>
    <row r="286" spans="1:13">
      <c r="A286" s="1">
        <f>HYPERLINK("http://www.twitter.com/NathanBLawrence/status/993171544884043778", "993171544884043778")</f>
        <v/>
      </c>
      <c r="B286" s="2" t="n">
        <v>43226.7028125</v>
      </c>
      <c r="C286" t="n">
        <v>0</v>
      </c>
      <c r="D286" t="n">
        <v>1</v>
      </c>
      <c r="E286" t="s">
        <v>295</v>
      </c>
      <c r="F286" t="s"/>
      <c r="G286" t="s"/>
      <c r="H286" t="s"/>
      <c r="I286" t="s"/>
      <c r="J286" t="n">
        <v>0</v>
      </c>
      <c r="K286" t="n">
        <v>0</v>
      </c>
      <c r="L286" t="n">
        <v>1</v>
      </c>
      <c r="M286" t="n">
        <v>0</v>
      </c>
    </row>
    <row r="287" spans="1:13">
      <c r="A287" s="1">
        <f>HYPERLINK("http://www.twitter.com/NathanBLawrence/status/993171503960256512", "993171503960256512")</f>
        <v/>
      </c>
      <c r="B287" s="2" t="n">
        <v>43226.70269675926</v>
      </c>
      <c r="C287" t="n">
        <v>0</v>
      </c>
      <c r="D287" t="n">
        <v>1</v>
      </c>
      <c r="E287" t="s">
        <v>296</v>
      </c>
      <c r="F287" t="s"/>
      <c r="G287" t="s"/>
      <c r="H287" t="s"/>
      <c r="I287" t="s"/>
      <c r="J287" t="n">
        <v>0</v>
      </c>
      <c r="K287" t="n">
        <v>0</v>
      </c>
      <c r="L287" t="n">
        <v>1</v>
      </c>
      <c r="M287" t="n">
        <v>0</v>
      </c>
    </row>
    <row r="288" spans="1:13">
      <c r="A288" s="1">
        <f>HYPERLINK("http://www.twitter.com/NathanBLawrence/status/993171477892665344", "993171477892665344")</f>
        <v/>
      </c>
      <c r="B288" s="2" t="n">
        <v>43226.70262731481</v>
      </c>
      <c r="C288" t="n">
        <v>0</v>
      </c>
      <c r="D288" t="n">
        <v>1</v>
      </c>
      <c r="E288" t="s">
        <v>297</v>
      </c>
      <c r="F288" t="s"/>
      <c r="G288" t="s"/>
      <c r="H288" t="s"/>
      <c r="I288" t="s"/>
      <c r="J288" t="n">
        <v>0</v>
      </c>
      <c r="K288" t="n">
        <v>0</v>
      </c>
      <c r="L288" t="n">
        <v>1</v>
      </c>
      <c r="M288" t="n">
        <v>0</v>
      </c>
    </row>
    <row r="289" spans="1:13">
      <c r="A289" s="1">
        <f>HYPERLINK("http://www.twitter.com/NathanBLawrence/status/993171455121686528", "993171455121686528")</f>
        <v/>
      </c>
      <c r="B289" s="2" t="n">
        <v>43226.70255787037</v>
      </c>
      <c r="C289" t="n">
        <v>0</v>
      </c>
      <c r="D289" t="n">
        <v>1</v>
      </c>
      <c r="E289" t="s">
        <v>298</v>
      </c>
      <c r="F289" t="s"/>
      <c r="G289" t="s"/>
      <c r="H289" t="s"/>
      <c r="I289" t="s"/>
      <c r="J289" t="n">
        <v>0</v>
      </c>
      <c r="K289" t="n">
        <v>0</v>
      </c>
      <c r="L289" t="n">
        <v>1</v>
      </c>
      <c r="M289" t="n">
        <v>0</v>
      </c>
    </row>
    <row r="290" spans="1:13">
      <c r="A290" s="1">
        <f>HYPERLINK("http://www.twitter.com/NathanBLawrence/status/993171249097474049", "993171249097474049")</f>
        <v/>
      </c>
      <c r="B290" s="2" t="n">
        <v>43226.70199074074</v>
      </c>
      <c r="C290" t="n">
        <v>0</v>
      </c>
      <c r="D290" t="n">
        <v>1</v>
      </c>
      <c r="E290" t="s">
        <v>299</v>
      </c>
      <c r="F290" t="s"/>
      <c r="G290" t="s"/>
      <c r="H290" t="s"/>
      <c r="I290" t="s"/>
      <c r="J290" t="n">
        <v>0</v>
      </c>
      <c r="K290" t="n">
        <v>0</v>
      </c>
      <c r="L290" t="n">
        <v>1</v>
      </c>
      <c r="M290" t="n">
        <v>0</v>
      </c>
    </row>
    <row r="291" spans="1:13">
      <c r="A291" s="1">
        <f>HYPERLINK("http://www.twitter.com/NathanBLawrence/status/993170896780169216", "993170896780169216")</f>
        <v/>
      </c>
      <c r="B291" s="2" t="n">
        <v>43226.70101851852</v>
      </c>
      <c r="C291" t="n">
        <v>0</v>
      </c>
      <c r="D291" t="n">
        <v>1</v>
      </c>
      <c r="E291" t="s">
        <v>300</v>
      </c>
      <c r="F291" t="s"/>
      <c r="G291" t="s"/>
      <c r="H291" t="s"/>
      <c r="I291" t="s"/>
      <c r="J291" t="n">
        <v>-0.3089</v>
      </c>
      <c r="K291" t="n">
        <v>0.158</v>
      </c>
      <c r="L291" t="n">
        <v>0.842</v>
      </c>
      <c r="M291" t="n">
        <v>0</v>
      </c>
    </row>
    <row r="292" spans="1:13">
      <c r="A292" s="1">
        <f>HYPERLINK("http://www.twitter.com/NathanBLawrence/status/993170053771218951", "993170053771218951")</f>
        <v/>
      </c>
      <c r="B292" s="2" t="n">
        <v>43226.69869212963</v>
      </c>
      <c r="C292" t="n">
        <v>0</v>
      </c>
      <c r="D292" t="n">
        <v>1</v>
      </c>
      <c r="E292" t="s">
        <v>301</v>
      </c>
      <c r="F292" t="s"/>
      <c r="G292" t="s"/>
      <c r="H292" t="s"/>
      <c r="I292" t="s"/>
      <c r="J292" t="n">
        <v>0.6469</v>
      </c>
      <c r="K292" t="n">
        <v>0.136</v>
      </c>
      <c r="L292" t="n">
        <v>0.493</v>
      </c>
      <c r="M292" t="n">
        <v>0.371</v>
      </c>
    </row>
    <row r="293" spans="1:13">
      <c r="A293" s="1">
        <f>HYPERLINK("http://www.twitter.com/NathanBLawrence/status/993169794781405186", "993169794781405186")</f>
        <v/>
      </c>
      <c r="B293" s="2" t="n">
        <v>43226.69797453703</v>
      </c>
      <c r="C293" t="n">
        <v>0</v>
      </c>
      <c r="D293" t="n">
        <v>8</v>
      </c>
      <c r="E293" t="s">
        <v>302</v>
      </c>
      <c r="F293" t="s"/>
      <c r="G293" t="s"/>
      <c r="H293" t="s"/>
      <c r="I293" t="s"/>
      <c r="J293" t="n">
        <v>-0.34</v>
      </c>
      <c r="K293" t="n">
        <v>0.112</v>
      </c>
      <c r="L293" t="n">
        <v>0.888</v>
      </c>
      <c r="M293" t="n">
        <v>0</v>
      </c>
    </row>
    <row r="294" spans="1:13">
      <c r="A294" s="1">
        <f>HYPERLINK("http://www.twitter.com/NathanBLawrence/status/993108804161204224", "993108804161204224")</f>
        <v/>
      </c>
      <c r="B294" s="2" t="n">
        <v>43226.52967592593</v>
      </c>
      <c r="C294" t="n">
        <v>0</v>
      </c>
      <c r="D294" t="n">
        <v>103</v>
      </c>
      <c r="E294" t="s">
        <v>303</v>
      </c>
      <c r="F294" t="s"/>
      <c r="G294" t="s"/>
      <c r="H294" t="s"/>
      <c r="I294" t="s"/>
      <c r="J294" t="n">
        <v>0</v>
      </c>
      <c r="K294" t="n">
        <v>0</v>
      </c>
      <c r="L294" t="n">
        <v>1</v>
      </c>
      <c r="M294" t="n">
        <v>0</v>
      </c>
    </row>
    <row r="295" spans="1:13">
      <c r="A295" s="1">
        <f>HYPERLINK("http://www.twitter.com/NathanBLawrence/status/992958249564557318", "992958249564557318")</f>
        <v/>
      </c>
      <c r="B295" s="2" t="n">
        <v>43226.11422453704</v>
      </c>
      <c r="C295" t="n">
        <v>0</v>
      </c>
      <c r="D295" t="n">
        <v>546</v>
      </c>
      <c r="E295" t="s">
        <v>304</v>
      </c>
      <c r="F295">
        <f>HYPERLINK("http://pbs.twimg.com/media/DcZ-FnpWkAAhSaW.jpg", "http://pbs.twimg.com/media/DcZ-FnpWkAAhSaW.jpg")</f>
        <v/>
      </c>
      <c r="G295" t="s"/>
      <c r="H295" t="s"/>
      <c r="I295" t="s"/>
      <c r="J295" t="n">
        <v>-0.6523</v>
      </c>
      <c r="K295" t="n">
        <v>0.302</v>
      </c>
      <c r="L295" t="n">
        <v>0.698</v>
      </c>
      <c r="M295" t="n">
        <v>0</v>
      </c>
    </row>
    <row r="296" spans="1:13">
      <c r="A296" s="1">
        <f>HYPERLINK("http://www.twitter.com/NathanBLawrence/status/992949455270924291", "992949455270924291")</f>
        <v/>
      </c>
      <c r="B296" s="2" t="n">
        <v>43226.0899537037</v>
      </c>
      <c r="C296" t="n">
        <v>0</v>
      </c>
      <c r="D296" t="n">
        <v>193</v>
      </c>
      <c r="E296" t="s">
        <v>305</v>
      </c>
      <c r="F296">
        <f>HYPERLINK("http://pbs.twimg.com/media/DL9XxlTWAAAZsOR.jpg", "http://pbs.twimg.com/media/DL9XxlTWAAAZsOR.jpg")</f>
        <v/>
      </c>
      <c r="G296" t="s"/>
      <c r="H296" t="s"/>
      <c r="I296" t="s"/>
      <c r="J296" t="n">
        <v>0.4019</v>
      </c>
      <c r="K296" t="n">
        <v>0</v>
      </c>
      <c r="L296" t="n">
        <v>0.828</v>
      </c>
      <c r="M296" t="n">
        <v>0.172</v>
      </c>
    </row>
    <row r="297" spans="1:13">
      <c r="A297" s="1">
        <f>HYPERLINK("http://www.twitter.com/NathanBLawrence/status/992945148710539264", "992945148710539264")</f>
        <v/>
      </c>
      <c r="B297" s="2" t="n">
        <v>43226.0780787037</v>
      </c>
      <c r="C297" t="n">
        <v>0</v>
      </c>
      <c r="D297" t="n">
        <v>2</v>
      </c>
      <c r="E297" t="s">
        <v>306</v>
      </c>
      <c r="F297" t="s"/>
      <c r="G297" t="s"/>
      <c r="H297" t="s"/>
      <c r="I297" t="s"/>
      <c r="J297" t="n">
        <v>0</v>
      </c>
      <c r="K297" t="n">
        <v>0</v>
      </c>
      <c r="L297" t="n">
        <v>1</v>
      </c>
      <c r="M297" t="n">
        <v>0</v>
      </c>
    </row>
    <row r="298" spans="1:13">
      <c r="A298" s="1">
        <f>HYPERLINK("http://www.twitter.com/NathanBLawrence/status/992943524885749760", "992943524885749760")</f>
        <v/>
      </c>
      <c r="B298" s="2" t="n">
        <v>43226.07358796296</v>
      </c>
      <c r="C298" t="n">
        <v>0</v>
      </c>
      <c r="D298" t="n">
        <v>19</v>
      </c>
      <c r="E298" t="s">
        <v>307</v>
      </c>
      <c r="F298" t="s"/>
      <c r="G298" t="s"/>
      <c r="H298" t="s"/>
      <c r="I298" t="s"/>
      <c r="J298" t="n">
        <v>-0.5859</v>
      </c>
      <c r="K298" t="n">
        <v>0.257</v>
      </c>
      <c r="L298" t="n">
        <v>0.743</v>
      </c>
      <c r="M298" t="n">
        <v>0</v>
      </c>
    </row>
    <row r="299" spans="1:13">
      <c r="A299" s="1">
        <f>HYPERLINK("http://www.twitter.com/NathanBLawrence/status/992943341703696384", "992943341703696384")</f>
        <v/>
      </c>
      <c r="B299" s="2" t="n">
        <v>43226.07309027778</v>
      </c>
      <c r="C299" t="n">
        <v>0</v>
      </c>
      <c r="D299" t="n">
        <v>7</v>
      </c>
      <c r="E299" t="s">
        <v>308</v>
      </c>
      <c r="F299" t="s"/>
      <c r="G299" t="s"/>
      <c r="H299" t="s"/>
      <c r="I299" t="s"/>
      <c r="J299" t="n">
        <v>0.5719</v>
      </c>
      <c r="K299" t="n">
        <v>0</v>
      </c>
      <c r="L299" t="n">
        <v>0.764</v>
      </c>
      <c r="M299" t="n">
        <v>0.236</v>
      </c>
    </row>
    <row r="300" spans="1:13">
      <c r="A300" s="1">
        <f>HYPERLINK("http://www.twitter.com/NathanBLawrence/status/992815042226806784", "992815042226806784")</f>
        <v/>
      </c>
      <c r="B300" s="2" t="n">
        <v>43225.71905092592</v>
      </c>
      <c r="C300" t="n">
        <v>0</v>
      </c>
      <c r="D300" t="n">
        <v>417</v>
      </c>
      <c r="E300" t="s">
        <v>309</v>
      </c>
      <c r="F300" t="s"/>
      <c r="G300" t="s"/>
      <c r="H300" t="s"/>
      <c r="I300" t="s"/>
      <c r="J300" t="n">
        <v>-0.4019</v>
      </c>
      <c r="K300" t="n">
        <v>0.31</v>
      </c>
      <c r="L300" t="n">
        <v>0.6899999999999999</v>
      </c>
      <c r="M300" t="n">
        <v>0</v>
      </c>
    </row>
    <row r="301" spans="1:13">
      <c r="A301" s="1">
        <f>HYPERLINK("http://www.twitter.com/NathanBLawrence/status/992801405797793792", "992801405797793792")</f>
        <v/>
      </c>
      <c r="B301" s="2" t="n">
        <v>43225.68142361111</v>
      </c>
      <c r="C301" t="n">
        <v>3</v>
      </c>
      <c r="D301" t="n">
        <v>1</v>
      </c>
      <c r="E301" t="s">
        <v>310</v>
      </c>
      <c r="F301" t="s"/>
      <c r="G301" t="s"/>
      <c r="H301" t="s"/>
      <c r="I301" t="s"/>
      <c r="J301" t="n">
        <v>0</v>
      </c>
      <c r="K301" t="n">
        <v>0</v>
      </c>
      <c r="L301" t="n">
        <v>1</v>
      </c>
      <c r="M301" t="n">
        <v>0</v>
      </c>
    </row>
    <row r="302" spans="1:13">
      <c r="A302" s="1">
        <f>HYPERLINK("http://www.twitter.com/NathanBLawrence/status/992799739753222144", "992799739753222144")</f>
        <v/>
      </c>
      <c r="B302" s="2" t="n">
        <v>43225.67681712963</v>
      </c>
      <c r="C302" t="n">
        <v>0</v>
      </c>
      <c r="D302" t="n">
        <v>24</v>
      </c>
      <c r="E302" t="s">
        <v>311</v>
      </c>
      <c r="F302">
        <f>HYPERLINK("http://pbs.twimg.com/media/DcXQ8B0WkAUEvvZ.jpg", "http://pbs.twimg.com/media/DcXQ8B0WkAUEvvZ.jpg")</f>
        <v/>
      </c>
      <c r="G302" t="s"/>
      <c r="H302" t="s"/>
      <c r="I302" t="s"/>
      <c r="J302" t="n">
        <v>0.7955</v>
      </c>
      <c r="K302" t="n">
        <v>0</v>
      </c>
      <c r="L302" t="n">
        <v>0.738</v>
      </c>
      <c r="M302" t="n">
        <v>0.262</v>
      </c>
    </row>
    <row r="303" spans="1:13">
      <c r="A303" s="1">
        <f>HYPERLINK("http://www.twitter.com/NathanBLawrence/status/992799545355571200", "992799545355571200")</f>
        <v/>
      </c>
      <c r="B303" s="2" t="n">
        <v>43225.67628472222</v>
      </c>
      <c r="C303" t="n">
        <v>1</v>
      </c>
      <c r="D303" t="n">
        <v>0</v>
      </c>
      <c r="E303" t="s">
        <v>312</v>
      </c>
      <c r="F303" t="s"/>
      <c r="G303" t="s"/>
      <c r="H303" t="s"/>
      <c r="I303" t="s"/>
      <c r="J303" t="n">
        <v>0</v>
      </c>
      <c r="K303" t="n">
        <v>0</v>
      </c>
      <c r="L303" t="n">
        <v>1</v>
      </c>
      <c r="M303" t="n">
        <v>0</v>
      </c>
    </row>
    <row r="304" spans="1:13">
      <c r="A304" s="1">
        <f>HYPERLINK("http://www.twitter.com/NathanBLawrence/status/992799484131262465", "992799484131262465")</f>
        <v/>
      </c>
      <c r="B304" s="2" t="n">
        <v>43225.67611111111</v>
      </c>
      <c r="C304" t="n">
        <v>0</v>
      </c>
      <c r="D304" t="n">
        <v>56</v>
      </c>
      <c r="E304" t="s">
        <v>313</v>
      </c>
      <c r="F304" t="s"/>
      <c r="G304" t="s"/>
      <c r="H304" t="s"/>
      <c r="I304" t="s"/>
      <c r="J304" t="n">
        <v>-0.2732</v>
      </c>
      <c r="K304" t="n">
        <v>0.095</v>
      </c>
      <c r="L304" t="n">
        <v>0.905</v>
      </c>
      <c r="M304" t="n">
        <v>0</v>
      </c>
    </row>
    <row r="305" spans="1:13">
      <c r="A305" s="1">
        <f>HYPERLINK("http://www.twitter.com/NathanBLawrence/status/992798939941429248", "992798939941429248")</f>
        <v/>
      </c>
      <c r="B305" s="2" t="n">
        <v>43225.67461805556</v>
      </c>
      <c r="C305" t="n">
        <v>19</v>
      </c>
      <c r="D305" t="n">
        <v>12</v>
      </c>
      <c r="E305" t="s">
        <v>314</v>
      </c>
      <c r="F305" t="s"/>
      <c r="G305" t="s"/>
      <c r="H305" t="s"/>
      <c r="I305" t="s"/>
      <c r="J305" t="n">
        <v>0.5012</v>
      </c>
      <c r="K305" t="n">
        <v>0.145</v>
      </c>
      <c r="L305" t="n">
        <v>0.634</v>
      </c>
      <c r="M305" t="n">
        <v>0.221</v>
      </c>
    </row>
    <row r="306" spans="1:13">
      <c r="A306" s="1">
        <f>HYPERLINK("http://www.twitter.com/NathanBLawrence/status/992647511956443136", "992647511956443136")</f>
        <v/>
      </c>
      <c r="B306" s="2" t="n">
        <v>43225.25675925926</v>
      </c>
      <c r="C306" t="n">
        <v>0</v>
      </c>
      <c r="D306" t="n">
        <v>22</v>
      </c>
      <c r="E306" t="s">
        <v>315</v>
      </c>
      <c r="F306" t="s"/>
      <c r="G306" t="s"/>
      <c r="H306" t="s"/>
      <c r="I306" t="s"/>
      <c r="J306" t="n">
        <v>0.7418</v>
      </c>
      <c r="K306" t="n">
        <v>0.125</v>
      </c>
      <c r="L306" t="n">
        <v>0.573</v>
      </c>
      <c r="M306" t="n">
        <v>0.303</v>
      </c>
    </row>
    <row r="307" spans="1:13">
      <c r="A307" s="1">
        <f>HYPERLINK("http://www.twitter.com/NathanBLawrence/status/992647355202752512", "992647355202752512")</f>
        <v/>
      </c>
      <c r="B307" s="2" t="n">
        <v>43225.25631944444</v>
      </c>
      <c r="C307" t="n">
        <v>0</v>
      </c>
      <c r="D307" t="n">
        <v>385</v>
      </c>
      <c r="E307" t="s">
        <v>316</v>
      </c>
      <c r="F307">
        <f>HYPERLINK("http://pbs.twimg.com/media/DcaDng1V4AINbkp.jpg", "http://pbs.twimg.com/media/DcaDng1V4AINbkp.jpg")</f>
        <v/>
      </c>
      <c r="G307" t="s"/>
      <c r="H307" t="s"/>
      <c r="I307" t="s"/>
      <c r="J307" t="n">
        <v>0.6597</v>
      </c>
      <c r="K307" t="n">
        <v>0</v>
      </c>
      <c r="L307" t="n">
        <v>0.769</v>
      </c>
      <c r="M307" t="n">
        <v>0.231</v>
      </c>
    </row>
    <row r="308" spans="1:13">
      <c r="A308" s="1">
        <f>HYPERLINK("http://www.twitter.com/NathanBLawrence/status/992645171379613696", "992645171379613696")</f>
        <v/>
      </c>
      <c r="B308" s="2" t="n">
        <v>43225.25028935185</v>
      </c>
      <c r="C308" t="n">
        <v>0</v>
      </c>
      <c r="D308" t="n">
        <v>2318</v>
      </c>
      <c r="E308" t="s">
        <v>317</v>
      </c>
      <c r="F308">
        <f>HYPERLINK("http://pbs.twimg.com/media/DcaGXu9VAAA0MSL.jpg", "http://pbs.twimg.com/media/DcaGXu9VAAA0MSL.jpg")</f>
        <v/>
      </c>
      <c r="G308" t="s"/>
      <c r="H308" t="s"/>
      <c r="I308" t="s"/>
      <c r="J308" t="n">
        <v>0.765</v>
      </c>
      <c r="K308" t="n">
        <v>0</v>
      </c>
      <c r="L308" t="n">
        <v>0.742</v>
      </c>
      <c r="M308" t="n">
        <v>0.258</v>
      </c>
    </row>
    <row r="309" spans="1:13">
      <c r="A309" s="1">
        <f>HYPERLINK("http://www.twitter.com/NathanBLawrence/status/992644876184510465", "992644876184510465")</f>
        <v/>
      </c>
      <c r="B309" s="2" t="n">
        <v>43225.24947916667</v>
      </c>
      <c r="C309" t="n">
        <v>0</v>
      </c>
      <c r="D309" t="n">
        <v>467</v>
      </c>
      <c r="E309" t="s">
        <v>318</v>
      </c>
      <c r="F309" t="s"/>
      <c r="G309" t="s"/>
      <c r="H309" t="s"/>
      <c r="I309" t="s"/>
      <c r="J309" t="n">
        <v>-0.3885</v>
      </c>
      <c r="K309" t="n">
        <v>0.168</v>
      </c>
      <c r="L309" t="n">
        <v>0.751</v>
      </c>
      <c r="M309" t="n">
        <v>0.082</v>
      </c>
    </row>
    <row r="310" spans="1:13">
      <c r="A310" s="1">
        <f>HYPERLINK("http://www.twitter.com/NathanBLawrence/status/992644349367406592", "992644349367406592")</f>
        <v/>
      </c>
      <c r="B310" s="2" t="n">
        <v>43225.24802083334</v>
      </c>
      <c r="C310" t="n">
        <v>0</v>
      </c>
      <c r="D310" t="n">
        <v>801</v>
      </c>
      <c r="E310" t="s">
        <v>319</v>
      </c>
      <c r="F310">
        <f>HYPERLINK("http://pbs.twimg.com/media/DcZGOR_XUAEXrGh.jpg", "http://pbs.twimg.com/media/DcZGOR_XUAEXrGh.jpg")</f>
        <v/>
      </c>
      <c r="G310" t="s"/>
      <c r="H310" t="s"/>
      <c r="I310" t="s"/>
      <c r="J310" t="n">
        <v>0.3646</v>
      </c>
      <c r="K310" t="n">
        <v>0</v>
      </c>
      <c r="L310" t="n">
        <v>0.893</v>
      </c>
      <c r="M310" t="n">
        <v>0.107</v>
      </c>
    </row>
    <row r="311" spans="1:13">
      <c r="A311" s="1">
        <f>HYPERLINK("http://www.twitter.com/NathanBLawrence/status/992633244045709312", "992633244045709312")</f>
        <v/>
      </c>
      <c r="B311" s="2" t="n">
        <v>43225.21738425926</v>
      </c>
      <c r="C311" t="n">
        <v>0</v>
      </c>
      <c r="D311" t="n">
        <v>0</v>
      </c>
      <c r="E311" t="s">
        <v>320</v>
      </c>
      <c r="F311" t="s"/>
      <c r="G311" t="s"/>
      <c r="H311" t="s"/>
      <c r="I311" t="s"/>
      <c r="J311" t="n">
        <v>0.6646</v>
      </c>
      <c r="K311" t="n">
        <v>0.153</v>
      </c>
      <c r="L311" t="n">
        <v>0.642</v>
      </c>
      <c r="M311" t="n">
        <v>0.205</v>
      </c>
    </row>
    <row r="312" spans="1:13">
      <c r="A312" s="1">
        <f>HYPERLINK("http://www.twitter.com/NathanBLawrence/status/992571139795845121", "992571139795845121")</f>
        <v/>
      </c>
      <c r="B312" s="2" t="n">
        <v>43225.04600694445</v>
      </c>
      <c r="C312" t="n">
        <v>3</v>
      </c>
      <c r="D312" t="n">
        <v>1</v>
      </c>
      <c r="E312" t="s">
        <v>321</v>
      </c>
      <c r="F312">
        <f>HYPERLINK("http://pbs.twimg.com/media/DcZSL2fXcAAoeav.jpg", "http://pbs.twimg.com/media/DcZSL2fXcAAoeav.jpg")</f>
        <v/>
      </c>
      <c r="G312" t="s"/>
      <c r="H312" t="s"/>
      <c r="I312" t="s"/>
      <c r="J312" t="n">
        <v>-0.9272</v>
      </c>
      <c r="K312" t="n">
        <v>0.322</v>
      </c>
      <c r="L312" t="n">
        <v>0.578</v>
      </c>
      <c r="M312" t="n">
        <v>0.1</v>
      </c>
    </row>
    <row r="313" spans="1:13">
      <c r="A313" s="1">
        <f>HYPERLINK("http://www.twitter.com/NathanBLawrence/status/992568650631704576", "992568650631704576")</f>
        <v/>
      </c>
      <c r="B313" s="2" t="n">
        <v>43225.03914351852</v>
      </c>
      <c r="C313" t="n">
        <v>2</v>
      </c>
      <c r="D313" t="n">
        <v>1</v>
      </c>
      <c r="E313" t="s">
        <v>322</v>
      </c>
      <c r="F313" t="s"/>
      <c r="G313" t="s"/>
      <c r="H313" t="s"/>
      <c r="I313" t="s"/>
      <c r="J313" t="n">
        <v>-0.7003</v>
      </c>
      <c r="K313" t="n">
        <v>0.142</v>
      </c>
      <c r="L313" t="n">
        <v>0.8139999999999999</v>
      </c>
      <c r="M313" t="n">
        <v>0.044</v>
      </c>
    </row>
    <row r="314" spans="1:13">
      <c r="A314" s="1">
        <f>HYPERLINK("http://www.twitter.com/NathanBLawrence/status/992486965965656064", "992486965965656064")</f>
        <v/>
      </c>
      <c r="B314" s="2" t="n">
        <v>43224.81372685185</v>
      </c>
      <c r="C314" t="n">
        <v>0</v>
      </c>
      <c r="D314" t="n">
        <v>3</v>
      </c>
      <c r="E314" t="s">
        <v>323</v>
      </c>
      <c r="F314">
        <f>HYPERLINK("http://pbs.twimg.com/media/DcXx0uKX0AE85ne.jpg", "http://pbs.twimg.com/media/DcXx0uKX0AE85ne.jpg")</f>
        <v/>
      </c>
      <c r="G314" t="s"/>
      <c r="H314" t="s"/>
      <c r="I314" t="s"/>
      <c r="J314" t="n">
        <v>0.8442</v>
      </c>
      <c r="K314" t="n">
        <v>0</v>
      </c>
      <c r="L314" t="n">
        <v>0.397</v>
      </c>
      <c r="M314" t="n">
        <v>0.603</v>
      </c>
    </row>
    <row r="315" spans="1:13">
      <c r="A315" s="1">
        <f>HYPERLINK("http://www.twitter.com/NathanBLawrence/status/992486917705957376", "992486917705957376")</f>
        <v/>
      </c>
      <c r="B315" s="2" t="n">
        <v>43224.81359953704</v>
      </c>
      <c r="C315" t="n">
        <v>0</v>
      </c>
      <c r="D315" t="n">
        <v>1</v>
      </c>
      <c r="E315" t="s">
        <v>324</v>
      </c>
      <c r="F315" t="s"/>
      <c r="G315" t="s"/>
      <c r="H315" t="s"/>
      <c r="I315" t="s"/>
      <c r="J315" t="n">
        <v>0.9153</v>
      </c>
      <c r="K315" t="n">
        <v>0</v>
      </c>
      <c r="L315" t="n">
        <v>0.556</v>
      </c>
      <c r="M315" t="n">
        <v>0.444</v>
      </c>
    </row>
    <row r="316" spans="1:13">
      <c r="A316" s="1">
        <f>HYPERLINK("http://www.twitter.com/NathanBLawrence/status/992434923830210560", "992434923830210560")</f>
        <v/>
      </c>
      <c r="B316" s="2" t="n">
        <v>43224.67012731481</v>
      </c>
      <c r="C316" t="n">
        <v>0</v>
      </c>
      <c r="D316" t="n">
        <v>0</v>
      </c>
      <c r="E316" t="s">
        <v>325</v>
      </c>
      <c r="F316" t="s"/>
      <c r="G316" t="s"/>
      <c r="H316" t="s"/>
      <c r="I316" t="s"/>
      <c r="J316" t="n">
        <v>0.4215</v>
      </c>
      <c r="K316" t="n">
        <v>0.046</v>
      </c>
      <c r="L316" t="n">
        <v>0.87</v>
      </c>
      <c r="M316" t="n">
        <v>0.08500000000000001</v>
      </c>
    </row>
    <row r="317" spans="1:13">
      <c r="A317" s="1">
        <f>HYPERLINK("http://www.twitter.com/NathanBLawrence/status/992432035645018114", "992432035645018114")</f>
        <v/>
      </c>
      <c r="B317" s="2" t="n">
        <v>43224.66215277778</v>
      </c>
      <c r="C317" t="n">
        <v>0</v>
      </c>
      <c r="D317" t="n">
        <v>30</v>
      </c>
      <c r="E317" t="s">
        <v>326</v>
      </c>
      <c r="F317">
        <f>HYPERLINK("http://pbs.twimg.com/media/DcPFC7YWkAALWdT.jpg", "http://pbs.twimg.com/media/DcPFC7YWkAALWdT.jpg")</f>
        <v/>
      </c>
      <c r="G317" t="s"/>
      <c r="H317" t="s"/>
      <c r="I317" t="s"/>
      <c r="J317" t="n">
        <v>-0.5266999999999999</v>
      </c>
      <c r="K317" t="n">
        <v>0.18</v>
      </c>
      <c r="L317" t="n">
        <v>0.82</v>
      </c>
      <c r="M317" t="n">
        <v>0</v>
      </c>
    </row>
    <row r="318" spans="1:13">
      <c r="A318" s="1">
        <f>HYPERLINK("http://www.twitter.com/NathanBLawrence/status/992427586142855168", "992427586142855168")</f>
        <v/>
      </c>
      <c r="B318" s="2" t="n">
        <v>43224.64987268519</v>
      </c>
      <c r="C318" t="n">
        <v>0</v>
      </c>
      <c r="D318" t="n">
        <v>33</v>
      </c>
      <c r="E318" t="s">
        <v>327</v>
      </c>
      <c r="F318" t="s"/>
      <c r="G318" t="s"/>
      <c r="H318" t="s"/>
      <c r="I318" t="s"/>
      <c r="J318" t="n">
        <v>0</v>
      </c>
      <c r="K318" t="n">
        <v>0</v>
      </c>
      <c r="L318" t="n">
        <v>1</v>
      </c>
      <c r="M318" t="n">
        <v>0</v>
      </c>
    </row>
    <row r="319" spans="1:13">
      <c r="A319" s="1">
        <f>HYPERLINK("http://www.twitter.com/NathanBLawrence/status/992427574960717825", "992427574960717825")</f>
        <v/>
      </c>
      <c r="B319" s="2" t="n">
        <v>43224.64983796296</v>
      </c>
      <c r="C319" t="n">
        <v>0</v>
      </c>
      <c r="D319" t="n">
        <v>7</v>
      </c>
      <c r="E319" t="s">
        <v>328</v>
      </c>
      <c r="F319" t="s"/>
      <c r="G319" t="s"/>
      <c r="H319" t="s"/>
      <c r="I319" t="s"/>
      <c r="J319" t="n">
        <v>0</v>
      </c>
      <c r="K319" t="n">
        <v>0</v>
      </c>
      <c r="L319" t="n">
        <v>1</v>
      </c>
      <c r="M319" t="n">
        <v>0</v>
      </c>
    </row>
    <row r="320" spans="1:13">
      <c r="A320" s="1">
        <f>HYPERLINK("http://www.twitter.com/NathanBLawrence/status/992383367671840771", "992383367671840771")</f>
        <v/>
      </c>
      <c r="B320" s="2" t="n">
        <v>43224.5278587963</v>
      </c>
      <c r="C320" t="n">
        <v>0</v>
      </c>
      <c r="D320" t="n">
        <v>22655</v>
      </c>
      <c r="E320" t="s">
        <v>329</v>
      </c>
      <c r="F320" t="s"/>
      <c r="G320" t="s"/>
      <c r="H320" t="s"/>
      <c r="I320" t="s"/>
      <c r="J320" t="n">
        <v>0.3886</v>
      </c>
      <c r="K320" t="n">
        <v>0.186</v>
      </c>
      <c r="L320" t="n">
        <v>0.574</v>
      </c>
      <c r="M320" t="n">
        <v>0.241</v>
      </c>
    </row>
    <row r="321" spans="1:13">
      <c r="A321" s="1">
        <f>HYPERLINK("http://www.twitter.com/NathanBLawrence/status/992381380033118208", "992381380033118208")</f>
        <v/>
      </c>
      <c r="B321" s="2" t="n">
        <v>43224.52237268518</v>
      </c>
      <c r="C321" t="n">
        <v>0</v>
      </c>
      <c r="D321" t="n">
        <v>201</v>
      </c>
      <c r="E321" t="s">
        <v>330</v>
      </c>
      <c r="F321">
        <f>HYPERLINK("http://pbs.twimg.com/media/DcU9kc7UwAI1LCi.jpg", "http://pbs.twimg.com/media/DcU9kc7UwAI1LCi.jpg")</f>
        <v/>
      </c>
      <c r="G321" t="s"/>
      <c r="H321" t="s"/>
      <c r="I321" t="s"/>
      <c r="J321" t="n">
        <v>0</v>
      </c>
      <c r="K321" t="n">
        <v>0</v>
      </c>
      <c r="L321" t="n">
        <v>1</v>
      </c>
      <c r="M321" t="n">
        <v>0</v>
      </c>
    </row>
    <row r="322" spans="1:13">
      <c r="A322" s="1">
        <f>HYPERLINK("http://www.twitter.com/NathanBLawrence/status/992322808171630592", "992322808171630592")</f>
        <v/>
      </c>
      <c r="B322" s="2" t="n">
        <v>43224.36074074074</v>
      </c>
      <c r="C322" t="n">
        <v>0</v>
      </c>
      <c r="D322" t="n">
        <v>24</v>
      </c>
      <c r="E322" t="s">
        <v>331</v>
      </c>
      <c r="F322" t="s"/>
      <c r="G322" t="s"/>
      <c r="H322" t="s"/>
      <c r="I322" t="s"/>
      <c r="J322" t="n">
        <v>0.5673</v>
      </c>
      <c r="K322" t="n">
        <v>0</v>
      </c>
      <c r="L322" t="n">
        <v>0.857</v>
      </c>
      <c r="M322" t="n">
        <v>0.143</v>
      </c>
    </row>
    <row r="323" spans="1:13">
      <c r="A323" s="1">
        <f>HYPERLINK("http://www.twitter.com/NathanBLawrence/status/992318994429370368", "992318994429370368")</f>
        <v/>
      </c>
      <c r="B323" s="2" t="n">
        <v>43224.35021990741</v>
      </c>
      <c r="C323" t="n">
        <v>0</v>
      </c>
      <c r="D323" t="n">
        <v>0</v>
      </c>
      <c r="E323" t="s">
        <v>332</v>
      </c>
      <c r="F323" t="s"/>
      <c r="G323" t="s"/>
      <c r="H323" t="s"/>
      <c r="I323" t="s"/>
      <c r="J323" t="n">
        <v>0.3183</v>
      </c>
      <c r="K323" t="n">
        <v>0.102</v>
      </c>
      <c r="L323" t="n">
        <v>0.736</v>
      </c>
      <c r="M323" t="n">
        <v>0.162</v>
      </c>
    </row>
    <row r="324" spans="1:13">
      <c r="A324" s="1">
        <f>HYPERLINK("http://www.twitter.com/NathanBLawrence/status/992311454064758784", "992311454064758784")</f>
        <v/>
      </c>
      <c r="B324" s="2" t="n">
        <v>43224.32940972222</v>
      </c>
      <c r="C324" t="n">
        <v>0</v>
      </c>
      <c r="D324" t="n">
        <v>0</v>
      </c>
      <c r="E324" t="s">
        <v>333</v>
      </c>
      <c r="F324" t="s"/>
      <c r="G324" t="s"/>
      <c r="H324" t="s"/>
      <c r="I324" t="s"/>
      <c r="J324" t="n">
        <v>-0.3152</v>
      </c>
      <c r="K324" t="n">
        <v>0.096</v>
      </c>
      <c r="L324" t="n">
        <v>0.841</v>
      </c>
      <c r="M324" t="n">
        <v>0.062</v>
      </c>
    </row>
    <row r="325" spans="1:13">
      <c r="A325" s="1">
        <f>HYPERLINK("http://www.twitter.com/NathanBLawrence/status/992306827164463105", "992306827164463105")</f>
        <v/>
      </c>
      <c r="B325" s="2" t="n">
        <v>43224.31664351852</v>
      </c>
      <c r="C325" t="n">
        <v>0</v>
      </c>
      <c r="D325" t="n">
        <v>11</v>
      </c>
      <c r="E325" t="s">
        <v>334</v>
      </c>
      <c r="F325">
        <f>HYPERLINK("http://pbs.twimg.com/media/DcTIzzNW0AAlw3z.jpg", "http://pbs.twimg.com/media/DcTIzzNW0AAlw3z.jpg")</f>
        <v/>
      </c>
      <c r="G325" t="s"/>
      <c r="H325" t="s"/>
      <c r="I325" t="s"/>
      <c r="J325" t="n">
        <v>-0.3034</v>
      </c>
      <c r="K325" t="n">
        <v>0.238</v>
      </c>
      <c r="L325" t="n">
        <v>0.5580000000000001</v>
      </c>
      <c r="M325" t="n">
        <v>0.204</v>
      </c>
    </row>
    <row r="326" spans="1:13">
      <c r="A326" s="1">
        <f>HYPERLINK("http://www.twitter.com/NathanBLawrence/status/992304980299137026", "992304980299137026")</f>
        <v/>
      </c>
      <c r="B326" s="2" t="n">
        <v>43224.31155092592</v>
      </c>
      <c r="C326" t="n">
        <v>3</v>
      </c>
      <c r="D326" t="n">
        <v>0</v>
      </c>
      <c r="E326" t="s">
        <v>335</v>
      </c>
      <c r="F326" t="s"/>
      <c r="G326" t="s"/>
      <c r="H326" t="s"/>
      <c r="I326" t="s"/>
      <c r="J326" t="n">
        <v>0.0036</v>
      </c>
      <c r="K326" t="n">
        <v>0.182</v>
      </c>
      <c r="L326" t="n">
        <v>0.662</v>
      </c>
      <c r="M326" t="n">
        <v>0.155</v>
      </c>
    </row>
    <row r="327" spans="1:13">
      <c r="A327" s="1">
        <f>HYPERLINK("http://www.twitter.com/NathanBLawrence/status/992296216758120448", "992296216758120448")</f>
        <v/>
      </c>
      <c r="B327" s="2" t="n">
        <v>43224.28736111111</v>
      </c>
      <c r="C327" t="n">
        <v>0</v>
      </c>
      <c r="D327" t="n">
        <v>1087</v>
      </c>
      <c r="E327" t="s">
        <v>336</v>
      </c>
      <c r="F327">
        <f>HYPERLINK("http://pbs.twimg.com/media/DcRzdmzV0AAGMi2.jpg", "http://pbs.twimg.com/media/DcRzdmzV0AAGMi2.jpg")</f>
        <v/>
      </c>
      <c r="G327">
        <f>HYPERLINK("http://pbs.twimg.com/media/DcRzdmzU0AAnxpz.jpg", "http://pbs.twimg.com/media/DcRzdmzU0AAnxpz.jpg")</f>
        <v/>
      </c>
      <c r="H327">
        <f>HYPERLINK("http://pbs.twimg.com/media/DcRzdm0VMAA8xPB.jpg", "http://pbs.twimg.com/media/DcRzdm0VMAA8xPB.jpg")</f>
        <v/>
      </c>
      <c r="I327" t="s"/>
      <c r="J327" t="n">
        <v>0.34</v>
      </c>
      <c r="K327" t="n">
        <v>0</v>
      </c>
      <c r="L327" t="n">
        <v>0.888</v>
      </c>
      <c r="M327" t="n">
        <v>0.112</v>
      </c>
    </row>
    <row r="328" spans="1:13">
      <c r="A328" s="1">
        <f>HYPERLINK("http://www.twitter.com/NathanBLawrence/status/992257498986962944", "992257498986962944")</f>
        <v/>
      </c>
      <c r="B328" s="2" t="n">
        <v>43224.18052083333</v>
      </c>
      <c r="C328" t="n">
        <v>0</v>
      </c>
      <c r="D328" t="n">
        <v>179</v>
      </c>
      <c r="E328" t="s">
        <v>337</v>
      </c>
      <c r="F328">
        <f>HYPERLINK("http://pbs.twimg.com/media/DcUE5uQU8AEqmtJ.jpg", "http://pbs.twimg.com/media/DcUE5uQU8AEqmtJ.jpg")</f>
        <v/>
      </c>
      <c r="G328" t="s"/>
      <c r="H328" t="s"/>
      <c r="I328" t="s"/>
      <c r="J328" t="n">
        <v>-0.4404</v>
      </c>
      <c r="K328" t="n">
        <v>0.153</v>
      </c>
      <c r="L328" t="n">
        <v>0.847</v>
      </c>
      <c r="M328" t="n">
        <v>0</v>
      </c>
    </row>
    <row r="329" spans="1:13">
      <c r="A329" s="1">
        <f>HYPERLINK("http://www.twitter.com/NathanBLawrence/status/992209591801917442", "992209591801917442")</f>
        <v/>
      </c>
      <c r="B329" s="2" t="n">
        <v>43224.04832175926</v>
      </c>
      <c r="C329" t="n">
        <v>17</v>
      </c>
      <c r="D329" t="n">
        <v>13</v>
      </c>
      <c r="E329" t="s">
        <v>338</v>
      </c>
      <c r="F329">
        <f>HYPERLINK("http://pbs.twimg.com/media/DcUJXOEXUAAuXKn.jpg", "http://pbs.twimg.com/media/DcUJXOEXUAAuXKn.jpg")</f>
        <v/>
      </c>
      <c r="G329" t="s"/>
      <c r="H329" t="s"/>
      <c r="I329" t="s"/>
      <c r="J329" t="n">
        <v>-0.7371</v>
      </c>
      <c r="K329" t="n">
        <v>0.124</v>
      </c>
      <c r="L329" t="n">
        <v>0.876</v>
      </c>
      <c r="M329" t="n">
        <v>0</v>
      </c>
    </row>
    <row r="330" spans="1:13">
      <c r="A330" s="1">
        <f>HYPERLINK("http://www.twitter.com/NathanBLawrence/status/992205211904233473", "992205211904233473")</f>
        <v/>
      </c>
      <c r="B330" s="2" t="n">
        <v>43224.03623842593</v>
      </c>
      <c r="C330" t="n">
        <v>3</v>
      </c>
      <c r="D330" t="n">
        <v>3</v>
      </c>
      <c r="E330" t="s">
        <v>339</v>
      </c>
      <c r="F330" t="s"/>
      <c r="G330" t="s"/>
      <c r="H330" t="s"/>
      <c r="I330" t="s"/>
      <c r="J330" t="n">
        <v>0.7711</v>
      </c>
      <c r="K330" t="n">
        <v>0</v>
      </c>
      <c r="L330" t="n">
        <v>0.8070000000000001</v>
      </c>
      <c r="M330" t="n">
        <v>0.193</v>
      </c>
    </row>
    <row r="331" spans="1:13">
      <c r="A331" s="1">
        <f>HYPERLINK("http://www.twitter.com/NathanBLawrence/status/992203288698376192", "992203288698376192")</f>
        <v/>
      </c>
      <c r="B331" s="2" t="n">
        <v>43224.03092592592</v>
      </c>
      <c r="C331" t="n">
        <v>8</v>
      </c>
      <c r="D331" t="n">
        <v>6</v>
      </c>
      <c r="E331" t="s">
        <v>340</v>
      </c>
      <c r="F331" t="s"/>
      <c r="G331" t="s"/>
      <c r="H331" t="s"/>
      <c r="I331" t="s"/>
      <c r="J331" t="n">
        <v>0</v>
      </c>
      <c r="K331" t="n">
        <v>0</v>
      </c>
      <c r="L331" t="n">
        <v>1</v>
      </c>
      <c r="M331" t="n">
        <v>0</v>
      </c>
    </row>
    <row r="332" spans="1:13">
      <c r="A332" s="1">
        <f>HYPERLINK("http://www.twitter.com/NathanBLawrence/status/992188144261922817", "992188144261922817")</f>
        <v/>
      </c>
      <c r="B332" s="2" t="n">
        <v>43223.98914351852</v>
      </c>
      <c r="C332" t="n">
        <v>56</v>
      </c>
      <c r="D332" t="n">
        <v>46</v>
      </c>
      <c r="E332" t="s">
        <v>341</v>
      </c>
      <c r="F332">
        <f>HYPERLINK("http://pbs.twimg.com/media/DcT1233XUAEvbnQ.jpg", "http://pbs.twimg.com/media/DcT1233XUAEvbnQ.jpg")</f>
        <v/>
      </c>
      <c r="G332" t="s"/>
      <c r="H332" t="s"/>
      <c r="I332" t="s"/>
      <c r="J332" t="n">
        <v>0.8941</v>
      </c>
      <c r="K332" t="n">
        <v>0</v>
      </c>
      <c r="L332" t="n">
        <v>0.765</v>
      </c>
      <c r="M332" t="n">
        <v>0.235</v>
      </c>
    </row>
    <row r="333" spans="1:13">
      <c r="A333" s="1">
        <f>HYPERLINK("http://www.twitter.com/NathanBLawrence/status/992180884437692418", "992180884437692418")</f>
        <v/>
      </c>
      <c r="B333" s="2" t="n">
        <v>43223.96910879629</v>
      </c>
      <c r="C333" t="n">
        <v>0</v>
      </c>
      <c r="D333" t="n">
        <v>900</v>
      </c>
      <c r="E333" t="s">
        <v>342</v>
      </c>
      <c r="F333">
        <f>HYPERLINK("https://video.twimg.com/ext_tw_video/991883331657580544/pu/vid/320x180/0VQAAr9SmOI0NcQR.mp4?tag=3", "https://video.twimg.com/ext_tw_video/991883331657580544/pu/vid/320x180/0VQAAr9SmOI0NcQR.mp4?tag=3")</f>
        <v/>
      </c>
      <c r="G333" t="s"/>
      <c r="H333" t="s"/>
      <c r="I333" t="s"/>
      <c r="J333" t="n">
        <v>-0.4404</v>
      </c>
      <c r="K333" t="n">
        <v>0.127</v>
      </c>
      <c r="L333" t="n">
        <v>0.873</v>
      </c>
      <c r="M333" t="n">
        <v>0</v>
      </c>
    </row>
    <row r="334" spans="1:13">
      <c r="A334" s="1">
        <f>HYPERLINK("http://www.twitter.com/NathanBLawrence/status/992176206358417410", "992176206358417410")</f>
        <v/>
      </c>
      <c r="B334" s="2" t="n">
        <v>43223.95619212963</v>
      </c>
      <c r="C334" t="n">
        <v>6</v>
      </c>
      <c r="D334" t="n">
        <v>5</v>
      </c>
      <c r="E334" t="s">
        <v>343</v>
      </c>
      <c r="F334" t="s"/>
      <c r="G334" t="s"/>
      <c r="H334" t="s"/>
      <c r="I334" t="s"/>
      <c r="J334" t="n">
        <v>-0.5994</v>
      </c>
      <c r="K334" t="n">
        <v>0.107</v>
      </c>
      <c r="L334" t="n">
        <v>0.893</v>
      </c>
      <c r="M334" t="n">
        <v>0</v>
      </c>
    </row>
    <row r="335" spans="1:13">
      <c r="A335" s="1">
        <f>HYPERLINK("http://www.twitter.com/NathanBLawrence/status/992168881262399488", "992168881262399488")</f>
        <v/>
      </c>
      <c r="B335" s="2" t="n">
        <v>43223.9359837963</v>
      </c>
      <c r="C335" t="n">
        <v>11</v>
      </c>
      <c r="D335" t="n">
        <v>10</v>
      </c>
      <c r="E335" t="s">
        <v>344</v>
      </c>
      <c r="F335">
        <f>HYPERLINK("http://pbs.twimg.com/media/DcTkVXRW0AArl88.jpg", "http://pbs.twimg.com/media/DcTkVXRW0AArl88.jpg")</f>
        <v/>
      </c>
      <c r="G335" t="s"/>
      <c r="H335" t="s"/>
      <c r="I335" t="s"/>
      <c r="J335" t="n">
        <v>-0.9419</v>
      </c>
      <c r="K335" t="n">
        <v>0.292</v>
      </c>
      <c r="L335" t="n">
        <v>0.645</v>
      </c>
      <c r="M335" t="n">
        <v>0.063</v>
      </c>
    </row>
    <row r="336" spans="1:13">
      <c r="A336" s="1">
        <f>HYPERLINK("http://www.twitter.com/NathanBLawrence/status/992146770347134976", "992146770347134976")</f>
        <v/>
      </c>
      <c r="B336" s="2" t="n">
        <v>43223.87496527778</v>
      </c>
      <c r="C336" t="n">
        <v>1</v>
      </c>
      <c r="D336" t="n">
        <v>2</v>
      </c>
      <c r="E336" t="s">
        <v>345</v>
      </c>
      <c r="F336" t="s"/>
      <c r="G336" t="s"/>
      <c r="H336" t="s"/>
      <c r="I336" t="s"/>
      <c r="J336" t="n">
        <v>0.0772</v>
      </c>
      <c r="K336" t="n">
        <v>0</v>
      </c>
      <c r="L336" t="n">
        <v>0.967</v>
      </c>
      <c r="M336" t="n">
        <v>0.033</v>
      </c>
    </row>
    <row r="337" spans="1:13">
      <c r="A337" s="1">
        <f>HYPERLINK("http://www.twitter.com/NathanBLawrence/status/992145784010412032", "992145784010412032")</f>
        <v/>
      </c>
      <c r="B337" s="2" t="n">
        <v>43223.87224537037</v>
      </c>
      <c r="C337" t="n">
        <v>0</v>
      </c>
      <c r="D337" t="n">
        <v>0</v>
      </c>
      <c r="E337" t="s">
        <v>346</v>
      </c>
      <c r="F337" t="s"/>
      <c r="G337" t="s"/>
      <c r="H337" t="s"/>
      <c r="I337" t="s"/>
      <c r="J337" t="n">
        <v>0.4678</v>
      </c>
      <c r="K337" t="n">
        <v>0.034</v>
      </c>
      <c r="L337" t="n">
        <v>0.867</v>
      </c>
      <c r="M337" t="n">
        <v>0.1</v>
      </c>
    </row>
    <row r="338" spans="1:13">
      <c r="A338" s="1">
        <f>HYPERLINK("http://www.twitter.com/NathanBLawrence/status/992133999026950144", "992133999026950144")</f>
        <v/>
      </c>
      <c r="B338" s="2" t="n">
        <v>43223.83972222222</v>
      </c>
      <c r="C338" t="n">
        <v>37</v>
      </c>
      <c r="D338" t="n">
        <v>23</v>
      </c>
      <c r="E338" t="s">
        <v>347</v>
      </c>
      <c r="F338">
        <f>HYPERLINK("http://pbs.twimg.com/media/DcTEm-AWsAENFOi.jpg", "http://pbs.twimg.com/media/DcTEm-AWsAENFOi.jpg")</f>
        <v/>
      </c>
      <c r="G338" t="s"/>
      <c r="H338" t="s"/>
      <c r="I338" t="s"/>
      <c r="J338" t="n">
        <v>0.9739</v>
      </c>
      <c r="K338" t="n">
        <v>0</v>
      </c>
      <c r="L338" t="n">
        <v>0.651</v>
      </c>
      <c r="M338" t="n">
        <v>0.349</v>
      </c>
    </row>
    <row r="339" spans="1:13">
      <c r="A339" s="1">
        <f>HYPERLINK("http://www.twitter.com/NathanBLawrence/status/992127095366135808", "992127095366135808")</f>
        <v/>
      </c>
      <c r="B339" s="2" t="n">
        <v>43223.82068287037</v>
      </c>
      <c r="C339" t="n">
        <v>1</v>
      </c>
      <c r="D339" t="n">
        <v>0</v>
      </c>
      <c r="E339" t="s">
        <v>348</v>
      </c>
      <c r="F339">
        <f>HYPERLINK("http://pbs.twimg.com/media/DcS-VLGW4AA5vZJ.jpg", "http://pbs.twimg.com/media/DcS-VLGW4AA5vZJ.jpg")</f>
        <v/>
      </c>
      <c r="G339" t="s"/>
      <c r="H339" t="s"/>
      <c r="I339" t="s"/>
      <c r="J339" t="n">
        <v>-0.7988</v>
      </c>
      <c r="K339" t="n">
        <v>0.158</v>
      </c>
      <c r="L339" t="n">
        <v>0.842</v>
      </c>
      <c r="M339" t="n">
        <v>0</v>
      </c>
    </row>
    <row r="340" spans="1:13">
      <c r="A340" s="1">
        <f>HYPERLINK("http://www.twitter.com/NathanBLawrence/status/992120563622662144", "992120563622662144")</f>
        <v/>
      </c>
      <c r="B340" s="2" t="n">
        <v>43223.80265046296</v>
      </c>
      <c r="C340" t="n">
        <v>2</v>
      </c>
      <c r="D340" t="n">
        <v>1</v>
      </c>
      <c r="E340" t="s">
        <v>349</v>
      </c>
      <c r="F340" t="s"/>
      <c r="G340" t="s"/>
      <c r="H340" t="s"/>
      <c r="I340" t="s"/>
      <c r="J340" t="n">
        <v>0.128</v>
      </c>
      <c r="K340" t="n">
        <v>0.119</v>
      </c>
      <c r="L340" t="n">
        <v>0.753</v>
      </c>
      <c r="M340" t="n">
        <v>0.128</v>
      </c>
    </row>
    <row r="341" spans="1:13">
      <c r="A341" s="1">
        <f>HYPERLINK("http://www.twitter.com/NathanBLawrence/status/992114394246139904", "992114394246139904")</f>
        <v/>
      </c>
      <c r="B341" s="2" t="n">
        <v>43223.785625</v>
      </c>
      <c r="C341" t="n">
        <v>0</v>
      </c>
      <c r="D341" t="n">
        <v>4</v>
      </c>
      <c r="E341" t="s">
        <v>350</v>
      </c>
      <c r="F341" t="s"/>
      <c r="G341" t="s"/>
      <c r="H341" t="s"/>
      <c r="I341" t="s"/>
      <c r="J341" t="n">
        <v>0</v>
      </c>
      <c r="K341" t="n">
        <v>0</v>
      </c>
      <c r="L341" t="n">
        <v>1</v>
      </c>
      <c r="M341" t="n">
        <v>0</v>
      </c>
    </row>
    <row r="342" spans="1:13">
      <c r="A342" s="1">
        <f>HYPERLINK("http://www.twitter.com/NathanBLawrence/status/992113923687178240", "992113923687178240")</f>
        <v/>
      </c>
      <c r="B342" s="2" t="n">
        <v>43223.7843287037</v>
      </c>
      <c r="C342" t="n">
        <v>4</v>
      </c>
      <c r="D342" t="n">
        <v>4</v>
      </c>
      <c r="E342" t="s">
        <v>351</v>
      </c>
      <c r="F342" t="s"/>
      <c r="G342" t="s"/>
      <c r="H342" t="s"/>
      <c r="I342" t="s"/>
      <c r="J342" t="n">
        <v>-0.6016</v>
      </c>
      <c r="K342" t="n">
        <v>0.146</v>
      </c>
      <c r="L342" t="n">
        <v>0.854</v>
      </c>
      <c r="M342" t="n">
        <v>0</v>
      </c>
    </row>
    <row r="343" spans="1:13">
      <c r="A343" s="1">
        <f>HYPERLINK("http://www.twitter.com/NathanBLawrence/status/992106194780246016", "992106194780246016")</f>
        <v/>
      </c>
      <c r="B343" s="2" t="n">
        <v>43223.76299768518</v>
      </c>
      <c r="C343" t="n">
        <v>0</v>
      </c>
      <c r="D343" t="n">
        <v>12</v>
      </c>
      <c r="E343" t="s">
        <v>352</v>
      </c>
      <c r="F343">
        <f>HYPERLINK("https://video.twimg.com/ext_tw_video/992103758938095616/pu/vid/240x180/mtx81LwtkF0kVe3E.mp4?tag=3", "https://video.twimg.com/ext_tw_video/992103758938095616/pu/vid/240x180/mtx81LwtkF0kVe3E.mp4?tag=3")</f>
        <v/>
      </c>
      <c r="G343" t="s"/>
      <c r="H343" t="s"/>
      <c r="I343" t="s"/>
      <c r="J343" t="n">
        <v>0.2263</v>
      </c>
      <c r="K343" t="n">
        <v>0</v>
      </c>
      <c r="L343" t="n">
        <v>0.872</v>
      </c>
      <c r="M343" t="n">
        <v>0.128</v>
      </c>
    </row>
    <row r="344" spans="1:13">
      <c r="A344" s="1">
        <f>HYPERLINK("http://www.twitter.com/NathanBLawrence/status/992105524694044672", "992105524694044672")</f>
        <v/>
      </c>
      <c r="B344" s="2" t="n">
        <v>43223.76115740741</v>
      </c>
      <c r="C344" t="n">
        <v>8</v>
      </c>
      <c r="D344" t="n">
        <v>7</v>
      </c>
      <c r="E344" t="s">
        <v>353</v>
      </c>
      <c r="F344" t="s"/>
      <c r="G344" t="s"/>
      <c r="H344" t="s"/>
      <c r="I344" t="s"/>
      <c r="J344" t="n">
        <v>-0.9458</v>
      </c>
      <c r="K344" t="n">
        <v>0.346</v>
      </c>
      <c r="L344" t="n">
        <v>0.556</v>
      </c>
      <c r="M344" t="n">
        <v>0.098</v>
      </c>
    </row>
    <row r="345" spans="1:13">
      <c r="A345" s="1">
        <f>HYPERLINK("http://www.twitter.com/NathanBLawrence/status/992101315055685637", "992101315055685637")</f>
        <v/>
      </c>
      <c r="B345" s="2" t="n">
        <v>43223.74953703704</v>
      </c>
      <c r="C345" t="n">
        <v>8</v>
      </c>
      <c r="D345" t="n">
        <v>9</v>
      </c>
      <c r="E345" t="s">
        <v>354</v>
      </c>
      <c r="F345" t="s"/>
      <c r="G345" t="s"/>
      <c r="H345" t="s"/>
      <c r="I345" t="s"/>
      <c r="J345" t="n">
        <v>-0.9576</v>
      </c>
      <c r="K345" t="n">
        <v>0.287</v>
      </c>
      <c r="L345" t="n">
        <v>0.713</v>
      </c>
      <c r="M345" t="n">
        <v>0</v>
      </c>
    </row>
    <row r="346" spans="1:13">
      <c r="A346" s="1">
        <f>HYPERLINK("http://www.twitter.com/NathanBLawrence/status/992099790430330880", "992099790430330880")</f>
        <v/>
      </c>
      <c r="B346" s="2" t="n">
        <v>43223.74533564815</v>
      </c>
      <c r="C346" t="n">
        <v>1</v>
      </c>
      <c r="D346" t="n">
        <v>0</v>
      </c>
      <c r="E346" t="s">
        <v>355</v>
      </c>
      <c r="F346" t="s"/>
      <c r="G346" t="s"/>
      <c r="H346" t="s"/>
      <c r="I346" t="s"/>
      <c r="J346" t="n">
        <v>0</v>
      </c>
      <c r="K346" t="n">
        <v>0</v>
      </c>
      <c r="L346" t="n">
        <v>1</v>
      </c>
      <c r="M346" t="n">
        <v>0</v>
      </c>
    </row>
    <row r="347" spans="1:13">
      <c r="A347" s="1">
        <f>HYPERLINK("http://www.twitter.com/NathanBLawrence/status/992099593063206912", "992099593063206912")</f>
        <v/>
      </c>
      <c r="B347" s="2" t="n">
        <v>43223.74478009259</v>
      </c>
      <c r="C347" t="n">
        <v>1</v>
      </c>
      <c r="D347" t="n">
        <v>0</v>
      </c>
      <c r="E347" t="s">
        <v>355</v>
      </c>
      <c r="F347" t="s"/>
      <c r="G347" t="s"/>
      <c r="H347" t="s"/>
      <c r="I347" t="s"/>
      <c r="J347" t="n">
        <v>0</v>
      </c>
      <c r="K347" t="n">
        <v>0</v>
      </c>
      <c r="L347" t="n">
        <v>1</v>
      </c>
      <c r="M347" t="n">
        <v>0</v>
      </c>
    </row>
    <row r="348" spans="1:13">
      <c r="A348" s="1">
        <f>HYPERLINK("http://www.twitter.com/NathanBLawrence/status/992099214413869057", "992099214413869057")</f>
        <v/>
      </c>
      <c r="B348" s="2" t="n">
        <v>43223.74373842592</v>
      </c>
      <c r="C348" t="n">
        <v>1</v>
      </c>
      <c r="D348" t="n">
        <v>0</v>
      </c>
      <c r="E348" t="s">
        <v>356</v>
      </c>
      <c r="F348" t="s"/>
      <c r="G348" t="s"/>
      <c r="H348" t="s"/>
      <c r="I348" t="s"/>
      <c r="J348" t="n">
        <v>0</v>
      </c>
      <c r="K348" t="n">
        <v>0</v>
      </c>
      <c r="L348" t="n">
        <v>1</v>
      </c>
      <c r="M348" t="n">
        <v>0</v>
      </c>
    </row>
    <row r="349" spans="1:13">
      <c r="A349" s="1">
        <f>HYPERLINK("http://www.twitter.com/NathanBLawrence/status/992098768425119744", "992098768425119744")</f>
        <v/>
      </c>
      <c r="B349" s="2" t="n">
        <v>43223.74251157408</v>
      </c>
      <c r="C349" t="n">
        <v>6</v>
      </c>
      <c r="D349" t="n">
        <v>5</v>
      </c>
      <c r="E349" t="s">
        <v>357</v>
      </c>
      <c r="F349">
        <f>HYPERLINK("http://pbs.twimg.com/media/DcSkkHqXcAALqLO.jpg", "http://pbs.twimg.com/media/DcSkkHqXcAALqLO.jpg")</f>
        <v/>
      </c>
      <c r="G349" t="s"/>
      <c r="H349" t="s"/>
      <c r="I349" t="s"/>
      <c r="J349" t="n">
        <v>-0.3555</v>
      </c>
      <c r="K349" t="n">
        <v>0.114</v>
      </c>
      <c r="L349" t="n">
        <v>0.825</v>
      </c>
      <c r="M349" t="n">
        <v>0.061</v>
      </c>
    </row>
    <row r="350" spans="1:13">
      <c r="A350" s="1">
        <f>HYPERLINK("http://www.twitter.com/NathanBLawrence/status/992095831183343616", "992095831183343616")</f>
        <v/>
      </c>
      <c r="B350" s="2" t="n">
        <v>43223.73440972222</v>
      </c>
      <c r="C350" t="n">
        <v>6</v>
      </c>
      <c r="D350" t="n">
        <v>4</v>
      </c>
      <c r="E350" t="s">
        <v>358</v>
      </c>
      <c r="F350" t="s"/>
      <c r="G350" t="s"/>
      <c r="H350" t="s"/>
      <c r="I350" t="s"/>
      <c r="J350" t="n">
        <v>-0.3555</v>
      </c>
      <c r="K350" t="n">
        <v>0.103</v>
      </c>
      <c r="L350" t="n">
        <v>0.842</v>
      </c>
      <c r="M350" t="n">
        <v>0.055</v>
      </c>
    </row>
    <row r="351" spans="1:13">
      <c r="A351" s="1">
        <f>HYPERLINK("http://www.twitter.com/NathanBLawrence/status/992090734093254657", "992090734093254657")</f>
        <v/>
      </c>
      <c r="B351" s="2" t="n">
        <v>43223.72033564815</v>
      </c>
      <c r="C351" t="n">
        <v>4</v>
      </c>
      <c r="D351" t="n">
        <v>3</v>
      </c>
      <c r="E351" t="s">
        <v>359</v>
      </c>
      <c r="F351" t="s"/>
      <c r="G351" t="s"/>
      <c r="H351" t="s"/>
      <c r="I351" t="s"/>
      <c r="J351" t="n">
        <v>0.3802</v>
      </c>
      <c r="K351" t="n">
        <v>0</v>
      </c>
      <c r="L351" t="n">
        <v>0.949</v>
      </c>
      <c r="M351" t="n">
        <v>0.051</v>
      </c>
    </row>
    <row r="352" spans="1:13">
      <c r="A352" s="1">
        <f>HYPERLINK("http://www.twitter.com/NathanBLawrence/status/992088522164133888", "992088522164133888")</f>
        <v/>
      </c>
      <c r="B352" s="2" t="n">
        <v>43223.71423611111</v>
      </c>
      <c r="C352" t="n">
        <v>1</v>
      </c>
      <c r="D352" t="n">
        <v>0</v>
      </c>
      <c r="E352" t="s">
        <v>360</v>
      </c>
      <c r="F352" t="s"/>
      <c r="G352" t="s"/>
      <c r="H352" t="s"/>
      <c r="I352" t="s"/>
      <c r="J352" t="n">
        <v>0</v>
      </c>
      <c r="K352" t="n">
        <v>0</v>
      </c>
      <c r="L352" t="n">
        <v>1</v>
      </c>
      <c r="M352" t="n">
        <v>0</v>
      </c>
    </row>
    <row r="353" spans="1:13">
      <c r="A353" s="1">
        <f>HYPERLINK("http://www.twitter.com/NathanBLawrence/status/992088269725708289", "992088269725708289")</f>
        <v/>
      </c>
      <c r="B353" s="2" t="n">
        <v>43223.71354166666</v>
      </c>
      <c r="C353" t="n">
        <v>0</v>
      </c>
      <c r="D353" t="n">
        <v>0</v>
      </c>
      <c r="E353" t="s">
        <v>361</v>
      </c>
      <c r="F353" t="s"/>
      <c r="G353" t="s"/>
      <c r="H353" t="s"/>
      <c r="I353" t="s"/>
      <c r="J353" t="n">
        <v>0.3314</v>
      </c>
      <c r="K353" t="n">
        <v>0.132</v>
      </c>
      <c r="L353" t="n">
        <v>0.674</v>
      </c>
      <c r="M353" t="n">
        <v>0.194</v>
      </c>
    </row>
    <row r="354" spans="1:13">
      <c r="A354" s="1">
        <f>HYPERLINK("http://www.twitter.com/NathanBLawrence/status/992086164017328128", "992086164017328128")</f>
        <v/>
      </c>
      <c r="B354" s="2" t="n">
        <v>43223.70773148148</v>
      </c>
      <c r="C354" t="n">
        <v>61</v>
      </c>
      <c r="D354" t="n">
        <v>51</v>
      </c>
      <c r="E354" t="s">
        <v>362</v>
      </c>
      <c r="F354">
        <f>HYPERLINK("http://pbs.twimg.com/media/DcSZGm0XcAEb1VJ.jpg", "http://pbs.twimg.com/media/DcSZGm0XcAEb1VJ.jpg")</f>
        <v/>
      </c>
      <c r="G354" t="s"/>
      <c r="H354" t="s"/>
      <c r="I354" t="s"/>
      <c r="J354" t="n">
        <v>-0.8767</v>
      </c>
      <c r="K354" t="n">
        <v>0.239</v>
      </c>
      <c r="L354" t="n">
        <v>0.72</v>
      </c>
      <c r="M354" t="n">
        <v>0.041</v>
      </c>
    </row>
    <row r="355" spans="1:13">
      <c r="A355" s="1">
        <f>HYPERLINK("http://www.twitter.com/NathanBLawrence/status/992080376288903169", "992080376288903169")</f>
        <v/>
      </c>
      <c r="B355" s="2" t="n">
        <v>43223.69175925926</v>
      </c>
      <c r="C355" t="n">
        <v>0</v>
      </c>
      <c r="D355" t="n">
        <v>13</v>
      </c>
      <c r="E355" t="s">
        <v>363</v>
      </c>
      <c r="F355">
        <f>HYPERLINK("http://pbs.twimg.com/media/DcSR9ZvW4AY8Fvq.jpg", "http://pbs.twimg.com/media/DcSR9ZvW4AY8Fvq.jpg")</f>
        <v/>
      </c>
      <c r="G355" t="s"/>
      <c r="H355" t="s"/>
      <c r="I355" t="s"/>
      <c r="J355" t="n">
        <v>0.8316</v>
      </c>
      <c r="K355" t="n">
        <v>0</v>
      </c>
      <c r="L355" t="n">
        <v>0.6850000000000001</v>
      </c>
      <c r="M355" t="n">
        <v>0.315</v>
      </c>
    </row>
    <row r="356" spans="1:13">
      <c r="A356" s="1">
        <f>HYPERLINK("http://www.twitter.com/NathanBLawrence/status/992075695609262080", "992075695609262080")</f>
        <v/>
      </c>
      <c r="B356" s="2" t="n">
        <v>43223.67884259259</v>
      </c>
      <c r="C356" t="n">
        <v>0</v>
      </c>
      <c r="D356" t="n">
        <v>40</v>
      </c>
      <c r="E356" t="s">
        <v>364</v>
      </c>
      <c r="F356" t="s"/>
      <c r="G356" t="s"/>
      <c r="H356" t="s"/>
      <c r="I356" t="s"/>
      <c r="J356" t="n">
        <v>0.4754</v>
      </c>
      <c r="K356" t="n">
        <v>0</v>
      </c>
      <c r="L356" t="n">
        <v>0.86</v>
      </c>
      <c r="M356" t="n">
        <v>0.14</v>
      </c>
    </row>
    <row r="357" spans="1:13">
      <c r="A357" s="1">
        <f>HYPERLINK("http://www.twitter.com/NathanBLawrence/status/992075620992593920", "992075620992593920")</f>
        <v/>
      </c>
      <c r="B357" s="2" t="n">
        <v>43223.67863425926</v>
      </c>
      <c r="C357" t="n">
        <v>0</v>
      </c>
      <c r="D357" t="n">
        <v>22</v>
      </c>
      <c r="E357" t="s">
        <v>365</v>
      </c>
      <c r="F357" t="s"/>
      <c r="G357" t="s"/>
      <c r="H357" t="s"/>
      <c r="I357" t="s"/>
      <c r="J357" t="n">
        <v>0.0258</v>
      </c>
      <c r="K357" t="n">
        <v>0</v>
      </c>
      <c r="L357" t="n">
        <v>0.954</v>
      </c>
      <c r="M357" t="n">
        <v>0.046</v>
      </c>
    </row>
    <row r="358" spans="1:13">
      <c r="A358" s="1">
        <f>HYPERLINK("http://www.twitter.com/NathanBLawrence/status/992067484835549184", "992067484835549184")</f>
        <v/>
      </c>
      <c r="B358" s="2" t="n">
        <v>43223.65618055555</v>
      </c>
      <c r="C358" t="n">
        <v>0</v>
      </c>
      <c r="D358" t="n">
        <v>29</v>
      </c>
      <c r="E358" t="s">
        <v>366</v>
      </c>
      <c r="F358">
        <f>HYPERLINK("http://pbs.twimg.com/media/DcR84lXWkAIhRJa.jpg", "http://pbs.twimg.com/media/DcR84lXWkAIhRJa.jpg")</f>
        <v/>
      </c>
      <c r="G358" t="s"/>
      <c r="H358" t="s"/>
      <c r="I358" t="s"/>
      <c r="J358" t="n">
        <v>0.5319</v>
      </c>
      <c r="K358" t="n">
        <v>0</v>
      </c>
      <c r="L358" t="n">
        <v>0.84</v>
      </c>
      <c r="M358" t="n">
        <v>0.16</v>
      </c>
    </row>
    <row r="359" spans="1:13">
      <c r="A359" s="1">
        <f>HYPERLINK("http://www.twitter.com/NathanBLawrence/status/992067420285267969", "992067420285267969")</f>
        <v/>
      </c>
      <c r="B359" s="2" t="n">
        <v>43223.65600694445</v>
      </c>
      <c r="C359" t="n">
        <v>0</v>
      </c>
      <c r="D359" t="n">
        <v>52</v>
      </c>
      <c r="E359" t="s">
        <v>367</v>
      </c>
      <c r="F359">
        <f>HYPERLINK("https://video.twimg.com/ext_tw_video/992042426624757765/pu/vid/1280x720/deRUv8P1cEDsU2Tt.mp4?tag=3", "https://video.twimg.com/ext_tw_video/992042426624757765/pu/vid/1280x720/deRUv8P1cEDsU2Tt.mp4?tag=3")</f>
        <v/>
      </c>
      <c r="G359" t="s"/>
      <c r="H359" t="s"/>
      <c r="I359" t="s"/>
      <c r="J359" t="n">
        <v>-0.3818</v>
      </c>
      <c r="K359" t="n">
        <v>0.254</v>
      </c>
      <c r="L359" t="n">
        <v>0.586</v>
      </c>
      <c r="M359" t="n">
        <v>0.16</v>
      </c>
    </row>
    <row r="360" spans="1:13">
      <c r="A360" s="1">
        <f>HYPERLINK("http://www.twitter.com/NathanBLawrence/status/992067384822390786", "992067384822390786")</f>
        <v/>
      </c>
      <c r="B360" s="2" t="n">
        <v>43223.65590277778</v>
      </c>
      <c r="C360" t="n">
        <v>0</v>
      </c>
      <c r="D360" t="n">
        <v>10</v>
      </c>
      <c r="E360" t="s">
        <v>368</v>
      </c>
      <c r="F360" t="s"/>
      <c r="G360" t="s"/>
      <c r="H360" t="s"/>
      <c r="I360" t="s"/>
      <c r="J360" t="n">
        <v>0.3885</v>
      </c>
      <c r="K360" t="n">
        <v>0</v>
      </c>
      <c r="L360" t="n">
        <v>0.82</v>
      </c>
      <c r="M360" t="n">
        <v>0.18</v>
      </c>
    </row>
    <row r="361" spans="1:13">
      <c r="A361" s="1">
        <f>HYPERLINK("http://www.twitter.com/NathanBLawrence/status/992067269340614656", "992067269340614656")</f>
        <v/>
      </c>
      <c r="B361" s="2" t="n">
        <v>43223.65559027778</v>
      </c>
      <c r="C361" t="n">
        <v>3</v>
      </c>
      <c r="D361" t="n">
        <v>5</v>
      </c>
      <c r="E361" t="s">
        <v>369</v>
      </c>
      <c r="F361" t="s"/>
      <c r="G361" t="s"/>
      <c r="H361" t="s"/>
      <c r="I361" t="s"/>
      <c r="J361" t="n">
        <v>0</v>
      </c>
      <c r="K361" t="n">
        <v>0</v>
      </c>
      <c r="L361" t="n">
        <v>1</v>
      </c>
      <c r="M361" t="n">
        <v>0</v>
      </c>
    </row>
    <row r="362" spans="1:13">
      <c r="A362" s="1">
        <f>HYPERLINK("http://www.twitter.com/NathanBLawrence/status/992066978092371968", "992066978092371968")</f>
        <v/>
      </c>
      <c r="B362" s="2" t="n">
        <v>43223.65478009259</v>
      </c>
      <c r="C362" t="n">
        <v>0</v>
      </c>
      <c r="D362" t="n">
        <v>0</v>
      </c>
      <c r="E362" t="s">
        <v>370</v>
      </c>
      <c r="F362" t="s"/>
      <c r="G362" t="s"/>
      <c r="H362" t="s"/>
      <c r="I362" t="s"/>
      <c r="J362" t="n">
        <v>0</v>
      </c>
      <c r="K362" t="n">
        <v>0</v>
      </c>
      <c r="L362" t="n">
        <v>1</v>
      </c>
      <c r="M362" t="n">
        <v>0</v>
      </c>
    </row>
    <row r="363" spans="1:13">
      <c r="A363" s="1">
        <f>HYPERLINK("http://www.twitter.com/NathanBLawrence/status/992066734743080962", "992066734743080962")</f>
        <v/>
      </c>
      <c r="B363" s="2" t="n">
        <v>43223.6541087963</v>
      </c>
      <c r="C363" t="n">
        <v>10</v>
      </c>
      <c r="D363" t="n">
        <v>10</v>
      </c>
      <c r="E363" t="s">
        <v>371</v>
      </c>
      <c r="F363" t="s"/>
      <c r="G363" t="s"/>
      <c r="H363" t="s"/>
      <c r="I363" t="s"/>
      <c r="J363" t="n">
        <v>0.7065</v>
      </c>
      <c r="K363" t="n">
        <v>0</v>
      </c>
      <c r="L363" t="n">
        <v>0.705</v>
      </c>
      <c r="M363" t="n">
        <v>0.295</v>
      </c>
    </row>
    <row r="364" spans="1:13">
      <c r="A364" s="1">
        <f>HYPERLINK("http://www.twitter.com/NathanBLawrence/status/992063504915030017", "992063504915030017")</f>
        <v/>
      </c>
      <c r="B364" s="2" t="n">
        <v>43223.64519675926</v>
      </c>
      <c r="C364" t="n">
        <v>0</v>
      </c>
      <c r="D364" t="n">
        <v>0</v>
      </c>
      <c r="E364" t="s">
        <v>372</v>
      </c>
      <c r="F364" t="s"/>
      <c r="G364" t="s"/>
      <c r="H364" t="s"/>
      <c r="I364" t="s"/>
      <c r="J364" t="n">
        <v>0</v>
      </c>
      <c r="K364" t="n">
        <v>0</v>
      </c>
      <c r="L364" t="n">
        <v>1</v>
      </c>
      <c r="M364" t="n">
        <v>0</v>
      </c>
    </row>
    <row r="365" spans="1:13">
      <c r="A365" s="1">
        <f>HYPERLINK("http://www.twitter.com/NathanBLawrence/status/992061062064345088", "992061062064345088")</f>
        <v/>
      </c>
      <c r="B365" s="2" t="n">
        <v>43223.63846064815</v>
      </c>
      <c r="C365" t="n">
        <v>2</v>
      </c>
      <c r="D365" t="n">
        <v>1</v>
      </c>
      <c r="E365" t="s">
        <v>373</v>
      </c>
      <c r="F365" t="s"/>
      <c r="G365" t="s"/>
      <c r="H365" t="s"/>
      <c r="I365" t="s"/>
      <c r="J365" t="n">
        <v>0.7586000000000001</v>
      </c>
      <c r="K365" t="n">
        <v>0.094</v>
      </c>
      <c r="L365" t="n">
        <v>0.708</v>
      </c>
      <c r="M365" t="n">
        <v>0.199</v>
      </c>
    </row>
    <row r="366" spans="1:13">
      <c r="A366" s="1">
        <f>HYPERLINK("http://www.twitter.com/NathanBLawrence/status/991970469229318144", "991970469229318144")</f>
        <v/>
      </c>
      <c r="B366" s="2" t="n">
        <v>43223.38847222222</v>
      </c>
      <c r="C366" t="n">
        <v>0</v>
      </c>
      <c r="D366" t="n">
        <v>1078</v>
      </c>
      <c r="E366" t="s">
        <v>374</v>
      </c>
      <c r="F366" t="s"/>
      <c r="G366" t="s"/>
      <c r="H366" t="s"/>
      <c r="I366" t="s"/>
      <c r="J366" t="n">
        <v>0</v>
      </c>
      <c r="K366" t="n">
        <v>0</v>
      </c>
      <c r="L366" t="n">
        <v>1</v>
      </c>
      <c r="M366" t="n">
        <v>0</v>
      </c>
    </row>
    <row r="367" spans="1:13">
      <c r="A367" s="1">
        <f>HYPERLINK("http://www.twitter.com/NathanBLawrence/status/991962568431427585", "991962568431427585")</f>
        <v/>
      </c>
      <c r="B367" s="2" t="n">
        <v>43223.36666666667</v>
      </c>
      <c r="C367" t="n">
        <v>1</v>
      </c>
      <c r="D367" t="n">
        <v>0</v>
      </c>
      <c r="E367" t="s">
        <v>375</v>
      </c>
      <c r="F367" t="s"/>
      <c r="G367" t="s"/>
      <c r="H367" t="s"/>
      <c r="I367" t="s"/>
      <c r="J367" t="n">
        <v>0.6458</v>
      </c>
      <c r="K367" t="n">
        <v>0</v>
      </c>
      <c r="L367" t="n">
        <v>0.858</v>
      </c>
      <c r="M367" t="n">
        <v>0.142</v>
      </c>
    </row>
    <row r="368" spans="1:13">
      <c r="A368" s="1">
        <f>HYPERLINK("http://www.twitter.com/NathanBLawrence/status/991864641000230913", "991864641000230913")</f>
        <v/>
      </c>
      <c r="B368" s="2" t="n">
        <v>43223.09644675926</v>
      </c>
      <c r="C368" t="n">
        <v>0</v>
      </c>
      <c r="D368" t="n">
        <v>372</v>
      </c>
      <c r="E368" t="s">
        <v>376</v>
      </c>
      <c r="F368">
        <f>HYPERLINK("http://pbs.twimg.com/media/DcOBMkdWAAAZnLx.jpg", "http://pbs.twimg.com/media/DcOBMkdWAAAZnLx.jpg")</f>
        <v/>
      </c>
      <c r="G368" t="s"/>
      <c r="H368" t="s"/>
      <c r="I368" t="s"/>
      <c r="J368" t="n">
        <v>0.8779</v>
      </c>
      <c r="K368" t="n">
        <v>0</v>
      </c>
      <c r="L368" t="n">
        <v>0.613</v>
      </c>
      <c r="M368" t="n">
        <v>0.387</v>
      </c>
    </row>
    <row r="369" spans="1:13">
      <c r="A369" s="1">
        <f>HYPERLINK("http://www.twitter.com/NathanBLawrence/status/991861881995448320", "991861881995448320")</f>
        <v/>
      </c>
      <c r="B369" s="2" t="n">
        <v>43223.08883101852</v>
      </c>
      <c r="C369" t="n">
        <v>0</v>
      </c>
      <c r="D369" t="n">
        <v>158</v>
      </c>
      <c r="E369" t="s">
        <v>377</v>
      </c>
      <c r="F369" t="s"/>
      <c r="G369" t="s"/>
      <c r="H369" t="s"/>
      <c r="I369" t="s"/>
      <c r="J369" t="n">
        <v>0.7345</v>
      </c>
      <c r="K369" t="n">
        <v>0</v>
      </c>
      <c r="L369" t="n">
        <v>0.492</v>
      </c>
      <c r="M369" t="n">
        <v>0.508</v>
      </c>
    </row>
    <row r="370" spans="1:13">
      <c r="A370" s="1">
        <f>HYPERLINK("http://www.twitter.com/NathanBLawrence/status/991861423063158786", "991861423063158786")</f>
        <v/>
      </c>
      <c r="B370" s="2" t="n">
        <v>43223.08755787037</v>
      </c>
      <c r="C370" t="n">
        <v>0</v>
      </c>
      <c r="D370" t="n">
        <v>32</v>
      </c>
      <c r="E370" t="s">
        <v>378</v>
      </c>
      <c r="F370">
        <f>HYPERLINK("http://pbs.twimg.com/media/DcPKN0bXcAA_L6X.jpg", "http://pbs.twimg.com/media/DcPKN0bXcAA_L6X.jpg")</f>
        <v/>
      </c>
      <c r="G370" t="s"/>
      <c r="H370" t="s"/>
      <c r="I370" t="s"/>
      <c r="J370" t="n">
        <v>-0.5848</v>
      </c>
      <c r="K370" t="n">
        <v>0.147</v>
      </c>
      <c r="L370" t="n">
        <v>0.853</v>
      </c>
      <c r="M370" t="n">
        <v>0</v>
      </c>
    </row>
    <row r="371" spans="1:13">
      <c r="A371" s="1">
        <f>HYPERLINK("http://www.twitter.com/NathanBLawrence/status/991861337071456257", "991861337071456257")</f>
        <v/>
      </c>
      <c r="B371" s="2" t="n">
        <v>43223.08732638889</v>
      </c>
      <c r="C371" t="n">
        <v>0</v>
      </c>
      <c r="D371" t="n">
        <v>1090</v>
      </c>
      <c r="E371" t="s">
        <v>379</v>
      </c>
      <c r="F371">
        <f>HYPERLINK("http://pbs.twimg.com/media/DcOpeCIX0Ag4oba.jpg", "http://pbs.twimg.com/media/DcOpeCIX0Ag4oba.jpg")</f>
        <v/>
      </c>
      <c r="G371" t="s"/>
      <c r="H371" t="s"/>
      <c r="I371" t="s"/>
      <c r="J371" t="n">
        <v>0.3164</v>
      </c>
      <c r="K371" t="n">
        <v>0</v>
      </c>
      <c r="L371" t="n">
        <v>0.909</v>
      </c>
      <c r="M371" t="n">
        <v>0.091</v>
      </c>
    </row>
    <row r="372" spans="1:13">
      <c r="A372" s="1">
        <f>HYPERLINK("http://www.twitter.com/NathanBLawrence/status/991857925521068042", "991857925521068042")</f>
        <v/>
      </c>
      <c r="B372" s="2" t="n">
        <v>43223.07790509259</v>
      </c>
      <c r="C372" t="n">
        <v>0</v>
      </c>
      <c r="D372" t="n">
        <v>4</v>
      </c>
      <c r="E372" t="s">
        <v>380</v>
      </c>
      <c r="F372" t="s"/>
      <c r="G372" t="s"/>
      <c r="H372" t="s"/>
      <c r="I372" t="s"/>
      <c r="J372" t="n">
        <v>0.8625</v>
      </c>
      <c r="K372" t="n">
        <v>0</v>
      </c>
      <c r="L372" t="n">
        <v>0.652</v>
      </c>
      <c r="M372" t="n">
        <v>0.348</v>
      </c>
    </row>
    <row r="373" spans="1:13">
      <c r="A373" s="1">
        <f>HYPERLINK("http://www.twitter.com/NathanBLawrence/status/991824106747244544", "991824106747244544")</f>
        <v/>
      </c>
      <c r="B373" s="2" t="n">
        <v>43222.98458333333</v>
      </c>
      <c r="C373" t="n">
        <v>0</v>
      </c>
      <c r="D373" t="n">
        <v>12</v>
      </c>
      <c r="E373" t="s">
        <v>381</v>
      </c>
      <c r="F373" t="s"/>
      <c r="G373" t="s"/>
      <c r="H373" t="s"/>
      <c r="I373" t="s"/>
      <c r="J373" t="n">
        <v>0</v>
      </c>
      <c r="K373" t="n">
        <v>0</v>
      </c>
      <c r="L373" t="n">
        <v>1</v>
      </c>
      <c r="M373" t="n">
        <v>0</v>
      </c>
    </row>
    <row r="374" spans="1:13">
      <c r="A374" s="1">
        <f>HYPERLINK("http://www.twitter.com/NathanBLawrence/status/991822313984323584", "991822313984323584")</f>
        <v/>
      </c>
      <c r="B374" s="2" t="n">
        <v>43222.9796412037</v>
      </c>
      <c r="C374" t="n">
        <v>0</v>
      </c>
      <c r="D374" t="n">
        <v>4</v>
      </c>
      <c r="E374" t="s">
        <v>382</v>
      </c>
      <c r="F374" t="s"/>
      <c r="G374" t="s"/>
      <c r="H374" t="s"/>
      <c r="I374" t="s"/>
      <c r="J374" t="n">
        <v>0.0516</v>
      </c>
      <c r="K374" t="n">
        <v>0.161</v>
      </c>
      <c r="L374" t="n">
        <v>0.671</v>
      </c>
      <c r="M374" t="n">
        <v>0.168</v>
      </c>
    </row>
    <row r="375" spans="1:13">
      <c r="A375" s="1">
        <f>HYPERLINK("http://www.twitter.com/NathanBLawrence/status/991821719659835395", "991821719659835395")</f>
        <v/>
      </c>
      <c r="B375" s="2" t="n">
        <v>43222.97799768519</v>
      </c>
      <c r="C375" t="n">
        <v>0</v>
      </c>
      <c r="D375" t="n">
        <v>24</v>
      </c>
      <c r="E375" t="s">
        <v>383</v>
      </c>
      <c r="F375">
        <f>HYPERLINK("http://pbs.twimg.com/media/Dbz3TWYW0AE68c3.jpg", "http://pbs.twimg.com/media/Dbz3TWYW0AE68c3.jpg")</f>
        <v/>
      </c>
      <c r="G375" t="s"/>
      <c r="H375" t="s"/>
      <c r="I375" t="s"/>
      <c r="J375" t="n">
        <v>-0.8579</v>
      </c>
      <c r="K375" t="n">
        <v>0.332</v>
      </c>
      <c r="L375" t="n">
        <v>0.668</v>
      </c>
      <c r="M375" t="n">
        <v>0</v>
      </c>
    </row>
    <row r="376" spans="1:13">
      <c r="A376" s="1">
        <f>HYPERLINK("http://www.twitter.com/NathanBLawrence/status/991821537576701952", "991821537576701952")</f>
        <v/>
      </c>
      <c r="B376" s="2" t="n">
        <v>43222.9775</v>
      </c>
      <c r="C376" t="n">
        <v>0</v>
      </c>
      <c r="D376" t="n">
        <v>367</v>
      </c>
      <c r="E376" t="s">
        <v>384</v>
      </c>
      <c r="F376">
        <f>HYPERLINK("http://pbs.twimg.com/media/Dbzp7E6UwAAqeOJ.jpg", "http://pbs.twimg.com/media/Dbzp7E6UwAAqeOJ.jpg")</f>
        <v/>
      </c>
      <c r="G376" t="s"/>
      <c r="H376" t="s"/>
      <c r="I376" t="s"/>
      <c r="J376" t="n">
        <v>0.3612</v>
      </c>
      <c r="K376" t="n">
        <v>0</v>
      </c>
      <c r="L376" t="n">
        <v>0.872</v>
      </c>
      <c r="M376" t="n">
        <v>0.128</v>
      </c>
    </row>
    <row r="377" spans="1:13">
      <c r="A377" s="1">
        <f>HYPERLINK("http://www.twitter.com/NathanBLawrence/status/991819864867311621", "991819864867311621")</f>
        <v/>
      </c>
      <c r="B377" s="2" t="n">
        <v>43222.97288194444</v>
      </c>
      <c r="C377" t="n">
        <v>0</v>
      </c>
      <c r="D377" t="n">
        <v>41</v>
      </c>
      <c r="E377" t="s">
        <v>385</v>
      </c>
      <c r="F377" t="s"/>
      <c r="G377" t="s"/>
      <c r="H377" t="s"/>
      <c r="I377" t="s"/>
      <c r="J377" t="n">
        <v>-0.3612</v>
      </c>
      <c r="K377" t="n">
        <v>0.135</v>
      </c>
      <c r="L377" t="n">
        <v>0.865</v>
      </c>
      <c r="M377" t="n">
        <v>0</v>
      </c>
    </row>
    <row r="378" spans="1:13">
      <c r="A378" s="1">
        <f>HYPERLINK("http://www.twitter.com/NathanBLawrence/status/991812224799911936", "991812224799911936")</f>
        <v/>
      </c>
      <c r="B378" s="2" t="n">
        <v>43222.95180555555</v>
      </c>
      <c r="C378" t="n">
        <v>0</v>
      </c>
      <c r="D378" t="n">
        <v>40</v>
      </c>
      <c r="E378" t="s">
        <v>386</v>
      </c>
      <c r="F378" t="s"/>
      <c r="G378" t="s"/>
      <c r="H378" t="s"/>
      <c r="I378" t="s"/>
      <c r="J378" t="n">
        <v>-0.891</v>
      </c>
      <c r="K378" t="n">
        <v>0.392</v>
      </c>
      <c r="L378" t="n">
        <v>0.608</v>
      </c>
      <c r="M378" t="n">
        <v>0</v>
      </c>
    </row>
    <row r="379" spans="1:13">
      <c r="A379" s="1">
        <f>HYPERLINK("http://www.twitter.com/NathanBLawrence/status/991804082917699586", "991804082917699586")</f>
        <v/>
      </c>
      <c r="B379" s="2" t="n">
        <v>43222.92932870371</v>
      </c>
      <c r="C379" t="n">
        <v>0</v>
      </c>
      <c r="D379" t="n">
        <v>27756</v>
      </c>
      <c r="E379" t="s">
        <v>387</v>
      </c>
      <c r="F379">
        <f>HYPERLINK("https://video.twimg.com/ext_tw_video/971870359187279872/pu/vid/1280x720/161DZFcJLRxu1s_5.mp4", "https://video.twimg.com/ext_tw_video/971870359187279872/pu/vid/1280x720/161DZFcJLRxu1s_5.mp4")</f>
        <v/>
      </c>
      <c r="G379" t="s"/>
      <c r="H379" t="s"/>
      <c r="I379" t="s"/>
      <c r="J379" t="n">
        <v>0.5256</v>
      </c>
      <c r="K379" t="n">
        <v>0</v>
      </c>
      <c r="L379" t="n">
        <v>0.871</v>
      </c>
      <c r="M379" t="n">
        <v>0.129</v>
      </c>
    </row>
    <row r="380" spans="1:13">
      <c r="A380" s="1">
        <f>HYPERLINK("http://www.twitter.com/NathanBLawrence/status/991803343117914112", "991803343117914112")</f>
        <v/>
      </c>
      <c r="B380" s="2" t="n">
        <v>43222.92729166667</v>
      </c>
      <c r="C380" t="n">
        <v>0</v>
      </c>
      <c r="D380" t="n">
        <v>696</v>
      </c>
      <c r="E380" t="s">
        <v>388</v>
      </c>
      <c r="F380" t="s"/>
      <c r="G380" t="s"/>
      <c r="H380" t="s"/>
      <c r="I380" t="s"/>
      <c r="J380" t="n">
        <v>0.7783</v>
      </c>
      <c r="K380" t="n">
        <v>0</v>
      </c>
      <c r="L380" t="n">
        <v>0.673</v>
      </c>
      <c r="M380" t="n">
        <v>0.327</v>
      </c>
    </row>
    <row r="381" spans="1:13">
      <c r="A381" s="1">
        <f>HYPERLINK("http://www.twitter.com/NathanBLawrence/status/991802731898826758", "991802731898826758")</f>
        <v/>
      </c>
      <c r="B381" s="2" t="n">
        <v>43222.92560185185</v>
      </c>
      <c r="C381" t="n">
        <v>0</v>
      </c>
      <c r="D381" t="n">
        <v>6</v>
      </c>
      <c r="E381" t="s">
        <v>389</v>
      </c>
      <c r="F381">
        <f>HYPERLINK("http://pbs.twimg.com/media/DcOPOAJX4AY_duj.jpg", "http://pbs.twimg.com/media/DcOPOAJX4AY_duj.jpg")</f>
        <v/>
      </c>
      <c r="G381" t="s"/>
      <c r="H381" t="s"/>
      <c r="I381" t="s"/>
      <c r="J381" t="n">
        <v>0.128</v>
      </c>
      <c r="K381" t="n">
        <v>0</v>
      </c>
      <c r="L381" t="n">
        <v>0.919</v>
      </c>
      <c r="M381" t="n">
        <v>0.081</v>
      </c>
    </row>
    <row r="382" spans="1:13">
      <c r="A382" s="1">
        <f>HYPERLINK("http://www.twitter.com/NathanBLawrence/status/991731168918884352", "991731168918884352")</f>
        <v/>
      </c>
      <c r="B382" s="2" t="n">
        <v>43222.728125</v>
      </c>
      <c r="C382" t="n">
        <v>3</v>
      </c>
      <c r="D382" t="n">
        <v>1</v>
      </c>
      <c r="E382" t="s">
        <v>390</v>
      </c>
      <c r="F382" t="s"/>
      <c r="G382" t="s"/>
      <c r="H382" t="s"/>
      <c r="I382" t="s"/>
      <c r="J382" t="n">
        <v>0.7033</v>
      </c>
      <c r="K382" t="n">
        <v>0</v>
      </c>
      <c r="L382" t="n">
        <v>0.79</v>
      </c>
      <c r="M382" t="n">
        <v>0.21</v>
      </c>
    </row>
    <row r="383" spans="1:13">
      <c r="A383" s="1">
        <f>HYPERLINK("http://www.twitter.com/NathanBLawrence/status/991705697648865280", "991705697648865280")</f>
        <v/>
      </c>
      <c r="B383" s="2" t="n">
        <v>43222.65783564815</v>
      </c>
      <c r="C383" t="n">
        <v>6</v>
      </c>
      <c r="D383" t="n">
        <v>2</v>
      </c>
      <c r="E383" t="s">
        <v>391</v>
      </c>
      <c r="F383" t="s"/>
      <c r="G383" t="s"/>
      <c r="H383" t="s"/>
      <c r="I383" t="s"/>
      <c r="J383" t="n">
        <v>0.3802</v>
      </c>
      <c r="K383" t="n">
        <v>0</v>
      </c>
      <c r="L383" t="n">
        <v>0.956</v>
      </c>
      <c r="M383" t="n">
        <v>0.044</v>
      </c>
    </row>
    <row r="384" spans="1:13">
      <c r="A384" s="1">
        <f>HYPERLINK("http://www.twitter.com/NathanBLawrence/status/991685428079185921", "991685428079185921")</f>
        <v/>
      </c>
      <c r="B384" s="2" t="n">
        <v>43222.60190972222</v>
      </c>
      <c r="C384" t="n">
        <v>0</v>
      </c>
      <c r="D384" t="n">
        <v>6</v>
      </c>
      <c r="E384" t="s">
        <v>392</v>
      </c>
      <c r="F384">
        <f>HYPERLINK("http://pbs.twimg.com/media/DcMLFl3V0AE1yFb.jpg", "http://pbs.twimg.com/media/DcMLFl3V0AE1yFb.jpg")</f>
        <v/>
      </c>
      <c r="G384" t="s"/>
      <c r="H384" t="s"/>
      <c r="I384" t="s"/>
      <c r="J384" t="n">
        <v>-0.6124000000000001</v>
      </c>
      <c r="K384" t="n">
        <v>0.268</v>
      </c>
      <c r="L384" t="n">
        <v>0.643</v>
      </c>
      <c r="M384" t="n">
        <v>0.089</v>
      </c>
    </row>
    <row r="385" spans="1:13">
      <c r="A385" s="1">
        <f>HYPERLINK("http://www.twitter.com/NathanBLawrence/status/991685382176759808", "991685382176759808")</f>
        <v/>
      </c>
      <c r="B385" s="2" t="n">
        <v>43222.60178240741</v>
      </c>
      <c r="C385" t="n">
        <v>0</v>
      </c>
      <c r="D385" t="n">
        <v>3</v>
      </c>
      <c r="E385" t="s">
        <v>393</v>
      </c>
      <c r="F385" t="s"/>
      <c r="G385" t="s"/>
      <c r="H385" t="s"/>
      <c r="I385" t="s"/>
      <c r="J385" t="n">
        <v>-0.6124000000000001</v>
      </c>
      <c r="K385" t="n">
        <v>0.217</v>
      </c>
      <c r="L385" t="n">
        <v>0.783</v>
      </c>
      <c r="M385" t="n">
        <v>0</v>
      </c>
    </row>
    <row r="386" spans="1:13">
      <c r="A386" s="1">
        <f>HYPERLINK("http://www.twitter.com/NathanBLawrence/status/991684449430589440", "991684449430589440")</f>
        <v/>
      </c>
      <c r="B386" s="2" t="n">
        <v>43222.59921296296</v>
      </c>
      <c r="C386" t="n">
        <v>0</v>
      </c>
      <c r="D386" t="n">
        <v>4</v>
      </c>
      <c r="E386" t="s">
        <v>394</v>
      </c>
      <c r="F386" t="s"/>
      <c r="G386" t="s"/>
      <c r="H386" t="s"/>
      <c r="I386" t="s"/>
      <c r="J386" t="n">
        <v>-0.4404</v>
      </c>
      <c r="K386" t="n">
        <v>0.132</v>
      </c>
      <c r="L386" t="n">
        <v>0.868</v>
      </c>
      <c r="M386" t="n">
        <v>0</v>
      </c>
    </row>
    <row r="387" spans="1:13">
      <c r="A387" s="1">
        <f>HYPERLINK("http://www.twitter.com/NathanBLawrence/status/991548162606358528", "991548162606358528")</f>
        <v/>
      </c>
      <c r="B387" s="2" t="n">
        <v>43222.223125</v>
      </c>
      <c r="C387" t="n">
        <v>0</v>
      </c>
      <c r="D387" t="n">
        <v>276</v>
      </c>
      <c r="E387" t="s">
        <v>395</v>
      </c>
      <c r="F387" t="s"/>
      <c r="G387" t="s"/>
      <c r="H387" t="s"/>
      <c r="I387" t="s"/>
      <c r="J387" t="n">
        <v>0</v>
      </c>
      <c r="K387" t="n">
        <v>0</v>
      </c>
      <c r="L387" t="n">
        <v>1</v>
      </c>
      <c r="M387" t="n">
        <v>0</v>
      </c>
    </row>
    <row r="388" spans="1:13">
      <c r="A388" s="1">
        <f>HYPERLINK("http://www.twitter.com/NathanBLawrence/status/991544637633548293", "991544637633548293")</f>
        <v/>
      </c>
      <c r="B388" s="2" t="n">
        <v>43222.21340277778</v>
      </c>
      <c r="C388" t="n">
        <v>0</v>
      </c>
      <c r="D388" t="n">
        <v>77</v>
      </c>
      <c r="E388" t="s">
        <v>396</v>
      </c>
      <c r="F388" t="s"/>
      <c r="G388" t="s"/>
      <c r="H388" t="s"/>
      <c r="I388" t="s"/>
      <c r="J388" t="n">
        <v>-0.34</v>
      </c>
      <c r="K388" t="n">
        <v>0.08799999999999999</v>
      </c>
      <c r="L388" t="n">
        <v>0.912</v>
      </c>
      <c r="M388" t="n">
        <v>0</v>
      </c>
    </row>
    <row r="389" spans="1:13">
      <c r="A389" s="1">
        <f>HYPERLINK("http://www.twitter.com/NathanBLawrence/status/991497720694280192", "991497720694280192")</f>
        <v/>
      </c>
      <c r="B389" s="2" t="n">
        <v>43222.08393518518</v>
      </c>
      <c r="C389" t="n">
        <v>0</v>
      </c>
      <c r="D389" t="n">
        <v>48</v>
      </c>
      <c r="E389" t="s">
        <v>397</v>
      </c>
      <c r="F389" t="s"/>
      <c r="G389" t="s"/>
      <c r="H389" t="s"/>
      <c r="I389" t="s"/>
      <c r="J389" t="n">
        <v>0.75</v>
      </c>
      <c r="K389" t="n">
        <v>0</v>
      </c>
      <c r="L389" t="n">
        <v>0.748</v>
      </c>
      <c r="M389" t="n">
        <v>0.252</v>
      </c>
    </row>
    <row r="390" spans="1:13">
      <c r="A390" s="1">
        <f>HYPERLINK("http://www.twitter.com/NathanBLawrence/status/991497678252134406", "991497678252134406")</f>
        <v/>
      </c>
      <c r="B390" s="2" t="n">
        <v>43222.08381944444</v>
      </c>
      <c r="C390" t="n">
        <v>0</v>
      </c>
      <c r="D390" t="n">
        <v>9</v>
      </c>
      <c r="E390" t="s">
        <v>398</v>
      </c>
      <c r="F390" t="s"/>
      <c r="G390" t="s"/>
      <c r="H390" t="s"/>
      <c r="I390" t="s"/>
      <c r="J390" t="n">
        <v>0.5562</v>
      </c>
      <c r="K390" t="n">
        <v>0</v>
      </c>
      <c r="L390" t="n">
        <v>0.796</v>
      </c>
      <c r="M390" t="n">
        <v>0.204</v>
      </c>
    </row>
    <row r="391" spans="1:13">
      <c r="A391" s="1">
        <f>HYPERLINK("http://www.twitter.com/NathanBLawrence/status/991451719224655874", "991451719224655874")</f>
        <v/>
      </c>
      <c r="B391" s="2" t="n">
        <v>43221.95699074074</v>
      </c>
      <c r="C391" t="n">
        <v>0</v>
      </c>
      <c r="D391" t="n">
        <v>582</v>
      </c>
      <c r="E391" t="s">
        <v>399</v>
      </c>
      <c r="F391" t="s"/>
      <c r="G391" t="s"/>
      <c r="H391" t="s"/>
      <c r="I391" t="s"/>
      <c r="J391" t="n">
        <v>-0.5775</v>
      </c>
      <c r="K391" t="n">
        <v>0.14</v>
      </c>
      <c r="L391" t="n">
        <v>0.86</v>
      </c>
      <c r="M391" t="n">
        <v>0</v>
      </c>
    </row>
    <row r="392" spans="1:13">
      <c r="A392" s="1">
        <f>HYPERLINK("http://www.twitter.com/NathanBLawrence/status/991451469512695810", "991451469512695810")</f>
        <v/>
      </c>
      <c r="B392" s="2" t="n">
        <v>43221.95630787037</v>
      </c>
      <c r="C392" t="n">
        <v>0</v>
      </c>
      <c r="D392" t="n">
        <v>12</v>
      </c>
      <c r="E392" t="s">
        <v>400</v>
      </c>
      <c r="F392">
        <f>HYPERLINK("http://pbs.twimg.com/media/DcJPxa6XkAAtM2v.jpg", "http://pbs.twimg.com/media/DcJPxa6XkAAtM2v.jpg")</f>
        <v/>
      </c>
      <c r="G392">
        <f>HYPERLINK("http://pbs.twimg.com/media/DcJPxa1WkAA61X8.jpg", "http://pbs.twimg.com/media/DcJPxa1WkAA61X8.jpg")</f>
        <v/>
      </c>
      <c r="H392">
        <f>HYPERLINK("http://pbs.twimg.com/media/DcJPxa7WsAAhNiX.jpg", "http://pbs.twimg.com/media/DcJPxa7WsAAhNiX.jpg")</f>
        <v/>
      </c>
      <c r="I392">
        <f>HYPERLINK("http://pbs.twimg.com/media/DcJPxbTX0AEdE77.jpg", "http://pbs.twimg.com/media/DcJPxbTX0AEdE77.jpg")</f>
        <v/>
      </c>
      <c r="J392" t="n">
        <v>0</v>
      </c>
      <c r="K392" t="n">
        <v>0</v>
      </c>
      <c r="L392" t="n">
        <v>1</v>
      </c>
      <c r="M392" t="n">
        <v>0</v>
      </c>
    </row>
    <row r="393" spans="1:13">
      <c r="A393" s="1">
        <f>HYPERLINK("http://www.twitter.com/NathanBLawrence/status/991450486757838848", "991450486757838848")</f>
        <v/>
      </c>
      <c r="B393" s="2" t="n">
        <v>43221.95358796296</v>
      </c>
      <c r="C393" t="n">
        <v>0</v>
      </c>
      <c r="D393" t="n">
        <v>23</v>
      </c>
      <c r="E393" t="s">
        <v>401</v>
      </c>
      <c r="F393">
        <f>HYPERLINK("http://pbs.twimg.com/media/DcJRrv-UwAEJcKi.jpg", "http://pbs.twimg.com/media/DcJRrv-UwAEJcKi.jpg")</f>
        <v/>
      </c>
      <c r="G393" t="s"/>
      <c r="H393" t="s"/>
      <c r="I393" t="s"/>
      <c r="J393" t="n">
        <v>0.34</v>
      </c>
      <c r="K393" t="n">
        <v>0</v>
      </c>
      <c r="L393" t="n">
        <v>0.888</v>
      </c>
      <c r="M393" t="n">
        <v>0.112</v>
      </c>
    </row>
    <row r="394" spans="1:13">
      <c r="A394" s="1">
        <f>HYPERLINK("http://www.twitter.com/NathanBLawrence/status/991438188014161921", "991438188014161921")</f>
        <v/>
      </c>
      <c r="B394" s="2" t="n">
        <v>43221.91965277777</v>
      </c>
      <c r="C394" t="n">
        <v>0</v>
      </c>
      <c r="D394" t="n">
        <v>14</v>
      </c>
      <c r="E394" t="s">
        <v>402</v>
      </c>
      <c r="F394" t="s"/>
      <c r="G394" t="s"/>
      <c r="H394" t="s"/>
      <c r="I394" t="s"/>
      <c r="J394" t="n">
        <v>-0.7315</v>
      </c>
      <c r="K394" t="n">
        <v>0.23</v>
      </c>
      <c r="L394" t="n">
        <v>0.77</v>
      </c>
      <c r="M394" t="n">
        <v>0</v>
      </c>
    </row>
    <row r="395" spans="1:13">
      <c r="A395" s="1">
        <f>HYPERLINK("http://www.twitter.com/NathanBLawrence/status/991437262847135744", "991437262847135744")</f>
        <v/>
      </c>
      <c r="B395" s="2" t="n">
        <v>43221.91710648148</v>
      </c>
      <c r="C395" t="n">
        <v>0</v>
      </c>
      <c r="D395" t="n">
        <v>4</v>
      </c>
      <c r="E395" t="s">
        <v>403</v>
      </c>
      <c r="F395">
        <f>HYPERLINK("http://pbs.twimg.com/media/DcHLyfuW0AAAqwK.jpg", "http://pbs.twimg.com/media/DcHLyfuW0AAAqwK.jpg")</f>
        <v/>
      </c>
      <c r="G395" t="s"/>
      <c r="H395" t="s"/>
      <c r="I395" t="s"/>
      <c r="J395" t="n">
        <v>0.3612</v>
      </c>
      <c r="K395" t="n">
        <v>0</v>
      </c>
      <c r="L395" t="n">
        <v>0.857</v>
      </c>
      <c r="M395" t="n">
        <v>0.143</v>
      </c>
    </row>
    <row r="396" spans="1:13">
      <c r="A396" s="1">
        <f>HYPERLINK("http://www.twitter.com/NathanBLawrence/status/991437201576808449", "991437201576808449")</f>
        <v/>
      </c>
      <c r="B396" s="2" t="n">
        <v>43221.91693287037</v>
      </c>
      <c r="C396" t="n">
        <v>0</v>
      </c>
      <c r="D396" t="n">
        <v>9</v>
      </c>
      <c r="E396" t="s">
        <v>404</v>
      </c>
      <c r="F396" t="s"/>
      <c r="G396" t="s"/>
      <c r="H396" t="s"/>
      <c r="I396" t="s"/>
      <c r="J396" t="n">
        <v>0.5093</v>
      </c>
      <c r="K396" t="n">
        <v>0</v>
      </c>
      <c r="L396" t="n">
        <v>0.843</v>
      </c>
      <c r="M396" t="n">
        <v>0.157</v>
      </c>
    </row>
    <row r="397" spans="1:13">
      <c r="A397" s="1">
        <f>HYPERLINK("http://www.twitter.com/NathanBLawrence/status/991436220063416325", "991436220063416325")</f>
        <v/>
      </c>
      <c r="B397" s="2" t="n">
        <v>43221.91422453704</v>
      </c>
      <c r="C397" t="n">
        <v>0</v>
      </c>
      <c r="D397" t="n">
        <v>47</v>
      </c>
      <c r="E397" t="s">
        <v>405</v>
      </c>
      <c r="F397">
        <f>HYPERLINK("http://pbs.twimg.com/media/Db9IsqhVQAEANgf.jpg", "http://pbs.twimg.com/media/Db9IsqhVQAEANgf.jpg")</f>
        <v/>
      </c>
      <c r="G397" t="s"/>
      <c r="H397" t="s"/>
      <c r="I397" t="s"/>
      <c r="J397" t="n">
        <v>0</v>
      </c>
      <c r="K397" t="n">
        <v>0</v>
      </c>
      <c r="L397" t="n">
        <v>1</v>
      </c>
      <c r="M397" t="n">
        <v>0</v>
      </c>
    </row>
    <row r="398" spans="1:13">
      <c r="A398" s="1">
        <f>HYPERLINK("http://www.twitter.com/NathanBLawrence/status/991434735984545794", "991434735984545794")</f>
        <v/>
      </c>
      <c r="B398" s="2" t="n">
        <v>43221.91012731481</v>
      </c>
      <c r="C398" t="n">
        <v>0</v>
      </c>
      <c r="D398" t="n">
        <v>16</v>
      </c>
      <c r="E398" t="s">
        <v>406</v>
      </c>
      <c r="F398" t="s"/>
      <c r="G398" t="s"/>
      <c r="H398" t="s"/>
      <c r="I398" t="s"/>
      <c r="J398" t="n">
        <v>-0.1613</v>
      </c>
      <c r="K398" t="n">
        <v>0.109</v>
      </c>
      <c r="L398" t="n">
        <v>0.803</v>
      </c>
      <c r="M398" t="n">
        <v>0.08699999999999999</v>
      </c>
    </row>
    <row r="399" spans="1:13">
      <c r="A399" s="1">
        <f>HYPERLINK("http://www.twitter.com/NathanBLawrence/status/991434305137242113", "991434305137242113")</f>
        <v/>
      </c>
      <c r="B399" s="2" t="n">
        <v>43221.90893518519</v>
      </c>
      <c r="C399" t="n">
        <v>0</v>
      </c>
      <c r="D399" t="n">
        <v>3</v>
      </c>
      <c r="E399" t="s">
        <v>407</v>
      </c>
      <c r="F399" t="s"/>
      <c r="G399" t="s"/>
      <c r="H399" t="s"/>
      <c r="I399" t="s"/>
      <c r="J399" t="n">
        <v>0.8687</v>
      </c>
      <c r="K399" t="n">
        <v>0</v>
      </c>
      <c r="L399" t="n">
        <v>0.551</v>
      </c>
      <c r="M399" t="n">
        <v>0.449</v>
      </c>
    </row>
    <row r="400" spans="1:13">
      <c r="A400" s="1">
        <f>HYPERLINK("http://www.twitter.com/NathanBLawrence/status/991434182843863040", "991434182843863040")</f>
        <v/>
      </c>
      <c r="B400" s="2" t="n">
        <v>43221.90859953704</v>
      </c>
      <c r="C400" t="n">
        <v>0</v>
      </c>
      <c r="D400" t="n">
        <v>15</v>
      </c>
      <c r="E400" t="s">
        <v>408</v>
      </c>
      <c r="F400">
        <f>HYPERLINK("https://video.twimg.com/ext_tw_video/991391719127072768/pu/vid/720x1280/lLpeUpqUbbZPI0Qm.mp4?tag=3", "https://video.twimg.com/ext_tw_video/991391719127072768/pu/vid/720x1280/lLpeUpqUbbZPI0Qm.mp4?tag=3")</f>
        <v/>
      </c>
      <c r="G400" t="s"/>
      <c r="H400" t="s"/>
      <c r="I400" t="s"/>
      <c r="J400" t="n">
        <v>0.9657</v>
      </c>
      <c r="K400" t="n">
        <v>0</v>
      </c>
      <c r="L400" t="n">
        <v>0.467</v>
      </c>
      <c r="M400" t="n">
        <v>0.533</v>
      </c>
    </row>
    <row r="401" spans="1:13">
      <c r="A401" s="1">
        <f>HYPERLINK("http://www.twitter.com/NathanBLawrence/status/991434163805933575", "991434163805933575")</f>
        <v/>
      </c>
      <c r="B401" s="2" t="n">
        <v>43221.90855324074</v>
      </c>
      <c r="C401" t="n">
        <v>0</v>
      </c>
      <c r="D401" t="n">
        <v>5</v>
      </c>
      <c r="E401" t="s">
        <v>409</v>
      </c>
      <c r="F401" t="s"/>
      <c r="G401" t="s"/>
      <c r="H401" t="s"/>
      <c r="I401" t="s"/>
      <c r="J401" t="n">
        <v>0.8176</v>
      </c>
      <c r="K401" t="n">
        <v>0</v>
      </c>
      <c r="L401" t="n">
        <v>0.694</v>
      </c>
      <c r="M401" t="n">
        <v>0.306</v>
      </c>
    </row>
    <row r="402" spans="1:13">
      <c r="A402" s="1">
        <f>HYPERLINK("http://www.twitter.com/NathanBLawrence/status/991351770424193026", "991351770424193026")</f>
        <v/>
      </c>
      <c r="B402" s="2" t="n">
        <v>43221.68119212963</v>
      </c>
      <c r="C402" t="n">
        <v>0</v>
      </c>
      <c r="D402" t="n">
        <v>13</v>
      </c>
      <c r="E402" t="s">
        <v>410</v>
      </c>
      <c r="F402" t="s"/>
      <c r="G402" t="s"/>
      <c r="H402" t="s"/>
      <c r="I402" t="s"/>
      <c r="J402" t="n">
        <v>-0.1316</v>
      </c>
      <c r="K402" t="n">
        <v>0.07000000000000001</v>
      </c>
      <c r="L402" t="n">
        <v>0.93</v>
      </c>
      <c r="M402" t="n">
        <v>0</v>
      </c>
    </row>
    <row r="403" spans="1:13">
      <c r="A403" s="1">
        <f>HYPERLINK("http://www.twitter.com/NathanBLawrence/status/991316676103852032", "991316676103852032")</f>
        <v/>
      </c>
      <c r="B403" s="2" t="n">
        <v>43221.58435185185</v>
      </c>
      <c r="C403" t="n">
        <v>0</v>
      </c>
      <c r="D403" t="n">
        <v>1</v>
      </c>
      <c r="E403" t="s">
        <v>411</v>
      </c>
      <c r="F403">
        <f>HYPERLINK("http://pbs.twimg.com/media/DcFcPYLU8AAMKsJ.jpg", "http://pbs.twimg.com/media/DcFcPYLU8AAMKsJ.jpg")</f>
        <v/>
      </c>
      <c r="G403" t="s"/>
      <c r="H403" t="s"/>
      <c r="I403" t="s"/>
      <c r="J403" t="n">
        <v>0</v>
      </c>
      <c r="K403" t="n">
        <v>0</v>
      </c>
      <c r="L403" t="n">
        <v>1</v>
      </c>
      <c r="M403" t="n">
        <v>0</v>
      </c>
    </row>
    <row r="404" spans="1:13">
      <c r="A404" s="1">
        <f>HYPERLINK("http://www.twitter.com/NathanBLawrence/status/991316318887596032", "991316318887596032")</f>
        <v/>
      </c>
      <c r="B404" s="2" t="n">
        <v>43221.58335648148</v>
      </c>
      <c r="C404" t="n">
        <v>0</v>
      </c>
      <c r="D404" t="n">
        <v>4</v>
      </c>
      <c r="E404" t="s">
        <v>412</v>
      </c>
      <c r="F404">
        <f>HYPERLINK("http://pbs.twimg.com/media/DcFU_QJX4AAILp3.jpg", "http://pbs.twimg.com/media/DcFU_QJX4AAILp3.jpg")</f>
        <v/>
      </c>
      <c r="G404" t="s"/>
      <c r="H404" t="s"/>
      <c r="I404" t="s"/>
      <c r="J404" t="n">
        <v>-0.5983000000000001</v>
      </c>
      <c r="K404" t="n">
        <v>0.189</v>
      </c>
      <c r="L404" t="n">
        <v>0.8110000000000001</v>
      </c>
      <c r="M404" t="n">
        <v>0</v>
      </c>
    </row>
    <row r="405" spans="1:13">
      <c r="A405" s="1">
        <f>HYPERLINK("http://www.twitter.com/NathanBLawrence/status/991133028058652672", "991133028058652672")</f>
        <v/>
      </c>
      <c r="B405" s="2" t="n">
        <v>43221.07756944445</v>
      </c>
      <c r="C405" t="n">
        <v>0</v>
      </c>
      <c r="D405" t="n">
        <v>81</v>
      </c>
      <c r="E405" t="s">
        <v>413</v>
      </c>
      <c r="F405" t="s"/>
      <c r="G405" t="s"/>
      <c r="H405" t="s"/>
      <c r="I405" t="s"/>
      <c r="J405" t="n">
        <v>0.8625</v>
      </c>
      <c r="K405" t="n">
        <v>0</v>
      </c>
      <c r="L405" t="n">
        <v>0.6860000000000001</v>
      </c>
      <c r="M405" t="n">
        <v>0.314</v>
      </c>
    </row>
    <row r="406" spans="1:13">
      <c r="A406" s="1">
        <f>HYPERLINK("http://www.twitter.com/NathanBLawrence/status/991104939693834240", "991104939693834240")</f>
        <v/>
      </c>
      <c r="B406" s="2" t="n">
        <v>43221.00006944445</v>
      </c>
      <c r="C406" t="n">
        <v>0</v>
      </c>
      <c r="D406" t="n">
        <v>3</v>
      </c>
      <c r="E406" t="s">
        <v>414</v>
      </c>
      <c r="F406" t="s"/>
      <c r="G406" t="s"/>
      <c r="H406" t="s"/>
      <c r="I406" t="s"/>
      <c r="J406" t="n">
        <v>0.4588</v>
      </c>
      <c r="K406" t="n">
        <v>0</v>
      </c>
      <c r="L406" t="n">
        <v>0.833</v>
      </c>
      <c r="M406" t="n">
        <v>0.167</v>
      </c>
    </row>
    <row r="407" spans="1:13">
      <c r="A407" s="1">
        <f>HYPERLINK("http://www.twitter.com/NathanBLawrence/status/991104662312050688", "991104662312050688")</f>
        <v/>
      </c>
      <c r="B407" s="2" t="n">
        <v>43220.99929398148</v>
      </c>
      <c r="C407" t="n">
        <v>0</v>
      </c>
      <c r="D407" t="n">
        <v>721</v>
      </c>
      <c r="E407" t="s">
        <v>415</v>
      </c>
      <c r="F407">
        <f>HYPERLINK("http://pbs.twimg.com/media/DcEaDjhVQAAyxGn.jpg", "http://pbs.twimg.com/media/DcEaDjhVQAAyxGn.jpg")</f>
        <v/>
      </c>
      <c r="G407" t="s"/>
      <c r="H407" t="s"/>
      <c r="I407" t="s"/>
      <c r="J407" t="n">
        <v>-0.6908</v>
      </c>
      <c r="K407" t="n">
        <v>0.19</v>
      </c>
      <c r="L407" t="n">
        <v>0.8100000000000001</v>
      </c>
      <c r="M407" t="n">
        <v>0</v>
      </c>
    </row>
    <row r="408" spans="1:13">
      <c r="A408" s="1">
        <f>HYPERLINK("http://www.twitter.com/NathanBLawrence/status/991104212481212416", "991104212481212416")</f>
        <v/>
      </c>
      <c r="B408" s="2" t="n">
        <v>43220.99805555555</v>
      </c>
      <c r="C408" t="n">
        <v>0</v>
      </c>
      <c r="D408" t="n">
        <v>1605</v>
      </c>
      <c r="E408" t="s">
        <v>416</v>
      </c>
      <c r="F408" t="s"/>
      <c r="G408" t="s"/>
      <c r="H408" t="s"/>
      <c r="I408" t="s"/>
      <c r="J408" t="n">
        <v>0.1027</v>
      </c>
      <c r="K408" t="n">
        <v>0</v>
      </c>
      <c r="L408" t="n">
        <v>0.915</v>
      </c>
      <c r="M408" t="n">
        <v>0.08500000000000001</v>
      </c>
    </row>
    <row r="409" spans="1:13">
      <c r="A409" s="1">
        <f>HYPERLINK("http://www.twitter.com/NathanBLawrence/status/991079910159667200", "991079910159667200")</f>
        <v/>
      </c>
      <c r="B409" s="2" t="n">
        <v>43220.93099537037</v>
      </c>
      <c r="C409" t="n">
        <v>0</v>
      </c>
      <c r="D409" t="n">
        <v>5838</v>
      </c>
      <c r="E409" t="s">
        <v>417</v>
      </c>
      <c r="F409" t="s"/>
      <c r="G409" t="s"/>
      <c r="H409" t="s"/>
      <c r="I409" t="s"/>
      <c r="J409" t="n">
        <v>0</v>
      </c>
      <c r="K409" t="n">
        <v>0</v>
      </c>
      <c r="L409" t="n">
        <v>1</v>
      </c>
      <c r="M409" t="n">
        <v>0</v>
      </c>
    </row>
    <row r="410" spans="1:13">
      <c r="A410" s="1">
        <f>HYPERLINK("http://www.twitter.com/NathanBLawrence/status/991075747786887168", "991075747786887168")</f>
        <v/>
      </c>
      <c r="B410" s="2" t="n">
        <v>43220.91951388889</v>
      </c>
      <c r="C410" t="n">
        <v>0</v>
      </c>
      <c r="D410" t="n">
        <v>17</v>
      </c>
      <c r="E410" t="s">
        <v>418</v>
      </c>
      <c r="F410" t="s"/>
      <c r="G410" t="s"/>
      <c r="H410" t="s"/>
      <c r="I410" t="s"/>
      <c r="J410" t="n">
        <v>0</v>
      </c>
      <c r="K410" t="n">
        <v>0</v>
      </c>
      <c r="L410" t="n">
        <v>1</v>
      </c>
      <c r="M410" t="n">
        <v>0</v>
      </c>
    </row>
    <row r="411" spans="1:13">
      <c r="A411" s="1">
        <f>HYPERLINK("http://www.twitter.com/NathanBLawrence/status/991075734788636674", "991075734788636674")</f>
        <v/>
      </c>
      <c r="B411" s="2" t="n">
        <v>43220.91947916667</v>
      </c>
      <c r="C411" t="n">
        <v>0</v>
      </c>
      <c r="D411" t="n">
        <v>1</v>
      </c>
      <c r="E411" t="s">
        <v>419</v>
      </c>
      <c r="F411" t="s"/>
      <c r="G411" t="s"/>
      <c r="H411" t="s"/>
      <c r="I411" t="s"/>
      <c r="J411" t="n">
        <v>-0.6114000000000001</v>
      </c>
      <c r="K411" t="n">
        <v>0.25</v>
      </c>
      <c r="L411" t="n">
        <v>0.75</v>
      </c>
      <c r="M411" t="n">
        <v>0</v>
      </c>
    </row>
    <row r="412" spans="1:13">
      <c r="A412" s="1">
        <f>HYPERLINK("http://www.twitter.com/NathanBLawrence/status/991074403743084545", "991074403743084545")</f>
        <v/>
      </c>
      <c r="B412" s="2" t="n">
        <v>43220.91579861111</v>
      </c>
      <c r="C412" t="n">
        <v>0</v>
      </c>
      <c r="D412" t="n">
        <v>72</v>
      </c>
      <c r="E412" t="s">
        <v>420</v>
      </c>
      <c r="F412" t="s"/>
      <c r="G412" t="s"/>
      <c r="H412" t="s"/>
      <c r="I412" t="s"/>
      <c r="J412" t="n">
        <v>-0.5423</v>
      </c>
      <c r="K412" t="n">
        <v>0.204</v>
      </c>
      <c r="L412" t="n">
        <v>0.735</v>
      </c>
      <c r="M412" t="n">
        <v>0.061</v>
      </c>
    </row>
    <row r="413" spans="1:13">
      <c r="A413" s="1">
        <f>HYPERLINK("http://www.twitter.com/NathanBLawrence/status/990288118610845696", "990288118610845696")</f>
        <v/>
      </c>
      <c r="B413" s="2" t="n">
        <v>43218.74606481481</v>
      </c>
      <c r="C413" t="n">
        <v>1</v>
      </c>
      <c r="D413" t="n">
        <v>0</v>
      </c>
      <c r="E413" t="s">
        <v>421</v>
      </c>
      <c r="F413" t="s"/>
      <c r="G413" t="s"/>
      <c r="H413" t="s"/>
      <c r="I413" t="s"/>
      <c r="J413" t="n">
        <v>0</v>
      </c>
      <c r="K413" t="n">
        <v>0</v>
      </c>
      <c r="L413" t="n">
        <v>1</v>
      </c>
      <c r="M413" t="n">
        <v>0</v>
      </c>
    </row>
    <row r="414" spans="1:13">
      <c r="A414" s="1">
        <f>HYPERLINK("http://www.twitter.com/NathanBLawrence/status/990287353615994881", "990287353615994881")</f>
        <v/>
      </c>
      <c r="B414" s="2" t="n">
        <v>43218.74395833333</v>
      </c>
      <c r="C414" t="n">
        <v>0</v>
      </c>
      <c r="D414" t="n">
        <v>16</v>
      </c>
      <c r="E414" t="s">
        <v>422</v>
      </c>
      <c r="F414">
        <f>HYPERLINK("http://pbs.twimg.com/media/Db2pS7TW4AAOrm8.jpg", "http://pbs.twimg.com/media/Db2pS7TW4AAOrm8.jpg")</f>
        <v/>
      </c>
      <c r="G414" t="s"/>
      <c r="H414" t="s"/>
      <c r="I414" t="s"/>
      <c r="J414" t="n">
        <v>0.34</v>
      </c>
      <c r="K414" t="n">
        <v>0</v>
      </c>
      <c r="L414" t="n">
        <v>0.862</v>
      </c>
      <c r="M414" t="n">
        <v>0.138</v>
      </c>
    </row>
    <row r="415" spans="1:13">
      <c r="A415" s="1">
        <f>HYPERLINK("http://www.twitter.com/NathanBLawrence/status/990281558413271040", "990281558413271040")</f>
        <v/>
      </c>
      <c r="B415" s="2" t="n">
        <v>43218.72796296296</v>
      </c>
      <c r="C415" t="n">
        <v>0</v>
      </c>
      <c r="D415" t="n">
        <v>9</v>
      </c>
      <c r="E415" t="s">
        <v>423</v>
      </c>
      <c r="F415" t="s"/>
      <c r="G415" t="s"/>
      <c r="H415" t="s"/>
      <c r="I415" t="s"/>
      <c r="J415" t="n">
        <v>0</v>
      </c>
      <c r="K415" t="n">
        <v>0</v>
      </c>
      <c r="L415" t="n">
        <v>1</v>
      </c>
      <c r="M415" t="n">
        <v>0</v>
      </c>
    </row>
    <row r="416" spans="1:13">
      <c r="A416" s="1">
        <f>HYPERLINK("http://www.twitter.com/NathanBLawrence/status/990281114215505921", "990281114215505921")</f>
        <v/>
      </c>
      <c r="B416" s="2" t="n">
        <v>43218.72673611111</v>
      </c>
      <c r="C416" t="n">
        <v>0</v>
      </c>
      <c r="D416" t="n">
        <v>449</v>
      </c>
      <c r="E416" t="s">
        <v>424</v>
      </c>
      <c r="F416">
        <f>HYPERLINK("https://video.twimg.com/ext_tw_video/989966375069286401/pu/vid/1280x720/zjhoYo80mDQ3xvQU.mp4?tag=3", "https://video.twimg.com/ext_tw_video/989966375069286401/pu/vid/1280x720/zjhoYo80mDQ3xvQU.mp4?tag=3")</f>
        <v/>
      </c>
      <c r="G416" t="s"/>
      <c r="H416" t="s"/>
      <c r="I416" t="s"/>
      <c r="J416" t="n">
        <v>-0.5904</v>
      </c>
      <c r="K416" t="n">
        <v>0.143</v>
      </c>
      <c r="L416" t="n">
        <v>0.857</v>
      </c>
      <c r="M416" t="n">
        <v>0</v>
      </c>
    </row>
    <row r="417" spans="1:13">
      <c r="A417" s="1">
        <f>HYPERLINK("http://www.twitter.com/NathanBLawrence/status/990280604796227584", "990280604796227584")</f>
        <v/>
      </c>
      <c r="B417" s="2" t="n">
        <v>43218.72533564815</v>
      </c>
      <c r="C417" t="n">
        <v>0</v>
      </c>
      <c r="D417" t="n">
        <v>896</v>
      </c>
      <c r="E417" t="s">
        <v>425</v>
      </c>
      <c r="F417" t="s"/>
      <c r="G417" t="s"/>
      <c r="H417" t="s"/>
      <c r="I417" t="s"/>
      <c r="J417" t="n">
        <v>0</v>
      </c>
      <c r="K417" t="n">
        <v>0</v>
      </c>
      <c r="L417" t="n">
        <v>1</v>
      </c>
      <c r="M417" t="n">
        <v>0</v>
      </c>
    </row>
    <row r="418" spans="1:13">
      <c r="A418" s="1">
        <f>HYPERLINK("http://www.twitter.com/NathanBLawrence/status/990279950698778624", "990279950698778624")</f>
        <v/>
      </c>
      <c r="B418" s="2" t="n">
        <v>43218.72353009259</v>
      </c>
      <c r="C418" t="n">
        <v>0</v>
      </c>
      <c r="D418" t="n">
        <v>15</v>
      </c>
      <c r="E418" t="s">
        <v>426</v>
      </c>
      <c r="F418">
        <f>HYPERLINK("http://pbs.twimg.com/media/Db4uD-YWAAAmp1Q.jpg", "http://pbs.twimg.com/media/Db4uD-YWAAAmp1Q.jpg")</f>
        <v/>
      </c>
      <c r="G418" t="s"/>
      <c r="H418" t="s"/>
      <c r="I418" t="s"/>
      <c r="J418" t="n">
        <v>0</v>
      </c>
      <c r="K418" t="n">
        <v>0</v>
      </c>
      <c r="L418" t="n">
        <v>1</v>
      </c>
      <c r="M418" t="n">
        <v>0</v>
      </c>
    </row>
    <row r="419" spans="1:13">
      <c r="A419" s="1">
        <f>HYPERLINK("http://www.twitter.com/NathanBLawrence/status/990279360216170497", "990279360216170497")</f>
        <v/>
      </c>
      <c r="B419" s="2" t="n">
        <v>43218.72189814815</v>
      </c>
      <c r="C419" t="n">
        <v>0</v>
      </c>
      <c r="D419" t="n">
        <v>0</v>
      </c>
      <c r="E419" t="s">
        <v>427</v>
      </c>
      <c r="F419">
        <f>HYPERLINK("http://pbs.twimg.com/media/Db4t1AkXUAA7liv.jpg", "http://pbs.twimg.com/media/Db4t1AkXUAA7liv.jpg")</f>
        <v/>
      </c>
      <c r="G419" t="s"/>
      <c r="H419" t="s"/>
      <c r="I419" t="s"/>
      <c r="J419" t="n">
        <v>0</v>
      </c>
      <c r="K419" t="n">
        <v>0</v>
      </c>
      <c r="L419" t="n">
        <v>1</v>
      </c>
      <c r="M419" t="n">
        <v>0</v>
      </c>
    </row>
    <row r="420" spans="1:13">
      <c r="A420" s="1">
        <f>HYPERLINK("http://www.twitter.com/NathanBLawrence/status/990279257590042625", "990279257590042625")</f>
        <v/>
      </c>
      <c r="B420" s="2" t="n">
        <v>43218.72162037037</v>
      </c>
      <c r="C420" t="n">
        <v>1</v>
      </c>
      <c r="D420" t="n">
        <v>0</v>
      </c>
      <c r="E420" t="s">
        <v>428</v>
      </c>
      <c r="F420">
        <f>HYPERLINK("http://pbs.twimg.com/media/Db4tvDTW4AA71tb.jpg", "http://pbs.twimg.com/media/Db4tvDTW4AA71tb.jpg")</f>
        <v/>
      </c>
      <c r="G420" t="s"/>
      <c r="H420" t="s"/>
      <c r="I420" t="s"/>
      <c r="J420" t="n">
        <v>0</v>
      </c>
      <c r="K420" t="n">
        <v>0</v>
      </c>
      <c r="L420" t="n">
        <v>1</v>
      </c>
      <c r="M420" t="n">
        <v>0</v>
      </c>
    </row>
    <row r="421" spans="1:13">
      <c r="A421" s="1">
        <f>HYPERLINK("http://www.twitter.com/NathanBLawrence/status/990258718649585664", "990258718649585664")</f>
        <v/>
      </c>
      <c r="B421" s="2" t="n">
        <v>43218.66494212963</v>
      </c>
      <c r="C421" t="n">
        <v>0</v>
      </c>
      <c r="D421" t="n">
        <v>2</v>
      </c>
      <c r="E421" t="s">
        <v>429</v>
      </c>
      <c r="F421" t="s"/>
      <c r="G421" t="s"/>
      <c r="H421" t="s"/>
      <c r="I421" t="s"/>
      <c r="J421" t="n">
        <v>0.5574</v>
      </c>
      <c r="K421" t="n">
        <v>0</v>
      </c>
      <c r="L421" t="n">
        <v>0.87</v>
      </c>
      <c r="M421" t="n">
        <v>0.13</v>
      </c>
    </row>
    <row r="422" spans="1:13">
      <c r="A422" s="1">
        <f>HYPERLINK("http://www.twitter.com/NathanBLawrence/status/990258703919144961", "990258703919144961")</f>
        <v/>
      </c>
      <c r="B422" s="2" t="n">
        <v>43218.66489583333</v>
      </c>
      <c r="C422" t="n">
        <v>0</v>
      </c>
      <c r="D422" t="n">
        <v>3</v>
      </c>
      <c r="E422" t="s">
        <v>430</v>
      </c>
      <c r="F422" t="s"/>
      <c r="G422" t="s"/>
      <c r="H422" t="s"/>
      <c r="I422" t="s"/>
      <c r="J422" t="n">
        <v>-0.4559</v>
      </c>
      <c r="K422" t="n">
        <v>0.162</v>
      </c>
      <c r="L422" t="n">
        <v>0.741</v>
      </c>
      <c r="M422" t="n">
        <v>0.098</v>
      </c>
    </row>
    <row r="423" spans="1:13">
      <c r="A423" s="1">
        <f>HYPERLINK("http://www.twitter.com/NathanBLawrence/status/990257263389609984", "990257263389609984")</f>
        <v/>
      </c>
      <c r="B423" s="2" t="n">
        <v>43218.66092592593</v>
      </c>
      <c r="C423" t="n">
        <v>4</v>
      </c>
      <c r="D423" t="n">
        <v>3</v>
      </c>
      <c r="E423" t="s">
        <v>431</v>
      </c>
      <c r="F423" t="s"/>
      <c r="G423" t="s"/>
      <c r="H423" t="s"/>
      <c r="I423" t="s"/>
      <c r="J423" t="n">
        <v>0.4436</v>
      </c>
      <c r="K423" t="n">
        <v>0.079</v>
      </c>
      <c r="L423" t="n">
        <v>0.789</v>
      </c>
      <c r="M423" t="n">
        <v>0.132</v>
      </c>
    </row>
    <row r="424" spans="1:13">
      <c r="A424" s="1">
        <f>HYPERLINK("http://www.twitter.com/NathanBLawrence/status/990084686457294849", "990084686457294849")</f>
        <v/>
      </c>
      <c r="B424" s="2" t="n">
        <v>43218.18469907407</v>
      </c>
      <c r="C424" t="n">
        <v>0</v>
      </c>
      <c r="D424" t="n">
        <v>5</v>
      </c>
      <c r="E424" t="s">
        <v>432</v>
      </c>
      <c r="F424">
        <f>HYPERLINK("http://pbs.twimg.com/media/DZAzxwJU8AAltjE.jpg", "http://pbs.twimg.com/media/DZAzxwJU8AAltjE.jpg")</f>
        <v/>
      </c>
      <c r="G424" t="s"/>
      <c r="H424" t="s"/>
      <c r="I424" t="s"/>
      <c r="J424" t="n">
        <v>-0.0516</v>
      </c>
      <c r="K424" t="n">
        <v>0.159</v>
      </c>
      <c r="L424" t="n">
        <v>0.647</v>
      </c>
      <c r="M424" t="n">
        <v>0.194</v>
      </c>
    </row>
    <row r="425" spans="1:13">
      <c r="A425" s="1">
        <f>HYPERLINK("http://www.twitter.com/NathanBLawrence/status/990064454678335488", "990064454678335488")</f>
        <v/>
      </c>
      <c r="B425" s="2" t="n">
        <v>43218.12887731481</v>
      </c>
      <c r="C425" t="n">
        <v>0</v>
      </c>
      <c r="D425" t="n">
        <v>3722</v>
      </c>
      <c r="E425" t="s">
        <v>433</v>
      </c>
      <c r="F425">
        <f>HYPERLINK("https://video.twimg.com/ext_tw_video/989292323149434880/pu/vid/480x480/80S1BidYuSxNa1IM.mp4?tag=3", "https://video.twimg.com/ext_tw_video/989292323149434880/pu/vid/480x480/80S1BidYuSxNa1IM.mp4?tag=3")</f>
        <v/>
      </c>
      <c r="G425" t="s"/>
      <c r="H425" t="s"/>
      <c r="I425" t="s"/>
      <c r="J425" t="n">
        <v>0.4199</v>
      </c>
      <c r="K425" t="n">
        <v>0</v>
      </c>
      <c r="L425" t="n">
        <v>0.859</v>
      </c>
      <c r="M425" t="n">
        <v>0.141</v>
      </c>
    </row>
    <row r="426" spans="1:13">
      <c r="A426" s="1">
        <f>HYPERLINK("http://www.twitter.com/NathanBLawrence/status/990063230872584193", "990063230872584193")</f>
        <v/>
      </c>
      <c r="B426" s="2" t="n">
        <v>43218.12549768519</v>
      </c>
      <c r="C426" t="n">
        <v>0</v>
      </c>
      <c r="D426" t="n">
        <v>135</v>
      </c>
      <c r="E426" t="s">
        <v>434</v>
      </c>
      <c r="F426" t="s"/>
      <c r="G426" t="s"/>
      <c r="H426" t="s"/>
      <c r="I426" t="s"/>
      <c r="J426" t="n">
        <v>-0.2755</v>
      </c>
      <c r="K426" t="n">
        <v>0.1</v>
      </c>
      <c r="L426" t="n">
        <v>0.9</v>
      </c>
      <c r="M426" t="n">
        <v>0</v>
      </c>
    </row>
    <row r="427" spans="1:13">
      <c r="A427" s="1">
        <f>HYPERLINK("http://www.twitter.com/NathanBLawrence/status/989952382300717057", "989952382300717057")</f>
        <v/>
      </c>
      <c r="B427" s="2" t="n">
        <v>43217.81961805555</v>
      </c>
      <c r="C427" t="n">
        <v>0</v>
      </c>
      <c r="D427" t="n">
        <v>17</v>
      </c>
      <c r="E427" t="s">
        <v>435</v>
      </c>
      <c r="F427" t="s"/>
      <c r="G427" t="s"/>
      <c r="H427" t="s"/>
      <c r="I427" t="s"/>
      <c r="J427" t="n">
        <v>0</v>
      </c>
      <c r="K427" t="n">
        <v>0</v>
      </c>
      <c r="L427" t="n">
        <v>1</v>
      </c>
      <c r="M427" t="n">
        <v>0</v>
      </c>
    </row>
    <row r="428" spans="1:13">
      <c r="A428" s="1">
        <f>HYPERLINK("http://www.twitter.com/NathanBLawrence/status/989952369143308288", "989952369143308288")</f>
        <v/>
      </c>
      <c r="B428" s="2" t="n">
        <v>43217.81957175926</v>
      </c>
      <c r="C428" t="n">
        <v>0</v>
      </c>
      <c r="D428" t="n">
        <v>3</v>
      </c>
      <c r="E428" t="s">
        <v>436</v>
      </c>
      <c r="F428">
        <f>HYPERLINK("http://pbs.twimg.com/media/Db0EYXKW0AAsEvl.jpg", "http://pbs.twimg.com/media/Db0EYXKW0AAsEvl.jpg")</f>
        <v/>
      </c>
      <c r="G428" t="s"/>
      <c r="H428" t="s"/>
      <c r="I428" t="s"/>
      <c r="J428" t="n">
        <v>-0.6329</v>
      </c>
      <c r="K428" t="n">
        <v>0.284</v>
      </c>
      <c r="L428" t="n">
        <v>0.716</v>
      </c>
      <c r="M428" t="n">
        <v>0</v>
      </c>
    </row>
    <row r="429" spans="1:13">
      <c r="A429" s="1">
        <f>HYPERLINK("http://www.twitter.com/NathanBLawrence/status/989952313300316162", "989952313300316162")</f>
        <v/>
      </c>
      <c r="B429" s="2" t="n">
        <v>43217.8194212963</v>
      </c>
      <c r="C429" t="n">
        <v>4</v>
      </c>
      <c r="D429" t="n">
        <v>3</v>
      </c>
      <c r="E429" t="s">
        <v>437</v>
      </c>
      <c r="F429">
        <f>HYPERLINK("http://pbs.twimg.com/media/Db0EYXKW0AAsEvl.jpg", "http://pbs.twimg.com/media/Db0EYXKW0AAsEvl.jpg")</f>
        <v/>
      </c>
      <c r="G429" t="s"/>
      <c r="H429" t="s"/>
      <c r="I429" t="s"/>
      <c r="J429" t="n">
        <v>-0.1111</v>
      </c>
      <c r="K429" t="n">
        <v>0.148</v>
      </c>
      <c r="L429" t="n">
        <v>0.745</v>
      </c>
      <c r="M429" t="n">
        <v>0.107</v>
      </c>
    </row>
    <row r="430" spans="1:13">
      <c r="A430" s="1">
        <f>HYPERLINK("http://www.twitter.com/NathanBLawrence/status/989948781314674688", "989948781314674688")</f>
        <v/>
      </c>
      <c r="B430" s="2" t="n">
        <v>43217.80967592593</v>
      </c>
      <c r="C430" t="n">
        <v>0</v>
      </c>
      <c r="D430" t="n">
        <v>7</v>
      </c>
      <c r="E430" t="s">
        <v>438</v>
      </c>
      <c r="F430" t="s"/>
      <c r="G430" t="s"/>
      <c r="H430" t="s"/>
      <c r="I430" t="s"/>
      <c r="J430" t="n">
        <v>0</v>
      </c>
      <c r="K430" t="n">
        <v>0</v>
      </c>
      <c r="L430" t="n">
        <v>1</v>
      </c>
      <c r="M430" t="n">
        <v>0</v>
      </c>
    </row>
    <row r="431" spans="1:13">
      <c r="A431" s="1">
        <f>HYPERLINK("http://www.twitter.com/NathanBLawrence/status/989947281976840194", "989947281976840194")</f>
        <v/>
      </c>
      <c r="B431" s="2" t="n">
        <v>43217.80554398148</v>
      </c>
      <c r="C431" t="n">
        <v>0</v>
      </c>
      <c r="D431" t="n">
        <v>16</v>
      </c>
      <c r="E431" t="s">
        <v>439</v>
      </c>
      <c r="F431" t="s"/>
      <c r="G431" t="s"/>
      <c r="H431" t="s"/>
      <c r="I431" t="s"/>
      <c r="J431" t="n">
        <v>0</v>
      </c>
      <c r="K431" t="n">
        <v>0</v>
      </c>
      <c r="L431" t="n">
        <v>1</v>
      </c>
      <c r="M431" t="n">
        <v>0</v>
      </c>
    </row>
    <row r="432" spans="1:13">
      <c r="A432" s="1">
        <f>HYPERLINK("http://www.twitter.com/NathanBLawrence/status/989928946190946304", "989928946190946304")</f>
        <v/>
      </c>
      <c r="B432" s="2" t="n">
        <v>43217.75494212963</v>
      </c>
      <c r="C432" t="n">
        <v>0</v>
      </c>
      <c r="D432" t="n">
        <v>28</v>
      </c>
      <c r="E432" t="s">
        <v>440</v>
      </c>
      <c r="F432" t="s"/>
      <c r="G432" t="s"/>
      <c r="H432" t="s"/>
      <c r="I432" t="s"/>
      <c r="J432" t="n">
        <v>0.636</v>
      </c>
      <c r="K432" t="n">
        <v>0</v>
      </c>
      <c r="L432" t="n">
        <v>0.8110000000000001</v>
      </c>
      <c r="M432" t="n">
        <v>0.189</v>
      </c>
    </row>
    <row r="433" spans="1:13">
      <c r="A433" s="1">
        <f>HYPERLINK("http://www.twitter.com/NathanBLawrence/status/989897509362380806", "989897509362380806")</f>
        <v/>
      </c>
      <c r="B433" s="2" t="n">
        <v>43217.66819444444</v>
      </c>
      <c r="C433" t="n">
        <v>0</v>
      </c>
      <c r="D433" t="n">
        <v>2067</v>
      </c>
      <c r="E433" t="s">
        <v>441</v>
      </c>
      <c r="F433">
        <f>HYPERLINK("https://video.twimg.com/ext_tw_video/987183292163153920/pu/vid/240x240/6ITfjVdwAGUTRiu_.mp4?tag=3", "https://video.twimg.com/ext_tw_video/987183292163153920/pu/vid/240x240/6ITfjVdwAGUTRiu_.mp4?tag=3")</f>
        <v/>
      </c>
      <c r="G433" t="s"/>
      <c r="H433" t="s"/>
      <c r="I433" t="s"/>
      <c r="J433" t="n">
        <v>0.5233</v>
      </c>
      <c r="K433" t="n">
        <v>0</v>
      </c>
      <c r="L433" t="n">
        <v>0.855</v>
      </c>
      <c r="M433" t="n">
        <v>0.145</v>
      </c>
    </row>
    <row r="434" spans="1:13">
      <c r="A434" s="1">
        <f>HYPERLINK("http://www.twitter.com/NathanBLawrence/status/989894623064621056", "989894623064621056")</f>
        <v/>
      </c>
      <c r="B434" s="2" t="n">
        <v>43217.66023148148</v>
      </c>
      <c r="C434" t="n">
        <v>0</v>
      </c>
      <c r="D434" t="n">
        <v>21</v>
      </c>
      <c r="E434" t="s">
        <v>442</v>
      </c>
      <c r="F434">
        <f>HYPERLINK("http://pbs.twimg.com/media/DbnNuuiX0AAP_F4.png", "http://pbs.twimg.com/media/DbnNuuiX0AAP_F4.png")</f>
        <v/>
      </c>
      <c r="G434" t="s"/>
      <c r="H434" t="s"/>
      <c r="I434" t="s"/>
      <c r="J434" t="n">
        <v>0.6249</v>
      </c>
      <c r="K434" t="n">
        <v>0</v>
      </c>
      <c r="L434" t="n">
        <v>0.796</v>
      </c>
      <c r="M434" t="n">
        <v>0.204</v>
      </c>
    </row>
    <row r="435" spans="1:13">
      <c r="A435" s="1">
        <f>HYPERLINK("http://www.twitter.com/NathanBLawrence/status/989894484275187717", "989894484275187717")</f>
        <v/>
      </c>
      <c r="B435" s="2" t="n">
        <v>43217.65984953703</v>
      </c>
      <c r="C435" t="n">
        <v>0</v>
      </c>
      <c r="D435" t="n">
        <v>6</v>
      </c>
      <c r="E435" t="s">
        <v>443</v>
      </c>
      <c r="F435" t="s"/>
      <c r="G435" t="s"/>
      <c r="H435" t="s"/>
      <c r="I435" t="s"/>
      <c r="J435" t="n">
        <v>0</v>
      </c>
      <c r="K435" t="n">
        <v>0</v>
      </c>
      <c r="L435" t="n">
        <v>1</v>
      </c>
      <c r="M435" t="n">
        <v>0</v>
      </c>
    </row>
    <row r="436" spans="1:13">
      <c r="A436" s="1">
        <f>HYPERLINK("http://www.twitter.com/NathanBLawrence/status/989894436342681600", "989894436342681600")</f>
        <v/>
      </c>
      <c r="B436" s="2" t="n">
        <v>43217.65971064815</v>
      </c>
      <c r="C436" t="n">
        <v>0</v>
      </c>
      <c r="D436" t="n">
        <v>2</v>
      </c>
      <c r="E436" t="s">
        <v>444</v>
      </c>
      <c r="F436" t="s"/>
      <c r="G436" t="s"/>
      <c r="H436" t="s"/>
      <c r="I436" t="s"/>
      <c r="J436" t="n">
        <v>0</v>
      </c>
      <c r="K436" t="n">
        <v>0</v>
      </c>
      <c r="L436" t="n">
        <v>1</v>
      </c>
      <c r="M436" t="n">
        <v>0</v>
      </c>
    </row>
    <row r="437" spans="1:13">
      <c r="A437" s="1">
        <f>HYPERLINK("http://www.twitter.com/NathanBLawrence/status/989890792314548224", "989890792314548224")</f>
        <v/>
      </c>
      <c r="B437" s="2" t="n">
        <v>43217.64965277778</v>
      </c>
      <c r="C437" t="n">
        <v>0</v>
      </c>
      <c r="D437" t="n">
        <v>21</v>
      </c>
      <c r="E437" t="s">
        <v>445</v>
      </c>
      <c r="F437" t="s"/>
      <c r="G437" t="s"/>
      <c r="H437" t="s"/>
      <c r="I437" t="s"/>
      <c r="J437" t="n">
        <v>0</v>
      </c>
      <c r="K437" t="n">
        <v>0</v>
      </c>
      <c r="L437" t="n">
        <v>1</v>
      </c>
      <c r="M437" t="n">
        <v>0</v>
      </c>
    </row>
    <row r="438" spans="1:13">
      <c r="A438" s="1">
        <f>HYPERLINK("http://www.twitter.com/NathanBLawrence/status/989890772580356097", "989890772580356097")</f>
        <v/>
      </c>
      <c r="B438" s="2" t="n">
        <v>43217.64960648148</v>
      </c>
      <c r="C438" t="n">
        <v>0</v>
      </c>
      <c r="D438" t="n">
        <v>4</v>
      </c>
      <c r="E438" t="s">
        <v>446</v>
      </c>
      <c r="F438" t="s"/>
      <c r="G438" t="s"/>
      <c r="H438" t="s"/>
      <c r="I438" t="s"/>
      <c r="J438" t="n">
        <v>0</v>
      </c>
      <c r="K438" t="n">
        <v>0</v>
      </c>
      <c r="L438" t="n">
        <v>1</v>
      </c>
      <c r="M438" t="n">
        <v>0</v>
      </c>
    </row>
    <row r="439" spans="1:13">
      <c r="A439" s="1">
        <f>HYPERLINK("http://www.twitter.com/NathanBLawrence/status/989881800871825411", "989881800871825411")</f>
        <v/>
      </c>
      <c r="B439" s="2" t="n">
        <v>43217.62484953704</v>
      </c>
      <c r="C439" t="n">
        <v>4</v>
      </c>
      <c r="D439" t="n">
        <v>2</v>
      </c>
      <c r="E439" t="s">
        <v>447</v>
      </c>
      <c r="F439" t="s"/>
      <c r="G439" t="s"/>
      <c r="H439" t="s"/>
      <c r="I439" t="s"/>
      <c r="J439" t="n">
        <v>0.8519</v>
      </c>
      <c r="K439" t="n">
        <v>0</v>
      </c>
      <c r="L439" t="n">
        <v>0.78</v>
      </c>
      <c r="M439" t="n">
        <v>0.22</v>
      </c>
    </row>
    <row r="440" spans="1:13">
      <c r="A440" s="1">
        <f>HYPERLINK("http://www.twitter.com/NathanBLawrence/status/989861058839015424", "989861058839015424")</f>
        <v/>
      </c>
      <c r="B440" s="2" t="n">
        <v>43217.56760416667</v>
      </c>
      <c r="C440" t="n">
        <v>0</v>
      </c>
      <c r="D440" t="n">
        <v>9</v>
      </c>
      <c r="E440" t="s">
        <v>448</v>
      </c>
      <c r="F440">
        <f>HYPERLINK("http://pbs.twimg.com/media/DbyxAPmVAAULL79.jpg", "http://pbs.twimg.com/media/DbyxAPmVAAULL79.jpg")</f>
        <v/>
      </c>
      <c r="G440" t="s"/>
      <c r="H440" t="s"/>
      <c r="I440" t="s"/>
      <c r="J440" t="n">
        <v>0</v>
      </c>
      <c r="K440" t="n">
        <v>0</v>
      </c>
      <c r="L440" t="n">
        <v>1</v>
      </c>
      <c r="M440" t="n">
        <v>0</v>
      </c>
    </row>
    <row r="441" spans="1:13">
      <c r="A441" s="1">
        <f>HYPERLINK("http://www.twitter.com/NathanBLawrence/status/989860647000211456", "989860647000211456")</f>
        <v/>
      </c>
      <c r="B441" s="2" t="n">
        <v>43217.5664699074</v>
      </c>
      <c r="C441" t="n">
        <v>14</v>
      </c>
      <c r="D441" t="n">
        <v>9</v>
      </c>
      <c r="E441" t="s">
        <v>449</v>
      </c>
      <c r="F441">
        <f>HYPERLINK("http://pbs.twimg.com/media/DbyxAPmVAAULL79.jpg", "http://pbs.twimg.com/media/DbyxAPmVAAULL79.jpg")</f>
        <v/>
      </c>
      <c r="G441" t="s"/>
      <c r="H441" t="s"/>
      <c r="I441" t="s"/>
      <c r="J441" t="n">
        <v>-0.6833</v>
      </c>
      <c r="K441" t="n">
        <v>0.142</v>
      </c>
      <c r="L441" t="n">
        <v>0.785</v>
      </c>
      <c r="M441" t="n">
        <v>0.073</v>
      </c>
    </row>
    <row r="442" spans="1:13">
      <c r="A442" s="1">
        <f>HYPERLINK("http://www.twitter.com/NathanBLawrence/status/989852925198503936", "989852925198503936")</f>
        <v/>
      </c>
      <c r="B442" s="2" t="n">
        <v>43217.54516203704</v>
      </c>
      <c r="C442" t="n">
        <v>0</v>
      </c>
      <c r="D442" t="n">
        <v>120</v>
      </c>
      <c r="E442" t="s">
        <v>450</v>
      </c>
      <c r="F442">
        <f>HYPERLINK("https://video.twimg.com/ext_tw_video/989753868274749440/pu/vid/720x1280/ICiS0ShSKfeybouQ.mp4?tag=3", "https://video.twimg.com/ext_tw_video/989753868274749440/pu/vid/720x1280/ICiS0ShSKfeybouQ.mp4?tag=3")</f>
        <v/>
      </c>
      <c r="G442" t="s"/>
      <c r="H442" t="s"/>
      <c r="I442" t="s"/>
      <c r="J442" t="n">
        <v>0.4767</v>
      </c>
      <c r="K442" t="n">
        <v>0</v>
      </c>
      <c r="L442" t="n">
        <v>0.846</v>
      </c>
      <c r="M442" t="n">
        <v>0.154</v>
      </c>
    </row>
    <row r="443" spans="1:13">
      <c r="A443" s="1">
        <f>HYPERLINK("http://www.twitter.com/NathanBLawrence/status/989725944830033921", "989725944830033921")</f>
        <v/>
      </c>
      <c r="B443" s="2" t="n">
        <v>43217.19476851852</v>
      </c>
      <c r="C443" t="n">
        <v>0</v>
      </c>
      <c r="D443" t="n">
        <v>352</v>
      </c>
      <c r="E443" t="s">
        <v>451</v>
      </c>
      <c r="F443" t="s"/>
      <c r="G443" t="s"/>
      <c r="H443" t="s"/>
      <c r="I443" t="s"/>
      <c r="J443" t="n">
        <v>0.3612</v>
      </c>
      <c r="K443" t="n">
        <v>0</v>
      </c>
      <c r="L443" t="n">
        <v>0.8149999999999999</v>
      </c>
      <c r="M443" t="n">
        <v>0.185</v>
      </c>
    </row>
    <row r="444" spans="1:13">
      <c r="A444" s="1">
        <f>HYPERLINK("http://www.twitter.com/NathanBLawrence/status/989721066099560450", "989721066099560450")</f>
        <v/>
      </c>
      <c r="B444" s="2" t="n">
        <v>43217.18129629629</v>
      </c>
      <c r="C444" t="n">
        <v>0</v>
      </c>
      <c r="D444" t="n">
        <v>656</v>
      </c>
      <c r="E444" t="s">
        <v>452</v>
      </c>
      <c r="F444">
        <f>HYPERLINK("http://pbs.twimg.com/media/DbwAn5GWsAEMDVO.jpg", "http://pbs.twimg.com/media/DbwAn5GWsAEMDVO.jpg")</f>
        <v/>
      </c>
      <c r="G444" t="s"/>
      <c r="H444" t="s"/>
      <c r="I444" t="s"/>
      <c r="J444" t="n">
        <v>0.0516</v>
      </c>
      <c r="K444" t="n">
        <v>0.149</v>
      </c>
      <c r="L444" t="n">
        <v>0.665</v>
      </c>
      <c r="M444" t="n">
        <v>0.187</v>
      </c>
    </row>
    <row r="445" spans="1:13">
      <c r="A445" s="1">
        <f>HYPERLINK("http://www.twitter.com/NathanBLawrence/status/989716455577997312", "989716455577997312")</f>
        <v/>
      </c>
      <c r="B445" s="2" t="n">
        <v>43217.16857638889</v>
      </c>
      <c r="C445" t="n">
        <v>0</v>
      </c>
      <c r="D445" t="n">
        <v>12</v>
      </c>
      <c r="E445" t="s">
        <v>453</v>
      </c>
      <c r="F445" t="s"/>
      <c r="G445" t="s"/>
      <c r="H445" t="s"/>
      <c r="I445" t="s"/>
      <c r="J445" t="n">
        <v>0</v>
      </c>
      <c r="K445" t="n">
        <v>0</v>
      </c>
      <c r="L445" t="n">
        <v>1</v>
      </c>
      <c r="M445" t="n">
        <v>0</v>
      </c>
    </row>
    <row r="446" spans="1:13">
      <c r="A446" s="1">
        <f>HYPERLINK("http://www.twitter.com/NathanBLawrence/status/989716441640325120", "989716441640325120")</f>
        <v/>
      </c>
      <c r="B446" s="2" t="n">
        <v>43217.16854166667</v>
      </c>
      <c r="C446" t="n">
        <v>0</v>
      </c>
      <c r="D446" t="n">
        <v>1</v>
      </c>
      <c r="E446" t="s">
        <v>454</v>
      </c>
      <c r="F446" t="s"/>
      <c r="G446" t="s"/>
      <c r="H446" t="s"/>
      <c r="I446" t="s"/>
      <c r="J446" t="n">
        <v>0.3989</v>
      </c>
      <c r="K446" t="n">
        <v>0</v>
      </c>
      <c r="L446" t="n">
        <v>0.6909999999999999</v>
      </c>
      <c r="M446" t="n">
        <v>0.309</v>
      </c>
    </row>
    <row r="447" spans="1:13">
      <c r="A447" s="1">
        <f>HYPERLINK("http://www.twitter.com/NathanBLawrence/status/989716429829165056", "989716429829165056")</f>
        <v/>
      </c>
      <c r="B447" s="2" t="n">
        <v>43217.16850694444</v>
      </c>
      <c r="C447" t="n">
        <v>0</v>
      </c>
      <c r="D447" t="n">
        <v>2</v>
      </c>
      <c r="E447" t="s">
        <v>455</v>
      </c>
      <c r="F447" t="s"/>
      <c r="G447" t="s"/>
      <c r="H447" t="s"/>
      <c r="I447" t="s"/>
      <c r="J447" t="n">
        <v>0.8762</v>
      </c>
      <c r="K447" t="n">
        <v>0</v>
      </c>
      <c r="L447" t="n">
        <v>0.6889999999999999</v>
      </c>
      <c r="M447" t="n">
        <v>0.311</v>
      </c>
    </row>
    <row r="448" spans="1:13">
      <c r="A448" s="1">
        <f>HYPERLINK("http://www.twitter.com/NathanBLawrence/status/989716418554834944", "989716418554834944")</f>
        <v/>
      </c>
      <c r="B448" s="2" t="n">
        <v>43217.16847222222</v>
      </c>
      <c r="C448" t="n">
        <v>0</v>
      </c>
      <c r="D448" t="n">
        <v>1</v>
      </c>
      <c r="E448" t="s">
        <v>456</v>
      </c>
      <c r="F448" t="s"/>
      <c r="G448" t="s"/>
      <c r="H448" t="s"/>
      <c r="I448" t="s"/>
      <c r="J448" t="n">
        <v>0.6249</v>
      </c>
      <c r="K448" t="n">
        <v>0</v>
      </c>
      <c r="L448" t="n">
        <v>0.83</v>
      </c>
      <c r="M448" t="n">
        <v>0.17</v>
      </c>
    </row>
    <row r="449" spans="1:13">
      <c r="A449" s="1">
        <f>HYPERLINK("http://www.twitter.com/NathanBLawrence/status/989716407758733313", "989716407758733313")</f>
        <v/>
      </c>
      <c r="B449" s="2" t="n">
        <v>43217.16844907407</v>
      </c>
      <c r="C449" t="n">
        <v>0</v>
      </c>
      <c r="D449" t="n">
        <v>1</v>
      </c>
      <c r="E449" t="s">
        <v>457</v>
      </c>
      <c r="F449" t="s"/>
      <c r="G449" t="s"/>
      <c r="H449" t="s"/>
      <c r="I449" t="s"/>
      <c r="J449" t="n">
        <v>0.3612</v>
      </c>
      <c r="K449" t="n">
        <v>0</v>
      </c>
      <c r="L449" t="n">
        <v>0.889</v>
      </c>
      <c r="M449" t="n">
        <v>0.111</v>
      </c>
    </row>
    <row r="450" spans="1:13">
      <c r="A450" s="1">
        <f>HYPERLINK("http://www.twitter.com/NathanBLawrence/status/989698373874847744", "989698373874847744")</f>
        <v/>
      </c>
      <c r="B450" s="2" t="n">
        <v>43217.11868055556</v>
      </c>
      <c r="C450" t="n">
        <v>0</v>
      </c>
      <c r="D450" t="n">
        <v>1173</v>
      </c>
      <c r="E450" t="s">
        <v>458</v>
      </c>
      <c r="F450">
        <f>HYPERLINK("http://pbs.twimg.com/media/DYqeHW7X0AEedNf.jpg", "http://pbs.twimg.com/media/DYqeHW7X0AEedNf.jpg")</f>
        <v/>
      </c>
      <c r="G450" t="s"/>
      <c r="H450" t="s"/>
      <c r="I450" t="s"/>
      <c r="J450" t="n">
        <v>-0.5962</v>
      </c>
      <c r="K450" t="n">
        <v>0.217</v>
      </c>
      <c r="L450" t="n">
        <v>0.783</v>
      </c>
      <c r="M450" t="n">
        <v>0</v>
      </c>
    </row>
    <row r="451" spans="1:13">
      <c r="A451" s="1">
        <f>HYPERLINK("http://www.twitter.com/NathanBLawrence/status/989695226179653632", "989695226179653632")</f>
        <v/>
      </c>
      <c r="B451" s="2" t="n">
        <v>43217.11</v>
      </c>
      <c r="C451" t="n">
        <v>0</v>
      </c>
      <c r="D451" t="n">
        <v>465</v>
      </c>
      <c r="E451" t="s">
        <v>459</v>
      </c>
      <c r="F451" t="s"/>
      <c r="G451" t="s"/>
      <c r="H451" t="s"/>
      <c r="I451" t="s"/>
      <c r="J451" t="n">
        <v>-0.4404</v>
      </c>
      <c r="K451" t="n">
        <v>0.152</v>
      </c>
      <c r="L451" t="n">
        <v>0.783</v>
      </c>
      <c r="M451" t="n">
        <v>0.065</v>
      </c>
    </row>
    <row r="452" spans="1:13">
      <c r="A452" s="1">
        <f>HYPERLINK("http://www.twitter.com/NathanBLawrence/status/989694780539068417", "989694780539068417")</f>
        <v/>
      </c>
      <c r="B452" s="2" t="n">
        <v>43217.10876157408</v>
      </c>
      <c r="C452" t="n">
        <v>0</v>
      </c>
      <c r="D452" t="n">
        <v>120022</v>
      </c>
      <c r="E452" t="s">
        <v>460</v>
      </c>
      <c r="F452">
        <f>HYPERLINK("http://pbs.twimg.com/media/DbrBesIXcAAprqM.jpg", "http://pbs.twimg.com/media/DbrBesIXcAAprqM.jpg")</f>
        <v/>
      </c>
      <c r="G452" t="s"/>
      <c r="H452" t="s"/>
      <c r="I452" t="s"/>
      <c r="J452" t="n">
        <v>0</v>
      </c>
      <c r="K452" t="n">
        <v>0</v>
      </c>
      <c r="L452" t="n">
        <v>1</v>
      </c>
      <c r="M452" t="n">
        <v>0</v>
      </c>
    </row>
    <row r="453" spans="1:13">
      <c r="A453" s="1">
        <f>HYPERLINK("http://www.twitter.com/NathanBLawrence/status/989691868756828161", "989691868756828161")</f>
        <v/>
      </c>
      <c r="B453" s="2" t="n">
        <v>43217.10072916667</v>
      </c>
      <c r="C453" t="n">
        <v>0</v>
      </c>
      <c r="D453" t="n">
        <v>4172</v>
      </c>
      <c r="E453" t="s">
        <v>461</v>
      </c>
      <c r="F453" t="s"/>
      <c r="G453" t="s"/>
      <c r="H453" t="s"/>
      <c r="I453" t="s"/>
      <c r="J453" t="n">
        <v>0</v>
      </c>
      <c r="K453" t="n">
        <v>0</v>
      </c>
      <c r="L453" t="n">
        <v>1</v>
      </c>
      <c r="M453" t="n">
        <v>0</v>
      </c>
    </row>
    <row r="454" spans="1:13">
      <c r="A454" s="1">
        <f>HYPERLINK("http://www.twitter.com/NathanBLawrence/status/989686629240623104", "989686629240623104")</f>
        <v/>
      </c>
      <c r="B454" s="2" t="n">
        <v>43217.08627314815</v>
      </c>
      <c r="C454" t="n">
        <v>4</v>
      </c>
      <c r="D454" t="n">
        <v>2</v>
      </c>
      <c r="E454" t="s">
        <v>462</v>
      </c>
      <c r="F454">
        <f>HYPERLINK("http://pbs.twimg.com/media/DbwSu1eWAAANKCC.jpg", "http://pbs.twimg.com/media/DbwSu1eWAAANKCC.jpg")</f>
        <v/>
      </c>
      <c r="G454" t="s"/>
      <c r="H454" t="s"/>
      <c r="I454" t="s"/>
      <c r="J454" t="n">
        <v>0.5374</v>
      </c>
      <c r="K454" t="n">
        <v>0</v>
      </c>
      <c r="L454" t="n">
        <v>0.743</v>
      </c>
      <c r="M454" t="n">
        <v>0.257</v>
      </c>
    </row>
    <row r="455" spans="1:13">
      <c r="A455" s="1">
        <f>HYPERLINK("http://www.twitter.com/NathanBLawrence/status/989675571016884227", "989675571016884227")</f>
        <v/>
      </c>
      <c r="B455" s="2" t="n">
        <v>43217.05576388889</v>
      </c>
      <c r="C455" t="n">
        <v>0</v>
      </c>
      <c r="D455" t="n">
        <v>5</v>
      </c>
      <c r="E455" t="s">
        <v>463</v>
      </c>
      <c r="F455" t="s"/>
      <c r="G455" t="s"/>
      <c r="H455" t="s"/>
      <c r="I455" t="s"/>
      <c r="J455" t="n">
        <v>0</v>
      </c>
      <c r="K455" t="n">
        <v>0</v>
      </c>
      <c r="L455" t="n">
        <v>1</v>
      </c>
      <c r="M455" t="n">
        <v>0</v>
      </c>
    </row>
    <row r="456" spans="1:13">
      <c r="A456" s="1">
        <f>HYPERLINK("http://www.twitter.com/NathanBLawrence/status/989668744266964997", "989668744266964997")</f>
        <v/>
      </c>
      <c r="B456" s="2" t="n">
        <v>43217.0369212963</v>
      </c>
      <c r="C456" t="n">
        <v>0</v>
      </c>
      <c r="D456" t="n">
        <v>909</v>
      </c>
      <c r="E456" t="s">
        <v>464</v>
      </c>
      <c r="F456">
        <f>HYPERLINK("http://pbs.twimg.com/media/Dbv_jqJU8AAN2OX.jpg", "http://pbs.twimg.com/media/Dbv_jqJU8AAN2OX.jpg")</f>
        <v/>
      </c>
      <c r="G456" t="s"/>
      <c r="H456" t="s"/>
      <c r="I456" t="s"/>
      <c r="J456" t="n">
        <v>-0.296</v>
      </c>
      <c r="K456" t="n">
        <v>0.121</v>
      </c>
      <c r="L456" t="n">
        <v>0.879</v>
      </c>
      <c r="M456" t="n">
        <v>0</v>
      </c>
    </row>
    <row r="457" spans="1:13">
      <c r="A457" s="1">
        <f>HYPERLINK("http://www.twitter.com/NathanBLawrence/status/989643341749944323", "989643341749944323")</f>
        <v/>
      </c>
      <c r="B457" s="2" t="n">
        <v>43216.96682870371</v>
      </c>
      <c r="C457" t="n">
        <v>22</v>
      </c>
      <c r="D457" t="n">
        <v>15</v>
      </c>
      <c r="E457" t="s">
        <v>465</v>
      </c>
      <c r="F457">
        <f>HYPERLINK("http://pbs.twimg.com/media/DbvrX0xVQAAlom5.jpg", "http://pbs.twimg.com/media/DbvrX0xVQAAlom5.jpg")</f>
        <v/>
      </c>
      <c r="G457" t="s"/>
      <c r="H457" t="s"/>
      <c r="I457" t="s"/>
      <c r="J457" t="n">
        <v>0.6964</v>
      </c>
      <c r="K457" t="n">
        <v>0</v>
      </c>
      <c r="L457" t="n">
        <v>0.865</v>
      </c>
      <c r="M457" t="n">
        <v>0.135</v>
      </c>
    </row>
    <row r="458" spans="1:13">
      <c r="A458" s="1">
        <f>HYPERLINK("http://www.twitter.com/NathanBLawrence/status/989630651606405121", "989630651606405121")</f>
        <v/>
      </c>
      <c r="B458" s="2" t="n">
        <v>43216.93180555556</v>
      </c>
      <c r="C458" t="n">
        <v>1</v>
      </c>
      <c r="D458" t="n">
        <v>1</v>
      </c>
      <c r="E458" t="s">
        <v>466</v>
      </c>
      <c r="F458" t="s"/>
      <c r="G458" t="s"/>
      <c r="H458" t="s"/>
      <c r="I458" t="s"/>
      <c r="J458" t="n">
        <v>0</v>
      </c>
      <c r="K458" t="n">
        <v>0</v>
      </c>
      <c r="L458" t="n">
        <v>1</v>
      </c>
      <c r="M458" t="n">
        <v>0</v>
      </c>
    </row>
    <row r="459" spans="1:13">
      <c r="A459" s="1">
        <f>HYPERLINK("http://www.twitter.com/NathanBLawrence/status/989630467778449410", "989630467778449410")</f>
        <v/>
      </c>
      <c r="B459" s="2" t="n">
        <v>43216.93129629629</v>
      </c>
      <c r="C459" t="n">
        <v>0</v>
      </c>
      <c r="D459" t="n">
        <v>11</v>
      </c>
      <c r="E459" t="s">
        <v>467</v>
      </c>
      <c r="F459" t="s"/>
      <c r="G459" t="s"/>
      <c r="H459" t="s"/>
      <c r="I459" t="s"/>
      <c r="J459" t="n">
        <v>0</v>
      </c>
      <c r="K459" t="n">
        <v>0</v>
      </c>
      <c r="L459" t="n">
        <v>1</v>
      </c>
      <c r="M459" t="n">
        <v>0</v>
      </c>
    </row>
    <row r="460" spans="1:13">
      <c r="A460" s="1">
        <f>HYPERLINK("http://www.twitter.com/NathanBLawrence/status/989626120948649985", "989626120948649985")</f>
        <v/>
      </c>
      <c r="B460" s="2" t="n">
        <v>43216.91930555556</v>
      </c>
      <c r="C460" t="n">
        <v>16</v>
      </c>
      <c r="D460" t="n">
        <v>15</v>
      </c>
      <c r="E460" t="s">
        <v>468</v>
      </c>
      <c r="F460">
        <f>HYPERLINK("http://pbs.twimg.com/media/Dbvbs8rWAAIJEqq.jpg", "http://pbs.twimg.com/media/Dbvbs8rWAAIJEqq.jpg")</f>
        <v/>
      </c>
      <c r="G460" t="s"/>
      <c r="H460" t="s"/>
      <c r="I460" t="s"/>
      <c r="J460" t="n">
        <v>0.7766999999999999</v>
      </c>
      <c r="K460" t="n">
        <v>0</v>
      </c>
      <c r="L460" t="n">
        <v>0.838</v>
      </c>
      <c r="M460" t="n">
        <v>0.162</v>
      </c>
    </row>
    <row r="461" spans="1:13">
      <c r="A461" s="1">
        <f>HYPERLINK("http://www.twitter.com/NathanBLawrence/status/989622939132755968", "989622939132755968")</f>
        <v/>
      </c>
      <c r="B461" s="2" t="n">
        <v>43216.91052083333</v>
      </c>
      <c r="C461" t="n">
        <v>0</v>
      </c>
      <c r="D461" t="n">
        <v>7</v>
      </c>
      <c r="E461" t="s">
        <v>469</v>
      </c>
      <c r="F461" t="s"/>
      <c r="G461" t="s"/>
      <c r="H461" t="s"/>
      <c r="I461" t="s"/>
      <c r="J461" t="n">
        <v>0.2732</v>
      </c>
      <c r="K461" t="n">
        <v>0.064</v>
      </c>
      <c r="L461" t="n">
        <v>0.822</v>
      </c>
      <c r="M461" t="n">
        <v>0.114</v>
      </c>
    </row>
    <row r="462" spans="1:13">
      <c r="A462" s="1">
        <f>HYPERLINK("http://www.twitter.com/NathanBLawrence/status/989611816882966535", "989611816882966535")</f>
        <v/>
      </c>
      <c r="B462" s="2" t="n">
        <v>43216.87982638889</v>
      </c>
      <c r="C462" t="n">
        <v>0</v>
      </c>
      <c r="D462" t="n">
        <v>22</v>
      </c>
      <c r="E462" t="s">
        <v>470</v>
      </c>
      <c r="F462">
        <f>HYPERLINK("http://pbs.twimg.com/media/DbvFm3NUQAAcr4e.jpg", "http://pbs.twimg.com/media/DbvFm3NUQAAcr4e.jpg")</f>
        <v/>
      </c>
      <c r="G462" t="s"/>
      <c r="H462" t="s"/>
      <c r="I462" t="s"/>
      <c r="J462" t="n">
        <v>0</v>
      </c>
      <c r="K462" t="n">
        <v>0</v>
      </c>
      <c r="L462" t="n">
        <v>1</v>
      </c>
      <c r="M462" t="n">
        <v>0</v>
      </c>
    </row>
    <row r="463" spans="1:13">
      <c r="A463" s="1">
        <f>HYPERLINK("http://www.twitter.com/NathanBLawrence/status/989611794439254016", "989611794439254016")</f>
        <v/>
      </c>
      <c r="B463" s="2" t="n">
        <v>43216.87976851852</v>
      </c>
      <c r="C463" t="n">
        <v>0</v>
      </c>
      <c r="D463" t="n">
        <v>10</v>
      </c>
      <c r="E463" t="s">
        <v>471</v>
      </c>
      <c r="F463">
        <f>HYPERLINK("http://pbs.twimg.com/media/DbvFnq1UwAAU6jt.jpg", "http://pbs.twimg.com/media/DbvFnq1UwAAU6jt.jpg")</f>
        <v/>
      </c>
      <c r="G463" t="s"/>
      <c r="H463" t="s"/>
      <c r="I463" t="s"/>
      <c r="J463" t="n">
        <v>0</v>
      </c>
      <c r="K463" t="n">
        <v>0</v>
      </c>
      <c r="L463" t="n">
        <v>1</v>
      </c>
      <c r="M463" t="n">
        <v>0</v>
      </c>
    </row>
    <row r="464" spans="1:13">
      <c r="A464" s="1">
        <f>HYPERLINK("http://www.twitter.com/NathanBLawrence/status/989610313187250176", "989610313187250176")</f>
        <v/>
      </c>
      <c r="B464" s="2" t="n">
        <v>43216.87568287037</v>
      </c>
      <c r="C464" t="n">
        <v>0</v>
      </c>
      <c r="D464" t="n">
        <v>229</v>
      </c>
      <c r="E464" t="s">
        <v>472</v>
      </c>
      <c r="F464">
        <f>HYPERLINK("http://pbs.twimg.com/media/DbuQhCGX0AAQqWy.jpg", "http://pbs.twimg.com/media/DbuQhCGX0AAQqWy.jpg")</f>
        <v/>
      </c>
      <c r="G464">
        <f>HYPERLINK("http://pbs.twimg.com/media/DbuQhCHW0AAQLJo.jpg", "http://pbs.twimg.com/media/DbuQhCHW0AAQLJo.jpg")</f>
        <v/>
      </c>
      <c r="H464">
        <f>HYPERLINK("http://pbs.twimg.com/media/DbuQhCAWAAA23Q7.jpg", "http://pbs.twimg.com/media/DbuQhCAWAAA23Q7.jpg")</f>
        <v/>
      </c>
      <c r="I464">
        <f>HYPERLINK("http://pbs.twimg.com/media/DbuQhCHXUAASWjI.jpg", "http://pbs.twimg.com/media/DbuQhCHXUAASWjI.jpg")</f>
        <v/>
      </c>
      <c r="J464" t="n">
        <v>0.3612</v>
      </c>
      <c r="K464" t="n">
        <v>0</v>
      </c>
      <c r="L464" t="n">
        <v>0.884</v>
      </c>
      <c r="M464" t="n">
        <v>0.116</v>
      </c>
    </row>
    <row r="465" spans="1:13">
      <c r="A465" s="1">
        <f>HYPERLINK("http://www.twitter.com/NathanBLawrence/status/989609940456296448", "989609940456296448")</f>
        <v/>
      </c>
      <c r="B465" s="2" t="n">
        <v>43216.87465277778</v>
      </c>
      <c r="C465" t="n">
        <v>0</v>
      </c>
      <c r="D465" t="n">
        <v>469</v>
      </c>
      <c r="E465" t="s">
        <v>473</v>
      </c>
      <c r="F465">
        <f>HYPERLINK("http://pbs.twimg.com/media/Dbu1a2pU8AAacWW.jpg", "http://pbs.twimg.com/media/Dbu1a2pU8AAacWW.jpg")</f>
        <v/>
      </c>
      <c r="G465" t="s"/>
      <c r="H465" t="s"/>
      <c r="I465" t="s"/>
      <c r="J465" t="n">
        <v>-0.5719</v>
      </c>
      <c r="K465" t="n">
        <v>0.289</v>
      </c>
      <c r="L465" t="n">
        <v>0.517</v>
      </c>
      <c r="M465" t="n">
        <v>0.194</v>
      </c>
    </row>
    <row r="466" spans="1:13">
      <c r="A466" s="1">
        <f>HYPERLINK("http://www.twitter.com/NathanBLawrence/status/989580748305977349", "989580748305977349")</f>
        <v/>
      </c>
      <c r="B466" s="2" t="n">
        <v>43216.79409722222</v>
      </c>
      <c r="C466" t="n">
        <v>0</v>
      </c>
      <c r="D466" t="n">
        <v>9</v>
      </c>
      <c r="E466" t="s">
        <v>474</v>
      </c>
      <c r="F466" t="s"/>
      <c r="G466" t="s"/>
      <c r="H466" t="s"/>
      <c r="I466" t="s"/>
      <c r="J466" t="n">
        <v>0.2732</v>
      </c>
      <c r="K466" t="n">
        <v>0</v>
      </c>
      <c r="L466" t="n">
        <v>0.86</v>
      </c>
      <c r="M466" t="n">
        <v>0.14</v>
      </c>
    </row>
    <row r="467" spans="1:13">
      <c r="A467" s="1">
        <f>HYPERLINK("http://www.twitter.com/NathanBLawrence/status/989577296943243264", "989577296943243264")</f>
        <v/>
      </c>
      <c r="B467" s="2" t="n">
        <v>43216.78457175926</v>
      </c>
      <c r="C467" t="n">
        <v>0</v>
      </c>
      <c r="D467" t="n">
        <v>2</v>
      </c>
      <c r="E467" t="s">
        <v>475</v>
      </c>
      <c r="F467" t="s"/>
      <c r="G467" t="s"/>
      <c r="H467" t="s"/>
      <c r="I467" t="s"/>
      <c r="J467" t="n">
        <v>0.8425</v>
      </c>
      <c r="K467" t="n">
        <v>0</v>
      </c>
      <c r="L467" t="n">
        <v>0.642</v>
      </c>
      <c r="M467" t="n">
        <v>0.358</v>
      </c>
    </row>
    <row r="468" spans="1:13">
      <c r="A468" s="1">
        <f>HYPERLINK("http://www.twitter.com/NathanBLawrence/status/989577268459704322", "989577268459704322")</f>
        <v/>
      </c>
      <c r="B468" s="2" t="n">
        <v>43216.78449074074</v>
      </c>
      <c r="C468" t="n">
        <v>0</v>
      </c>
      <c r="D468" t="n">
        <v>13</v>
      </c>
      <c r="E468" t="s">
        <v>476</v>
      </c>
      <c r="F468" t="s"/>
      <c r="G468" t="s"/>
      <c r="H468" t="s"/>
      <c r="I468" t="s"/>
      <c r="J468" t="n">
        <v>0</v>
      </c>
      <c r="K468" t="n">
        <v>0</v>
      </c>
      <c r="L468" t="n">
        <v>1</v>
      </c>
      <c r="M468" t="n">
        <v>0</v>
      </c>
    </row>
    <row r="469" spans="1:13">
      <c r="A469" s="1">
        <f>HYPERLINK("http://www.twitter.com/NathanBLawrence/status/989571585588776961", "989571585588776961")</f>
        <v/>
      </c>
      <c r="B469" s="2" t="n">
        <v>43216.76881944444</v>
      </c>
      <c r="C469" t="n">
        <v>0</v>
      </c>
      <c r="D469" t="n">
        <v>8</v>
      </c>
      <c r="E469" t="s">
        <v>477</v>
      </c>
      <c r="F469" t="s"/>
      <c r="G469" t="s"/>
      <c r="H469" t="s"/>
      <c r="I469" t="s"/>
      <c r="J469" t="n">
        <v>0.0258</v>
      </c>
      <c r="K469" t="n">
        <v>0.1</v>
      </c>
      <c r="L469" t="n">
        <v>0.795</v>
      </c>
      <c r="M469" t="n">
        <v>0.105</v>
      </c>
    </row>
    <row r="470" spans="1:13">
      <c r="A470" s="1">
        <f>HYPERLINK("http://www.twitter.com/NathanBLawrence/status/989569011120852992", "989569011120852992")</f>
        <v/>
      </c>
      <c r="B470" s="2" t="n">
        <v>43216.76171296297</v>
      </c>
      <c r="C470" t="n">
        <v>5</v>
      </c>
      <c r="D470" t="n">
        <v>0</v>
      </c>
      <c r="E470" t="s">
        <v>478</v>
      </c>
      <c r="F470" t="s"/>
      <c r="G470" t="s"/>
      <c r="H470" t="s"/>
      <c r="I470" t="s"/>
      <c r="J470" t="n">
        <v>-0.6562</v>
      </c>
      <c r="K470" t="n">
        <v>0.212</v>
      </c>
      <c r="L470" t="n">
        <v>0.708</v>
      </c>
      <c r="M470" t="n">
        <v>0.08</v>
      </c>
    </row>
    <row r="471" spans="1:13">
      <c r="A471" s="1">
        <f>HYPERLINK("http://www.twitter.com/NathanBLawrence/status/989568813241954305", "989568813241954305")</f>
        <v/>
      </c>
      <c r="B471" s="2" t="n">
        <v>43216.76116898148</v>
      </c>
      <c r="C471" t="n">
        <v>0</v>
      </c>
      <c r="D471" t="n">
        <v>1</v>
      </c>
      <c r="E471" t="s">
        <v>479</v>
      </c>
      <c r="F471" t="s"/>
      <c r="G471" t="s"/>
      <c r="H471" t="s"/>
      <c r="I471" t="s"/>
      <c r="J471" t="n">
        <v>0</v>
      </c>
      <c r="K471" t="n">
        <v>0</v>
      </c>
      <c r="L471" t="n">
        <v>1</v>
      </c>
      <c r="M471" t="n">
        <v>0</v>
      </c>
    </row>
    <row r="472" spans="1:13">
      <c r="A472" s="1">
        <f>HYPERLINK("http://www.twitter.com/NathanBLawrence/status/989568396051271680", "989568396051271680")</f>
        <v/>
      </c>
      <c r="B472" s="2" t="n">
        <v>43216.76001157407</v>
      </c>
      <c r="C472" t="n">
        <v>0</v>
      </c>
      <c r="D472" t="n">
        <v>6</v>
      </c>
      <c r="E472" t="s">
        <v>480</v>
      </c>
      <c r="F472" t="s"/>
      <c r="G472" t="s"/>
      <c r="H472" t="s"/>
      <c r="I472" t="s"/>
      <c r="J472" t="n">
        <v>-0.5266999999999999</v>
      </c>
      <c r="K472" t="n">
        <v>0.145</v>
      </c>
      <c r="L472" t="n">
        <v>0.855</v>
      </c>
      <c r="M472" t="n">
        <v>0</v>
      </c>
    </row>
    <row r="473" spans="1:13">
      <c r="A473" s="1">
        <f>HYPERLINK("http://www.twitter.com/NathanBLawrence/status/989566380344250370", "989566380344250370")</f>
        <v/>
      </c>
      <c r="B473" s="2" t="n">
        <v>43216.75444444444</v>
      </c>
      <c r="C473" t="n">
        <v>0</v>
      </c>
      <c r="D473" t="n">
        <v>161</v>
      </c>
      <c r="E473" t="s">
        <v>481</v>
      </c>
      <c r="F473">
        <f>HYPERLINK("http://pbs.twimg.com/media/Daw2JVGX4AAadGc.jpg", "http://pbs.twimg.com/media/Daw2JVGX4AAadGc.jpg")</f>
        <v/>
      </c>
      <c r="G473" t="s"/>
      <c r="H473" t="s"/>
      <c r="I473" t="s"/>
      <c r="J473" t="n">
        <v>0.4939</v>
      </c>
      <c r="K473" t="n">
        <v>0</v>
      </c>
      <c r="L473" t="n">
        <v>0.826</v>
      </c>
      <c r="M473" t="n">
        <v>0.174</v>
      </c>
    </row>
    <row r="474" spans="1:13">
      <c r="A474" s="1">
        <f>HYPERLINK("http://www.twitter.com/NathanBLawrence/status/989564514457804802", "989564514457804802")</f>
        <v/>
      </c>
      <c r="B474" s="2" t="n">
        <v>43216.74930555555</v>
      </c>
      <c r="C474" t="n">
        <v>0</v>
      </c>
      <c r="D474" t="n">
        <v>140</v>
      </c>
      <c r="E474" t="s">
        <v>482</v>
      </c>
      <c r="F474">
        <f>HYPERLINK("http://pbs.twimg.com/media/DbuhZbhUwAAr3_R.jpg", "http://pbs.twimg.com/media/DbuhZbhUwAAr3_R.jpg")</f>
        <v/>
      </c>
      <c r="G474" t="s"/>
      <c r="H474" t="s"/>
      <c r="I474" t="s"/>
      <c r="J474" t="n">
        <v>0.3612</v>
      </c>
      <c r="K474" t="n">
        <v>0</v>
      </c>
      <c r="L474" t="n">
        <v>0.894</v>
      </c>
      <c r="M474" t="n">
        <v>0.106</v>
      </c>
    </row>
    <row r="475" spans="1:13">
      <c r="A475" s="1">
        <f>HYPERLINK("http://www.twitter.com/NathanBLawrence/status/989561354687275013", "989561354687275013")</f>
        <v/>
      </c>
      <c r="B475" s="2" t="n">
        <v>43216.74057870371</v>
      </c>
      <c r="C475" t="n">
        <v>0</v>
      </c>
      <c r="D475" t="n">
        <v>313</v>
      </c>
      <c r="E475" t="s">
        <v>483</v>
      </c>
      <c r="F475" t="s"/>
      <c r="G475" t="s"/>
      <c r="H475" t="s"/>
      <c r="I475" t="s"/>
      <c r="J475" t="n">
        <v>-0.3182</v>
      </c>
      <c r="K475" t="n">
        <v>0.103</v>
      </c>
      <c r="L475" t="n">
        <v>0.897</v>
      </c>
      <c r="M475" t="n">
        <v>0</v>
      </c>
    </row>
    <row r="476" spans="1:13">
      <c r="A476" s="1">
        <f>HYPERLINK("http://www.twitter.com/NathanBLawrence/status/989549146636943362", "989549146636943362")</f>
        <v/>
      </c>
      <c r="B476" s="2" t="n">
        <v>43216.70689814815</v>
      </c>
      <c r="C476" t="n">
        <v>0</v>
      </c>
      <c r="D476" t="n">
        <v>2456</v>
      </c>
      <c r="E476" t="s">
        <v>484</v>
      </c>
      <c r="F476">
        <f>HYPERLINK("http://pbs.twimg.com/media/Dbtds7tX4AALZk1.jpg", "http://pbs.twimg.com/media/Dbtds7tX4AALZk1.jpg")</f>
        <v/>
      </c>
      <c r="G476" t="s"/>
      <c r="H476" t="s"/>
      <c r="I476" t="s"/>
      <c r="J476" t="n">
        <v>0</v>
      </c>
      <c r="K476" t="n">
        <v>0</v>
      </c>
      <c r="L476" t="n">
        <v>1</v>
      </c>
      <c r="M476" t="n">
        <v>0</v>
      </c>
    </row>
    <row r="477" spans="1:13">
      <c r="A477" s="1">
        <f>HYPERLINK("http://www.twitter.com/NathanBLawrence/status/989517256743964672", "989517256743964672")</f>
        <v/>
      </c>
      <c r="B477" s="2" t="n">
        <v>43216.61890046296</v>
      </c>
      <c r="C477" t="n">
        <v>0</v>
      </c>
      <c r="D477" t="n">
        <v>4</v>
      </c>
      <c r="E477" t="s">
        <v>485</v>
      </c>
      <c r="F477">
        <f>HYPERLINK("http://pbs.twimg.com/media/DbrzV34XcAAPehY.jpg", "http://pbs.twimg.com/media/DbrzV34XcAAPehY.jpg")</f>
        <v/>
      </c>
      <c r="G477" t="s"/>
      <c r="H477" t="s"/>
      <c r="I477" t="s"/>
      <c r="J477" t="n">
        <v>-0.7597</v>
      </c>
      <c r="K477" t="n">
        <v>0.246</v>
      </c>
      <c r="L477" t="n">
        <v>0.754</v>
      </c>
      <c r="M477" t="n">
        <v>0</v>
      </c>
    </row>
    <row r="478" spans="1:13">
      <c r="A478" s="1">
        <f>HYPERLINK("http://www.twitter.com/NathanBLawrence/status/989378463411863552", "989378463411863552")</f>
        <v/>
      </c>
      <c r="B478" s="2" t="n">
        <v>43216.23590277778</v>
      </c>
      <c r="C478" t="n">
        <v>0</v>
      </c>
      <c r="D478" t="n">
        <v>854</v>
      </c>
      <c r="E478" t="s">
        <v>486</v>
      </c>
      <c r="F478" t="s"/>
      <c r="G478" t="s"/>
      <c r="H478" t="s"/>
      <c r="I478" t="s"/>
      <c r="J478" t="n">
        <v>0</v>
      </c>
      <c r="K478" t="n">
        <v>0</v>
      </c>
      <c r="L478" t="n">
        <v>1</v>
      </c>
      <c r="M478" t="n">
        <v>0</v>
      </c>
    </row>
    <row r="479" spans="1:13">
      <c r="A479" s="1">
        <f>HYPERLINK("http://www.twitter.com/NathanBLawrence/status/989370639470465025", "989370639470465025")</f>
        <v/>
      </c>
      <c r="B479" s="2" t="n">
        <v>43216.21430555556</v>
      </c>
      <c r="C479" t="n">
        <v>5</v>
      </c>
      <c r="D479" t="n">
        <v>4</v>
      </c>
      <c r="E479" t="s">
        <v>487</v>
      </c>
      <c r="F479">
        <f>HYPERLINK("http://pbs.twimg.com/media/DbrzV34XcAAPehY.jpg", "http://pbs.twimg.com/media/DbrzV34XcAAPehY.jpg")</f>
        <v/>
      </c>
      <c r="G479" t="s"/>
      <c r="H479" t="s"/>
      <c r="I479" t="s"/>
      <c r="J479" t="n">
        <v>-0.8723</v>
      </c>
      <c r="K479" t="n">
        <v>0.236</v>
      </c>
      <c r="L479" t="n">
        <v>0.671</v>
      </c>
      <c r="M479" t="n">
        <v>0.093</v>
      </c>
    </row>
    <row r="480" spans="1:13">
      <c r="A480" s="1">
        <f>HYPERLINK("http://www.twitter.com/NathanBLawrence/status/989338557058879490", "989338557058879490")</f>
        <v/>
      </c>
      <c r="B480" s="2" t="n">
        <v>43216.12577546296</v>
      </c>
      <c r="C480" t="n">
        <v>0</v>
      </c>
      <c r="D480" t="n">
        <v>5</v>
      </c>
      <c r="E480" t="s">
        <v>488</v>
      </c>
      <c r="F480" t="s"/>
      <c r="G480" t="s"/>
      <c r="H480" t="s"/>
      <c r="I480" t="s"/>
      <c r="J480" t="n">
        <v>0.4939</v>
      </c>
      <c r="K480" t="n">
        <v>0</v>
      </c>
      <c r="L480" t="n">
        <v>0.868</v>
      </c>
      <c r="M480" t="n">
        <v>0.132</v>
      </c>
    </row>
    <row r="481" spans="1:13">
      <c r="A481" s="1">
        <f>HYPERLINK("http://www.twitter.com/NathanBLawrence/status/989334202431823873", "989334202431823873")</f>
        <v/>
      </c>
      <c r="B481" s="2" t="n">
        <v>43216.11376157407</v>
      </c>
      <c r="C481" t="n">
        <v>0</v>
      </c>
      <c r="D481" t="n">
        <v>7704</v>
      </c>
      <c r="E481" t="s">
        <v>489</v>
      </c>
      <c r="F481" t="s"/>
      <c r="G481" t="s"/>
      <c r="H481" t="s"/>
      <c r="I481" t="s"/>
      <c r="J481" t="n">
        <v>-0.8625</v>
      </c>
      <c r="K481" t="n">
        <v>0.281</v>
      </c>
      <c r="L481" t="n">
        <v>0.719</v>
      </c>
      <c r="M481" t="n">
        <v>0</v>
      </c>
    </row>
    <row r="482" spans="1:13">
      <c r="A482" s="1">
        <f>HYPERLINK("http://www.twitter.com/NathanBLawrence/status/989328557812994048", "989328557812994048")</f>
        <v/>
      </c>
      <c r="B482" s="2" t="n">
        <v>43216.09818287037</v>
      </c>
      <c r="C482" t="n">
        <v>0</v>
      </c>
      <c r="D482" t="n">
        <v>1</v>
      </c>
      <c r="E482" t="s">
        <v>490</v>
      </c>
      <c r="F482" t="s"/>
      <c r="G482" t="s"/>
      <c r="H482" t="s"/>
      <c r="I482" t="s"/>
      <c r="J482" t="n">
        <v>0.4753</v>
      </c>
      <c r="K482" t="n">
        <v>0.077</v>
      </c>
      <c r="L482" t="n">
        <v>0.737</v>
      </c>
      <c r="M482" t="n">
        <v>0.186</v>
      </c>
    </row>
    <row r="483" spans="1:13">
      <c r="A483" s="1">
        <f>HYPERLINK("http://www.twitter.com/NathanBLawrence/status/989311717384519680", "989311717384519680")</f>
        <v/>
      </c>
      <c r="B483" s="2" t="n">
        <v>43216.05171296297</v>
      </c>
      <c r="C483" t="n">
        <v>0</v>
      </c>
      <c r="D483" t="n">
        <v>12</v>
      </c>
      <c r="E483" t="s">
        <v>491</v>
      </c>
      <c r="F483" t="s"/>
      <c r="G483" t="s"/>
      <c r="H483" t="s"/>
      <c r="I483" t="s"/>
      <c r="J483" t="n">
        <v>-0.4588</v>
      </c>
      <c r="K483" t="n">
        <v>0.241</v>
      </c>
      <c r="L483" t="n">
        <v>0.667</v>
      </c>
      <c r="M483" t="n">
        <v>0.093</v>
      </c>
    </row>
    <row r="484" spans="1:13">
      <c r="A484" s="1">
        <f>HYPERLINK("http://www.twitter.com/NathanBLawrence/status/989309968129110016", "989309968129110016")</f>
        <v/>
      </c>
      <c r="B484" s="2" t="n">
        <v>43216.04688657408</v>
      </c>
      <c r="C484" t="n">
        <v>4</v>
      </c>
      <c r="D484" t="n">
        <v>0</v>
      </c>
      <c r="E484" t="s">
        <v>492</v>
      </c>
      <c r="F484" t="s"/>
      <c r="G484" t="s"/>
      <c r="H484" t="s"/>
      <c r="I484" t="s"/>
      <c r="J484" t="n">
        <v>0</v>
      </c>
      <c r="K484" t="n">
        <v>0</v>
      </c>
      <c r="L484" t="n">
        <v>1</v>
      </c>
      <c r="M484" t="n">
        <v>0</v>
      </c>
    </row>
    <row r="485" spans="1:13">
      <c r="A485" s="1">
        <f>HYPERLINK("http://www.twitter.com/NathanBLawrence/status/989307854799634433", "989307854799634433")</f>
        <v/>
      </c>
      <c r="B485" s="2" t="n">
        <v>43216.04105324074</v>
      </c>
      <c r="C485" t="n">
        <v>0</v>
      </c>
      <c r="D485" t="n">
        <v>60123</v>
      </c>
      <c r="E485" t="s">
        <v>493</v>
      </c>
      <c r="F485">
        <f>HYPERLINK("http://pbs.twimg.com/media/Dbpw2J4UwAA9vzT.jpg", "http://pbs.twimg.com/media/Dbpw2J4UwAA9vzT.jpg")</f>
        <v/>
      </c>
      <c r="G485" t="s"/>
      <c r="H485" t="s"/>
      <c r="I485" t="s"/>
      <c r="J485" t="n">
        <v>0</v>
      </c>
      <c r="K485" t="n">
        <v>0</v>
      </c>
      <c r="L485" t="n">
        <v>1</v>
      </c>
      <c r="M485" t="n">
        <v>0</v>
      </c>
    </row>
    <row r="486" spans="1:13">
      <c r="A486" s="1">
        <f>HYPERLINK("http://www.twitter.com/NathanBLawrence/status/989307458505109504", "989307458505109504")</f>
        <v/>
      </c>
      <c r="B486" s="2" t="n">
        <v>43216.03996527778</v>
      </c>
      <c r="C486" t="n">
        <v>0</v>
      </c>
      <c r="D486" t="n">
        <v>19390</v>
      </c>
      <c r="E486" t="s">
        <v>494</v>
      </c>
      <c r="F486">
        <f>HYPERLINK("http://pbs.twimg.com/media/DbqgJqDVQAEq5Bw.jpg", "http://pbs.twimg.com/media/DbqgJqDVQAEq5Bw.jpg")</f>
        <v/>
      </c>
      <c r="G486" t="s"/>
      <c r="H486" t="s"/>
      <c r="I486" t="s"/>
      <c r="J486" t="n">
        <v>0</v>
      </c>
      <c r="K486" t="n">
        <v>0</v>
      </c>
      <c r="L486" t="n">
        <v>1</v>
      </c>
      <c r="M486" t="n">
        <v>0</v>
      </c>
    </row>
    <row r="487" spans="1:13">
      <c r="A487" s="1">
        <f>HYPERLINK("http://www.twitter.com/NathanBLawrence/status/989307097102929921", "989307097102929921")</f>
        <v/>
      </c>
      <c r="B487" s="2" t="n">
        <v>43216.03896990741</v>
      </c>
      <c r="C487" t="n">
        <v>0</v>
      </c>
      <c r="D487" t="n">
        <v>38</v>
      </c>
      <c r="E487" t="s">
        <v>495</v>
      </c>
      <c r="F487">
        <f>HYPERLINK("http://pbs.twimg.com/media/Dbqh197XcAAZ1fB.jpg", "http://pbs.twimg.com/media/Dbqh197XcAAZ1fB.jpg")</f>
        <v/>
      </c>
      <c r="G487" t="s"/>
      <c r="H487" t="s"/>
      <c r="I487" t="s"/>
      <c r="J487" t="n">
        <v>0</v>
      </c>
      <c r="K487" t="n">
        <v>0</v>
      </c>
      <c r="L487" t="n">
        <v>1</v>
      </c>
      <c r="M487" t="n">
        <v>0</v>
      </c>
    </row>
    <row r="488" spans="1:13">
      <c r="A488" s="1">
        <f>HYPERLINK("http://www.twitter.com/NathanBLawrence/status/989305257422413826", "989305257422413826")</f>
        <v/>
      </c>
      <c r="B488" s="2" t="n">
        <v>43216.03388888889</v>
      </c>
      <c r="C488" t="n">
        <v>0</v>
      </c>
      <c r="D488" t="n">
        <v>740</v>
      </c>
      <c r="E488" t="s">
        <v>496</v>
      </c>
      <c r="F488">
        <f>HYPERLINK("http://pbs.twimg.com/media/Dbpw2XiUQAEwD8l.jpg", "http://pbs.twimg.com/media/Dbpw2XiUQAEwD8l.jpg")</f>
        <v/>
      </c>
      <c r="G488" t="s"/>
      <c r="H488" t="s"/>
      <c r="I488" t="s"/>
      <c r="J488" t="n">
        <v>0.6486</v>
      </c>
      <c r="K488" t="n">
        <v>0</v>
      </c>
      <c r="L488" t="n">
        <v>0.751</v>
      </c>
      <c r="M488" t="n">
        <v>0.249</v>
      </c>
    </row>
    <row r="489" spans="1:13">
      <c r="A489" s="1">
        <f>HYPERLINK("http://www.twitter.com/NathanBLawrence/status/989305052274790400", "989305052274790400")</f>
        <v/>
      </c>
      <c r="B489" s="2" t="n">
        <v>43216.03332175926</v>
      </c>
      <c r="C489" t="n">
        <v>0</v>
      </c>
      <c r="D489" t="n">
        <v>1288</v>
      </c>
      <c r="E489" t="s">
        <v>497</v>
      </c>
      <c r="F489">
        <f>HYPERLINK("https://video.twimg.com/ext_tw_video/903725987980083200/pu/vid/1280x720/6_WREZ4UYdAirxSA.mp4", "https://video.twimg.com/ext_tw_video/903725987980083200/pu/vid/1280x720/6_WREZ4UYdAirxSA.mp4")</f>
        <v/>
      </c>
      <c r="G489" t="s"/>
      <c r="H489" t="s"/>
      <c r="I489" t="s"/>
      <c r="J489" t="n">
        <v>0.7184</v>
      </c>
      <c r="K489" t="n">
        <v>0</v>
      </c>
      <c r="L489" t="n">
        <v>0.778</v>
      </c>
      <c r="M489" t="n">
        <v>0.222</v>
      </c>
    </row>
    <row r="490" spans="1:13">
      <c r="A490" s="1">
        <f>HYPERLINK("http://www.twitter.com/NathanBLawrence/status/989293877327736832", "989293877327736832")</f>
        <v/>
      </c>
      <c r="B490" s="2" t="n">
        <v>43216.00248842593</v>
      </c>
      <c r="C490" t="n">
        <v>0</v>
      </c>
      <c r="D490" t="n">
        <v>19</v>
      </c>
      <c r="E490" t="s">
        <v>498</v>
      </c>
      <c r="F490">
        <f>HYPERLINK("http://pbs.twimg.com/media/DbqlEKGW0AUdVFf.jpg", "http://pbs.twimg.com/media/DbqlEKGW0AUdVFf.jpg")</f>
        <v/>
      </c>
      <c r="G490">
        <f>HYPERLINK("http://pbs.twimg.com/media/DbqlEvWWkAEg20c.jpg", "http://pbs.twimg.com/media/DbqlEvWWkAEg20c.jpg")</f>
        <v/>
      </c>
      <c r="H490" t="s"/>
      <c r="I490" t="s"/>
      <c r="J490" t="n">
        <v>-0.5266999999999999</v>
      </c>
      <c r="K490" t="n">
        <v>0.145</v>
      </c>
      <c r="L490" t="n">
        <v>0.855</v>
      </c>
      <c r="M490" t="n">
        <v>0</v>
      </c>
    </row>
    <row r="491" spans="1:13">
      <c r="A491" s="1">
        <f>HYPERLINK("http://www.twitter.com/NathanBLawrence/status/989293863977345024", "989293863977345024")</f>
        <v/>
      </c>
      <c r="B491" s="2" t="n">
        <v>43216.0024537037</v>
      </c>
      <c r="C491" t="n">
        <v>0</v>
      </c>
      <c r="D491" t="n">
        <v>6</v>
      </c>
      <c r="E491" t="s">
        <v>499</v>
      </c>
      <c r="F491" t="s"/>
      <c r="G491" t="s"/>
      <c r="H491" t="s"/>
      <c r="I491" t="s"/>
      <c r="J491" t="n">
        <v>0</v>
      </c>
      <c r="K491" t="n">
        <v>0</v>
      </c>
      <c r="L491" t="n">
        <v>1</v>
      </c>
      <c r="M491" t="n">
        <v>0</v>
      </c>
    </row>
    <row r="492" spans="1:13">
      <c r="A492" s="1">
        <f>HYPERLINK("http://www.twitter.com/NathanBLawrence/status/989293578395451393", "989293578395451393")</f>
        <v/>
      </c>
      <c r="B492" s="2" t="n">
        <v>43216.00165509259</v>
      </c>
      <c r="C492" t="n">
        <v>4</v>
      </c>
      <c r="D492" t="n">
        <v>6</v>
      </c>
      <c r="E492" t="s">
        <v>500</v>
      </c>
      <c r="F492" t="s"/>
      <c r="G492" t="s"/>
      <c r="H492" t="s"/>
      <c r="I492" t="s"/>
      <c r="J492" t="n">
        <v>-0.7944</v>
      </c>
      <c r="K492" t="n">
        <v>0.126</v>
      </c>
      <c r="L492" t="n">
        <v>0.874</v>
      </c>
      <c r="M492" t="n">
        <v>0</v>
      </c>
    </row>
    <row r="493" spans="1:13">
      <c r="A493" s="1">
        <f>HYPERLINK("http://www.twitter.com/NathanBLawrence/status/989284701180497920", "989284701180497920")</f>
        <v/>
      </c>
      <c r="B493" s="2" t="n">
        <v>43215.97716435185</v>
      </c>
      <c r="C493" t="n">
        <v>0</v>
      </c>
      <c r="D493" t="n">
        <v>47</v>
      </c>
      <c r="E493" t="s">
        <v>501</v>
      </c>
      <c r="F493" t="s"/>
      <c r="G493" t="s"/>
      <c r="H493" t="s"/>
      <c r="I493" t="s"/>
      <c r="J493" t="n">
        <v>-0.3612</v>
      </c>
      <c r="K493" t="n">
        <v>0.116</v>
      </c>
      <c r="L493" t="n">
        <v>0.884</v>
      </c>
      <c r="M493" t="n">
        <v>0</v>
      </c>
    </row>
    <row r="494" spans="1:13">
      <c r="A494" s="1">
        <f>HYPERLINK("http://www.twitter.com/NathanBLawrence/status/989284691021828096", "989284691021828096")</f>
        <v/>
      </c>
      <c r="B494" s="2" t="n">
        <v>43215.9771412037</v>
      </c>
      <c r="C494" t="n">
        <v>0</v>
      </c>
      <c r="D494" t="n">
        <v>4</v>
      </c>
      <c r="E494" t="s">
        <v>502</v>
      </c>
      <c r="F494" t="s"/>
      <c r="G494" t="s"/>
      <c r="H494" t="s"/>
      <c r="I494" t="s"/>
      <c r="J494" t="n">
        <v>0</v>
      </c>
      <c r="K494" t="n">
        <v>0</v>
      </c>
      <c r="L494" t="n">
        <v>1</v>
      </c>
      <c r="M494" t="n">
        <v>0</v>
      </c>
    </row>
    <row r="495" spans="1:13">
      <c r="A495" s="1">
        <f>HYPERLINK("http://www.twitter.com/NathanBLawrence/status/989284621790666752", "989284621790666752")</f>
        <v/>
      </c>
      <c r="B495" s="2" t="n">
        <v>43215.97694444445</v>
      </c>
      <c r="C495" t="n">
        <v>3</v>
      </c>
      <c r="D495" t="n">
        <v>4</v>
      </c>
      <c r="E495" t="s">
        <v>503</v>
      </c>
      <c r="F495" t="s"/>
      <c r="G495" t="s"/>
      <c r="H495" t="s"/>
      <c r="I495" t="s"/>
      <c r="J495" t="n">
        <v>0</v>
      </c>
      <c r="K495" t="n">
        <v>0</v>
      </c>
      <c r="L495" t="n">
        <v>1</v>
      </c>
      <c r="M495" t="n">
        <v>0</v>
      </c>
    </row>
    <row r="496" spans="1:13">
      <c r="A496" s="1">
        <f>HYPERLINK("http://www.twitter.com/NathanBLawrence/status/989283798385856518", "989283798385856518")</f>
        <v/>
      </c>
      <c r="B496" s="2" t="n">
        <v>43215.97467592593</v>
      </c>
      <c r="C496" t="n">
        <v>0</v>
      </c>
      <c r="D496" t="n">
        <v>2</v>
      </c>
      <c r="E496" t="s">
        <v>504</v>
      </c>
      <c r="F496" t="s"/>
      <c r="G496" t="s"/>
      <c r="H496" t="s"/>
      <c r="I496" t="s"/>
      <c r="J496" t="n">
        <v>0</v>
      </c>
      <c r="K496" t="n">
        <v>0</v>
      </c>
      <c r="L496" t="n">
        <v>1</v>
      </c>
      <c r="M496" t="n">
        <v>0</v>
      </c>
    </row>
    <row r="497" spans="1:13">
      <c r="A497" s="1">
        <f>HYPERLINK("http://www.twitter.com/NathanBLawrence/status/989283745743163392", "989283745743163392")</f>
        <v/>
      </c>
      <c r="B497" s="2" t="n">
        <v>43215.97452546296</v>
      </c>
      <c r="C497" t="n">
        <v>0</v>
      </c>
      <c r="D497" t="n">
        <v>7</v>
      </c>
      <c r="E497" t="s">
        <v>505</v>
      </c>
      <c r="F497" t="s"/>
      <c r="G497" t="s"/>
      <c r="H497" t="s"/>
      <c r="I497" t="s"/>
      <c r="J497" t="n">
        <v>0</v>
      </c>
      <c r="K497" t="n">
        <v>0</v>
      </c>
      <c r="L497" t="n">
        <v>1</v>
      </c>
      <c r="M497" t="n">
        <v>0</v>
      </c>
    </row>
    <row r="498" spans="1:13">
      <c r="A498" s="1">
        <f>HYPERLINK("http://www.twitter.com/NathanBLawrence/status/989283573256671233", "989283573256671233")</f>
        <v/>
      </c>
      <c r="B498" s="2" t="n">
        <v>43215.97405092593</v>
      </c>
      <c r="C498" t="n">
        <v>0</v>
      </c>
      <c r="D498" t="n">
        <v>1</v>
      </c>
      <c r="E498" t="s">
        <v>506</v>
      </c>
      <c r="F498">
        <f>HYPERLINK("http://pbs.twimg.com/media/Dao-GOyVwAALEOr.jpg", "http://pbs.twimg.com/media/Dao-GOyVwAALEOr.jpg")</f>
        <v/>
      </c>
      <c r="G498" t="s"/>
      <c r="H498" t="s"/>
      <c r="I498" t="s"/>
      <c r="J498" t="n">
        <v>0</v>
      </c>
      <c r="K498" t="n">
        <v>0</v>
      </c>
      <c r="L498" t="n">
        <v>1</v>
      </c>
      <c r="M498" t="n">
        <v>0</v>
      </c>
    </row>
    <row r="499" spans="1:13">
      <c r="A499" s="1">
        <f>HYPERLINK("http://www.twitter.com/NathanBLawrence/status/989283480340254721", "989283480340254721")</f>
        <v/>
      </c>
      <c r="B499" s="2" t="n">
        <v>43215.9737962963</v>
      </c>
      <c r="C499" t="n">
        <v>0</v>
      </c>
      <c r="D499" t="n">
        <v>116</v>
      </c>
      <c r="E499" t="s">
        <v>507</v>
      </c>
      <c r="F499">
        <f>HYPERLINK("https://video.twimg.com/ext_tw_video/983107975245017088/pu/vid/1280x720/fR2ZeXhjtgQCKjeh.mp4?tag=2", "https://video.twimg.com/ext_tw_video/983107975245017088/pu/vid/1280x720/fR2ZeXhjtgQCKjeh.mp4?tag=2")</f>
        <v/>
      </c>
      <c r="G499" t="s"/>
      <c r="H499" t="s"/>
      <c r="I499" t="s"/>
      <c r="J499" t="n">
        <v>-0.5473</v>
      </c>
      <c r="K499" t="n">
        <v>0.219</v>
      </c>
      <c r="L499" t="n">
        <v>0.6899999999999999</v>
      </c>
      <c r="M499" t="n">
        <v>0.091</v>
      </c>
    </row>
    <row r="500" spans="1:13">
      <c r="A500" s="1">
        <f>HYPERLINK("http://www.twitter.com/NathanBLawrence/status/989280776826089472", "989280776826089472")</f>
        <v/>
      </c>
      <c r="B500" s="2" t="n">
        <v>43215.96633101852</v>
      </c>
      <c r="C500" t="n">
        <v>0</v>
      </c>
      <c r="D500" t="n">
        <v>7</v>
      </c>
      <c r="E500" t="s">
        <v>508</v>
      </c>
      <c r="F500" t="s"/>
      <c r="G500" t="s"/>
      <c r="H500" t="s"/>
      <c r="I500" t="s"/>
      <c r="J500" t="n">
        <v>-0.4019</v>
      </c>
      <c r="K500" t="n">
        <v>0.153</v>
      </c>
      <c r="L500" t="n">
        <v>0.847</v>
      </c>
      <c r="M500" t="n">
        <v>0</v>
      </c>
    </row>
    <row r="501" spans="1:13">
      <c r="A501" s="1">
        <f>HYPERLINK("http://www.twitter.com/NathanBLawrence/status/989280677433692160", "989280677433692160")</f>
        <v/>
      </c>
      <c r="B501" s="2" t="n">
        <v>43215.96606481481</v>
      </c>
      <c r="C501" t="n">
        <v>0</v>
      </c>
      <c r="D501" t="n">
        <v>9</v>
      </c>
      <c r="E501" t="s">
        <v>509</v>
      </c>
      <c r="F501">
        <f>HYPERLINK("http://pbs.twimg.com/media/Dbqg9jkWkAAKuxA.jpg", "http://pbs.twimg.com/media/Dbqg9jkWkAAKuxA.jpg")</f>
        <v/>
      </c>
      <c r="G501" t="s"/>
      <c r="H501" t="s"/>
      <c r="I501" t="s"/>
      <c r="J501" t="n">
        <v>0</v>
      </c>
      <c r="K501" t="n">
        <v>0</v>
      </c>
      <c r="L501" t="n">
        <v>1</v>
      </c>
      <c r="M501" t="n">
        <v>0</v>
      </c>
    </row>
    <row r="502" spans="1:13">
      <c r="A502" s="1">
        <f>HYPERLINK("http://www.twitter.com/NathanBLawrence/status/989280625617260545", "989280625617260545")</f>
        <v/>
      </c>
      <c r="B502" s="2" t="n">
        <v>43215.96591435185</v>
      </c>
      <c r="C502" t="n">
        <v>0</v>
      </c>
      <c r="D502" t="n">
        <v>5</v>
      </c>
      <c r="E502" t="s">
        <v>509</v>
      </c>
      <c r="F502">
        <f>HYPERLINK("http://pbs.twimg.com/media/DbqeQ0VV4AAuEXn.jpg", "http://pbs.twimg.com/media/DbqeQ0VV4AAuEXn.jpg")</f>
        <v/>
      </c>
      <c r="G502" t="s"/>
      <c r="H502" t="s"/>
      <c r="I502" t="s"/>
      <c r="J502" t="n">
        <v>0</v>
      </c>
      <c r="K502" t="n">
        <v>0</v>
      </c>
      <c r="L502" t="n">
        <v>1</v>
      </c>
      <c r="M502" t="n">
        <v>0</v>
      </c>
    </row>
    <row r="503" spans="1:13">
      <c r="A503" s="1">
        <f>HYPERLINK("http://www.twitter.com/NathanBLawrence/status/989280056827662336", "989280056827662336")</f>
        <v/>
      </c>
      <c r="B503" s="2" t="n">
        <v>43215.96435185185</v>
      </c>
      <c r="C503" t="n">
        <v>9</v>
      </c>
      <c r="D503" t="n">
        <v>9</v>
      </c>
      <c r="E503" t="s">
        <v>510</v>
      </c>
      <c r="F503">
        <f>HYPERLINK("http://pbs.twimg.com/media/Dbqg9jkWkAAKuxA.jpg", "http://pbs.twimg.com/media/Dbqg9jkWkAAKuxA.jpg")</f>
        <v/>
      </c>
      <c r="G503" t="s"/>
      <c r="H503" t="s"/>
      <c r="I503" t="s"/>
      <c r="J503" t="n">
        <v>0.2244</v>
      </c>
      <c r="K503" t="n">
        <v>0.082</v>
      </c>
      <c r="L503" t="n">
        <v>0.8</v>
      </c>
      <c r="M503" t="n">
        <v>0.118</v>
      </c>
    </row>
    <row r="504" spans="1:13">
      <c r="A504" s="1">
        <f>HYPERLINK("http://www.twitter.com/NathanBLawrence/status/989277367481896961", "989277367481896961")</f>
        <v/>
      </c>
      <c r="B504" s="2" t="n">
        <v>43215.9569212963</v>
      </c>
      <c r="C504" t="n">
        <v>2</v>
      </c>
      <c r="D504" t="n">
        <v>1</v>
      </c>
      <c r="E504" t="s">
        <v>511</v>
      </c>
      <c r="F504">
        <f>HYPERLINK("http://pbs.twimg.com/media/Dbqeg-qVMAAw3dX.jpg", "http://pbs.twimg.com/media/Dbqeg-qVMAAw3dX.jpg")</f>
        <v/>
      </c>
      <c r="G504" t="s"/>
      <c r="H504" t="s"/>
      <c r="I504" t="s"/>
      <c r="J504" t="n">
        <v>0</v>
      </c>
      <c r="K504" t="n">
        <v>0</v>
      </c>
      <c r="L504" t="n">
        <v>1</v>
      </c>
      <c r="M504" t="n">
        <v>0</v>
      </c>
    </row>
    <row r="505" spans="1:13">
      <c r="A505" s="1">
        <f>HYPERLINK("http://www.twitter.com/NathanBLawrence/status/989277089223364609", "989277089223364609")</f>
        <v/>
      </c>
      <c r="B505" s="2" t="n">
        <v>43215.95615740741</v>
      </c>
      <c r="C505" t="n">
        <v>4</v>
      </c>
      <c r="D505" t="n">
        <v>5</v>
      </c>
      <c r="E505" t="s">
        <v>512</v>
      </c>
      <c r="F505">
        <f>HYPERLINK("http://pbs.twimg.com/media/DbqeQ0VV4AAuEXn.jpg", "http://pbs.twimg.com/media/DbqeQ0VV4AAuEXn.jpg")</f>
        <v/>
      </c>
      <c r="G505" t="s"/>
      <c r="H505" t="s"/>
      <c r="I505" t="s"/>
      <c r="J505" t="n">
        <v>0.5108</v>
      </c>
      <c r="K505" t="n">
        <v>0.068</v>
      </c>
      <c r="L505" t="n">
        <v>0.8090000000000001</v>
      </c>
      <c r="M505" t="n">
        <v>0.123</v>
      </c>
    </row>
    <row r="506" spans="1:13">
      <c r="A506" s="1">
        <f>HYPERLINK("http://www.twitter.com/NathanBLawrence/status/989269818552520709", "989269818552520709")</f>
        <v/>
      </c>
      <c r="B506" s="2" t="n">
        <v>43215.93609953704</v>
      </c>
      <c r="C506" t="n">
        <v>0</v>
      </c>
      <c r="D506" t="n">
        <v>13</v>
      </c>
      <c r="E506" t="s">
        <v>513</v>
      </c>
      <c r="F506">
        <f>HYPERLINK("http://pbs.twimg.com/media/DbqFcMFVAAEqRlL.jpg", "http://pbs.twimg.com/media/DbqFcMFVAAEqRlL.jpg")</f>
        <v/>
      </c>
      <c r="G506" t="s"/>
      <c r="H506" t="s"/>
      <c r="I506" t="s"/>
      <c r="J506" t="n">
        <v>0.34</v>
      </c>
      <c r="K506" t="n">
        <v>0</v>
      </c>
      <c r="L506" t="n">
        <v>0.876</v>
      </c>
      <c r="M506" t="n">
        <v>0.124</v>
      </c>
    </row>
    <row r="507" spans="1:13">
      <c r="A507" s="1">
        <f>HYPERLINK("http://www.twitter.com/NathanBLawrence/status/989247930119966720", "989247930119966720")</f>
        <v/>
      </c>
      <c r="B507" s="2" t="n">
        <v>43215.87569444445</v>
      </c>
      <c r="C507" t="n">
        <v>0</v>
      </c>
      <c r="D507" t="n">
        <v>11</v>
      </c>
      <c r="E507" t="s">
        <v>513</v>
      </c>
      <c r="F507">
        <f>HYPERLINK("http://pbs.twimg.com/media/DbqBkZFXkAE6aJP.jpg", "http://pbs.twimg.com/media/DbqBkZFXkAE6aJP.jpg")</f>
        <v/>
      </c>
      <c r="G507" t="s"/>
      <c r="H507" t="s"/>
      <c r="I507" t="s"/>
      <c r="J507" t="n">
        <v>0.34</v>
      </c>
      <c r="K507" t="n">
        <v>0</v>
      </c>
      <c r="L507" t="n">
        <v>0.876</v>
      </c>
      <c r="M507" t="n">
        <v>0.124</v>
      </c>
    </row>
    <row r="508" spans="1:13">
      <c r="A508" s="1">
        <f>HYPERLINK("http://www.twitter.com/NathanBLawrence/status/989244776456314883", "989244776456314883")</f>
        <v/>
      </c>
      <c r="B508" s="2" t="n">
        <v>43215.86699074074</v>
      </c>
      <c r="C508" t="n">
        <v>0</v>
      </c>
      <c r="D508" t="n">
        <v>3</v>
      </c>
      <c r="E508" t="s">
        <v>514</v>
      </c>
      <c r="F508" t="s"/>
      <c r="G508" t="s"/>
      <c r="H508" t="s"/>
      <c r="I508" t="s"/>
      <c r="J508" t="n">
        <v>-0.8270999999999999</v>
      </c>
      <c r="K508" t="n">
        <v>0.278</v>
      </c>
      <c r="L508" t="n">
        <v>0.722</v>
      </c>
      <c r="M508" t="n">
        <v>0</v>
      </c>
    </row>
    <row r="509" spans="1:13">
      <c r="A509" s="1">
        <f>HYPERLINK("http://www.twitter.com/NathanBLawrence/status/989244247168700416", "989244247168700416")</f>
        <v/>
      </c>
      <c r="B509" s="2" t="n">
        <v>43215.86553240741</v>
      </c>
      <c r="C509" t="n">
        <v>0</v>
      </c>
      <c r="D509" t="n">
        <v>13</v>
      </c>
      <c r="E509" t="s">
        <v>515</v>
      </c>
      <c r="F509">
        <f>HYPERLINK("http://pbs.twimg.com/media/DbpOJ2ZUwAEjEXr.jpg", "http://pbs.twimg.com/media/DbpOJ2ZUwAEjEXr.jpg")</f>
        <v/>
      </c>
      <c r="G509" t="s"/>
      <c r="H509" t="s"/>
      <c r="I509" t="s"/>
      <c r="J509" t="n">
        <v>0</v>
      </c>
      <c r="K509" t="n">
        <v>0</v>
      </c>
      <c r="L509" t="n">
        <v>1</v>
      </c>
      <c r="M509" t="n">
        <v>0</v>
      </c>
    </row>
    <row r="510" spans="1:13">
      <c r="A510" s="1">
        <f>HYPERLINK("http://www.twitter.com/NathanBLawrence/status/989227883934769153", "989227883934769153")</f>
        <v/>
      </c>
      <c r="B510" s="2" t="n">
        <v>43215.82038194445</v>
      </c>
      <c r="C510" t="n">
        <v>0</v>
      </c>
      <c r="D510" t="n">
        <v>330</v>
      </c>
      <c r="E510" t="s">
        <v>516</v>
      </c>
      <c r="F510">
        <f>HYPERLINK("http://pbs.twimg.com/media/DbppNSmUwAAXHZi.jpg", "http://pbs.twimg.com/media/DbppNSmUwAAXHZi.jpg")</f>
        <v/>
      </c>
      <c r="G510" t="s"/>
      <c r="H510" t="s"/>
      <c r="I510" t="s"/>
      <c r="J510" t="n">
        <v>-0.6705</v>
      </c>
      <c r="K510" t="n">
        <v>0.209</v>
      </c>
      <c r="L510" t="n">
        <v>0.791</v>
      </c>
      <c r="M510" t="n">
        <v>0</v>
      </c>
    </row>
    <row r="511" spans="1:13">
      <c r="A511" s="1">
        <f>HYPERLINK("http://www.twitter.com/NathanBLawrence/status/989220747540385793", "989220747540385793")</f>
        <v/>
      </c>
      <c r="B511" s="2" t="n">
        <v>43215.80068287037</v>
      </c>
      <c r="C511" t="n">
        <v>0</v>
      </c>
      <c r="D511" t="n">
        <v>25</v>
      </c>
      <c r="E511" t="s">
        <v>517</v>
      </c>
      <c r="F511">
        <f>HYPERLINK("http://pbs.twimg.com/media/DbpLpd1XUAEWv5a.jpg", "http://pbs.twimg.com/media/DbpLpd1XUAEWv5a.jpg")</f>
        <v/>
      </c>
      <c r="G511">
        <f>HYPERLINK("http://pbs.twimg.com/media/DbpLpd0X4AAoUkJ.jpg", "http://pbs.twimg.com/media/DbpLpd0X4AAoUkJ.jpg")</f>
        <v/>
      </c>
      <c r="H511">
        <f>HYPERLINK("http://pbs.twimg.com/media/DbpLpd0XUAUOJp3.jpg", "http://pbs.twimg.com/media/DbpLpd0XUAUOJp3.jpg")</f>
        <v/>
      </c>
      <c r="I511">
        <f>HYPERLINK("http://pbs.twimg.com/media/DbpLpd3WkAAJ87I.jpg", "http://pbs.twimg.com/media/DbpLpd3WkAAJ87I.jpg")</f>
        <v/>
      </c>
      <c r="J511" t="n">
        <v>-0.7906</v>
      </c>
      <c r="K511" t="n">
        <v>0.269</v>
      </c>
      <c r="L511" t="n">
        <v>0.731</v>
      </c>
      <c r="M511" t="n">
        <v>0</v>
      </c>
    </row>
    <row r="512" spans="1:13">
      <c r="A512" s="1">
        <f>HYPERLINK("http://www.twitter.com/NathanBLawrence/status/989184229186637824", "989184229186637824")</f>
        <v/>
      </c>
      <c r="B512" s="2" t="n">
        <v>43215.69991898148</v>
      </c>
      <c r="C512" t="n">
        <v>0</v>
      </c>
      <c r="D512" t="n">
        <v>9</v>
      </c>
      <c r="E512" t="s">
        <v>518</v>
      </c>
      <c r="F512">
        <f>HYPERLINK("http://pbs.twimg.com/media/DbpIww4U8AAstu2.jpg", "http://pbs.twimg.com/media/DbpIww4U8AAstu2.jpg")</f>
        <v/>
      </c>
      <c r="G512" t="s"/>
      <c r="H512" t="s"/>
      <c r="I512" t="s"/>
      <c r="J512" t="n">
        <v>0</v>
      </c>
      <c r="K512" t="n">
        <v>0</v>
      </c>
      <c r="L512" t="n">
        <v>1</v>
      </c>
      <c r="M512" t="n">
        <v>0</v>
      </c>
    </row>
    <row r="513" spans="1:13">
      <c r="A513" s="1">
        <f>HYPERLINK("http://www.twitter.com/NathanBLawrence/status/989183948134764544", "989183948134764544")</f>
        <v/>
      </c>
      <c r="B513" s="2" t="n">
        <v>43215.69914351852</v>
      </c>
      <c r="C513" t="n">
        <v>0</v>
      </c>
      <c r="D513" t="n">
        <v>3668</v>
      </c>
      <c r="E513" t="s">
        <v>519</v>
      </c>
      <c r="F513" t="s"/>
      <c r="G513" t="s"/>
      <c r="H513" t="s"/>
      <c r="I513" t="s"/>
      <c r="J513" t="n">
        <v>0.0258</v>
      </c>
      <c r="K513" t="n">
        <v>0</v>
      </c>
      <c r="L513" t="n">
        <v>0.9419999999999999</v>
      </c>
      <c r="M513" t="n">
        <v>0.058</v>
      </c>
    </row>
    <row r="514" spans="1:13">
      <c r="A514" s="1">
        <f>HYPERLINK("http://www.twitter.com/NathanBLawrence/status/989183285325594626", "989183285325594626")</f>
        <v/>
      </c>
      <c r="B514" s="2" t="n">
        <v>43215.69731481482</v>
      </c>
      <c r="C514" t="n">
        <v>0</v>
      </c>
      <c r="D514" t="n">
        <v>10295</v>
      </c>
      <c r="E514" t="s">
        <v>520</v>
      </c>
      <c r="F514" t="s"/>
      <c r="G514" t="s"/>
      <c r="H514" t="s"/>
      <c r="I514" t="s"/>
      <c r="J514" t="n">
        <v>0.946</v>
      </c>
      <c r="K514" t="n">
        <v>0</v>
      </c>
      <c r="L514" t="n">
        <v>0.59</v>
      </c>
      <c r="M514" t="n">
        <v>0.41</v>
      </c>
    </row>
    <row r="515" spans="1:13">
      <c r="A515" s="1">
        <f>HYPERLINK("http://www.twitter.com/NathanBLawrence/status/989183136020955136", "989183136020955136")</f>
        <v/>
      </c>
      <c r="B515" s="2" t="n">
        <v>43215.69689814815</v>
      </c>
      <c r="C515" t="n">
        <v>0</v>
      </c>
      <c r="D515" t="n">
        <v>456</v>
      </c>
      <c r="E515" t="s">
        <v>521</v>
      </c>
      <c r="F515" t="s"/>
      <c r="G515" t="s"/>
      <c r="H515" t="s"/>
      <c r="I515" t="s"/>
      <c r="J515" t="n">
        <v>0</v>
      </c>
      <c r="K515" t="n">
        <v>0</v>
      </c>
      <c r="L515" t="n">
        <v>1</v>
      </c>
      <c r="M515" t="n">
        <v>0</v>
      </c>
    </row>
    <row r="516" spans="1:13">
      <c r="A516" s="1">
        <f>HYPERLINK("http://www.twitter.com/NathanBLawrence/status/989181800290422820", "989181800290422820")</f>
        <v/>
      </c>
      <c r="B516" s="2" t="n">
        <v>43215.69320601852</v>
      </c>
      <c r="C516" t="n">
        <v>0</v>
      </c>
      <c r="D516" t="n">
        <v>0</v>
      </c>
      <c r="E516" t="s">
        <v>522</v>
      </c>
      <c r="F516" t="s"/>
      <c r="G516" t="s"/>
      <c r="H516" t="s"/>
      <c r="I516" t="s"/>
      <c r="J516" t="n">
        <v>0</v>
      </c>
      <c r="K516" t="n">
        <v>0</v>
      </c>
      <c r="L516" t="n">
        <v>1</v>
      </c>
      <c r="M516" t="n">
        <v>0</v>
      </c>
    </row>
    <row r="517" spans="1:13">
      <c r="A517" s="1">
        <f>HYPERLINK("http://www.twitter.com/NathanBLawrence/status/989181726181208064", "989181726181208064")</f>
        <v/>
      </c>
      <c r="B517" s="2" t="n">
        <v>43215.69300925926</v>
      </c>
      <c r="C517" t="n">
        <v>7</v>
      </c>
      <c r="D517" t="n">
        <v>8</v>
      </c>
      <c r="E517" t="s">
        <v>523</v>
      </c>
      <c r="F517" t="s"/>
      <c r="G517" t="s"/>
      <c r="H517" t="s"/>
      <c r="I517" t="s"/>
      <c r="J517" t="n">
        <v>0</v>
      </c>
      <c r="K517" t="n">
        <v>0</v>
      </c>
      <c r="L517" t="n">
        <v>1</v>
      </c>
      <c r="M517" t="n">
        <v>0</v>
      </c>
    </row>
    <row r="518" spans="1:13">
      <c r="A518" s="1">
        <f>HYPERLINK("http://www.twitter.com/NathanBLawrence/status/989181023295541249", "989181023295541249")</f>
        <v/>
      </c>
      <c r="B518" s="2" t="n">
        <v>43215.69106481481</v>
      </c>
      <c r="C518" t="n">
        <v>15</v>
      </c>
      <c r="D518" t="n">
        <v>11</v>
      </c>
      <c r="E518" t="s">
        <v>524</v>
      </c>
      <c r="F518">
        <f>HYPERLINK("http://pbs.twimg.com/media/DbpG48mXUAAveMd.jpg", "http://pbs.twimg.com/media/DbpG48mXUAAveMd.jpg")</f>
        <v/>
      </c>
      <c r="G518" t="s"/>
      <c r="H518" t="s"/>
      <c r="I518" t="s"/>
      <c r="J518" t="n">
        <v>-0.8405</v>
      </c>
      <c r="K518" t="n">
        <v>0.255</v>
      </c>
      <c r="L518" t="n">
        <v>0.705</v>
      </c>
      <c r="M518" t="n">
        <v>0.04</v>
      </c>
    </row>
    <row r="519" spans="1:13">
      <c r="A519" s="1">
        <f>HYPERLINK("http://www.twitter.com/NathanBLawrence/status/989176423322710016", "989176423322710016")</f>
        <v/>
      </c>
      <c r="B519" s="2" t="n">
        <v>43215.67836805555</v>
      </c>
      <c r="C519" t="n">
        <v>2</v>
      </c>
      <c r="D519" t="n">
        <v>0</v>
      </c>
      <c r="E519" t="s">
        <v>525</v>
      </c>
      <c r="F519" t="s"/>
      <c r="G519" t="s"/>
      <c r="H519" t="s"/>
      <c r="I519" t="s"/>
      <c r="J519" t="n">
        <v>0</v>
      </c>
      <c r="K519" t="n">
        <v>0</v>
      </c>
      <c r="L519" t="n">
        <v>1</v>
      </c>
      <c r="M519" t="n">
        <v>0</v>
      </c>
    </row>
    <row r="520" spans="1:13">
      <c r="A520" s="1">
        <f>HYPERLINK("http://www.twitter.com/NathanBLawrence/status/989176102412267521", "989176102412267521")</f>
        <v/>
      </c>
      <c r="B520" s="2" t="n">
        <v>43215.67748842593</v>
      </c>
      <c r="C520" t="n">
        <v>0</v>
      </c>
      <c r="D520" t="n">
        <v>63</v>
      </c>
      <c r="E520" t="s">
        <v>526</v>
      </c>
      <c r="F520" t="s"/>
      <c r="G520" t="s"/>
      <c r="H520" t="s"/>
      <c r="I520" t="s"/>
      <c r="J520" t="n">
        <v>0</v>
      </c>
      <c r="K520" t="n">
        <v>0</v>
      </c>
      <c r="L520" t="n">
        <v>1</v>
      </c>
      <c r="M520" t="n">
        <v>0</v>
      </c>
    </row>
    <row r="521" spans="1:13">
      <c r="A521" s="1">
        <f>HYPERLINK("http://www.twitter.com/NathanBLawrence/status/989172232302850053", "989172232302850053")</f>
        <v/>
      </c>
      <c r="B521" s="2" t="n">
        <v>43215.66680555556</v>
      </c>
      <c r="C521" t="n">
        <v>0</v>
      </c>
      <c r="D521" t="n">
        <v>45</v>
      </c>
      <c r="E521" t="s">
        <v>527</v>
      </c>
      <c r="F521" t="s"/>
      <c r="G521" t="s"/>
      <c r="H521" t="s"/>
      <c r="I521" t="s"/>
      <c r="J521" t="n">
        <v>-0.7964</v>
      </c>
      <c r="K521" t="n">
        <v>0.253</v>
      </c>
      <c r="L521" t="n">
        <v>0.747</v>
      </c>
      <c r="M521" t="n">
        <v>0</v>
      </c>
    </row>
    <row r="522" spans="1:13">
      <c r="A522" s="1">
        <f>HYPERLINK("http://www.twitter.com/NathanBLawrence/status/989171832879239168", "989171832879239168")</f>
        <v/>
      </c>
      <c r="B522" s="2" t="n">
        <v>43215.66570601852</v>
      </c>
      <c r="C522" t="n">
        <v>0</v>
      </c>
      <c r="D522" t="n">
        <v>4</v>
      </c>
      <c r="E522" t="s">
        <v>528</v>
      </c>
      <c r="F522" t="s"/>
      <c r="G522" t="s"/>
      <c r="H522" t="s"/>
      <c r="I522" t="s"/>
      <c r="J522" t="n">
        <v>-0.2577</v>
      </c>
      <c r="K522" t="n">
        <v>0.203</v>
      </c>
      <c r="L522" t="n">
        <v>0.797</v>
      </c>
      <c r="M522" t="n">
        <v>0</v>
      </c>
    </row>
    <row r="523" spans="1:13">
      <c r="A523" s="1">
        <f>HYPERLINK("http://www.twitter.com/NathanBLawrence/status/989165595336855553", "989165595336855553")</f>
        <v/>
      </c>
      <c r="B523" s="2" t="n">
        <v>43215.64849537037</v>
      </c>
      <c r="C523" t="n">
        <v>0</v>
      </c>
      <c r="D523" t="n">
        <v>151</v>
      </c>
      <c r="E523" t="s">
        <v>529</v>
      </c>
      <c r="F523">
        <f>HYPERLINK("http://pbs.twimg.com/media/Dbla3jvXkAUjhqC.jpg", "http://pbs.twimg.com/media/Dbla3jvXkAUjhqC.jpg")</f>
        <v/>
      </c>
      <c r="G523" t="s"/>
      <c r="H523" t="s"/>
      <c r="I523" t="s"/>
      <c r="J523" t="n">
        <v>0.4404</v>
      </c>
      <c r="K523" t="n">
        <v>0</v>
      </c>
      <c r="L523" t="n">
        <v>0.873</v>
      </c>
      <c r="M523" t="n">
        <v>0.127</v>
      </c>
    </row>
    <row r="524" spans="1:13">
      <c r="A524" s="1">
        <f>HYPERLINK("http://www.twitter.com/NathanBLawrence/status/989164936973733889", "989164936973733889")</f>
        <v/>
      </c>
      <c r="B524" s="2" t="n">
        <v>43215.64667824074</v>
      </c>
      <c r="C524" t="n">
        <v>0</v>
      </c>
      <c r="D524" t="n">
        <v>230418</v>
      </c>
      <c r="E524" t="s">
        <v>530</v>
      </c>
      <c r="F524" t="s"/>
      <c r="G524" t="s"/>
      <c r="H524" t="s"/>
      <c r="I524" t="s"/>
      <c r="J524" t="n">
        <v>0.6705</v>
      </c>
      <c r="K524" t="n">
        <v>0</v>
      </c>
      <c r="L524" t="n">
        <v>0.792</v>
      </c>
      <c r="M524" t="n">
        <v>0.208</v>
      </c>
    </row>
    <row r="525" spans="1:13">
      <c r="A525" s="1">
        <f>HYPERLINK("http://www.twitter.com/NathanBLawrence/status/989164877779472385", "989164877779472385")</f>
        <v/>
      </c>
      <c r="B525" s="2" t="n">
        <v>43215.64651620371</v>
      </c>
      <c r="C525" t="n">
        <v>0</v>
      </c>
      <c r="D525" t="n">
        <v>320</v>
      </c>
      <c r="E525" t="s">
        <v>531</v>
      </c>
      <c r="F525" t="s"/>
      <c r="G525" t="s"/>
      <c r="H525" t="s"/>
      <c r="I525" t="s"/>
      <c r="J525" t="n">
        <v>0</v>
      </c>
      <c r="K525" t="n">
        <v>0</v>
      </c>
      <c r="L525" t="n">
        <v>1</v>
      </c>
      <c r="M525" t="n">
        <v>0</v>
      </c>
    </row>
    <row r="526" spans="1:13">
      <c r="A526" s="1">
        <f>HYPERLINK("http://www.twitter.com/NathanBLawrence/status/989162307707076608", "989162307707076608")</f>
        <v/>
      </c>
      <c r="B526" s="2" t="n">
        <v>43215.6394212963</v>
      </c>
      <c r="C526" t="n">
        <v>0</v>
      </c>
      <c r="D526" t="n">
        <v>1554</v>
      </c>
      <c r="E526" t="s">
        <v>532</v>
      </c>
      <c r="F526">
        <f>HYPERLINK("http://pbs.twimg.com/media/Dblwu54U8AAd4CZ.jpg", "http://pbs.twimg.com/media/Dblwu54U8AAd4CZ.jpg")</f>
        <v/>
      </c>
      <c r="G526" t="s"/>
      <c r="H526" t="s"/>
      <c r="I526" t="s"/>
      <c r="J526" t="n">
        <v>0.5719</v>
      </c>
      <c r="K526" t="n">
        <v>0</v>
      </c>
      <c r="L526" t="n">
        <v>0.85</v>
      </c>
      <c r="M526" t="n">
        <v>0.15</v>
      </c>
    </row>
    <row r="527" spans="1:13">
      <c r="A527" s="1">
        <f>HYPERLINK("http://www.twitter.com/NathanBLawrence/status/989160733152817155", "989160733152817155")</f>
        <v/>
      </c>
      <c r="B527" s="2" t="n">
        <v>43215.63508101852</v>
      </c>
      <c r="C527" t="n">
        <v>0</v>
      </c>
      <c r="D527" t="n">
        <v>4</v>
      </c>
      <c r="E527" t="s">
        <v>533</v>
      </c>
      <c r="F527">
        <f>HYPERLINK("http://pbs.twimg.com/media/Dbov1XMUQAAiPmp.jpg", "http://pbs.twimg.com/media/Dbov1XMUQAAiPmp.jpg")</f>
        <v/>
      </c>
      <c r="G527" t="s"/>
      <c r="H527" t="s"/>
      <c r="I527" t="s"/>
      <c r="J527" t="n">
        <v>0.516</v>
      </c>
      <c r="K527" t="n">
        <v>0</v>
      </c>
      <c r="L527" t="n">
        <v>0.844</v>
      </c>
      <c r="M527" t="n">
        <v>0.156</v>
      </c>
    </row>
    <row r="528" spans="1:13">
      <c r="A528" s="1">
        <f>HYPERLINK("http://www.twitter.com/NathanBLawrence/status/989160685597872130", "989160685597872130")</f>
        <v/>
      </c>
      <c r="B528" s="2" t="n">
        <v>43215.63494212963</v>
      </c>
      <c r="C528" t="n">
        <v>0</v>
      </c>
      <c r="D528" t="n">
        <v>26874</v>
      </c>
      <c r="E528" t="s">
        <v>534</v>
      </c>
      <c r="F528" t="s"/>
      <c r="G528" t="s"/>
      <c r="H528" t="s"/>
      <c r="I528" t="s"/>
      <c r="J528" t="n">
        <v>0.2263</v>
      </c>
      <c r="K528" t="n">
        <v>0</v>
      </c>
      <c r="L528" t="n">
        <v>0.905</v>
      </c>
      <c r="M528" t="n">
        <v>0.095</v>
      </c>
    </row>
    <row r="529" spans="1:13">
      <c r="A529" s="1">
        <f>HYPERLINK("http://www.twitter.com/NathanBLawrence/status/989160442139500550", "989160442139500550")</f>
        <v/>
      </c>
      <c r="B529" s="2" t="n">
        <v>43215.63427083333</v>
      </c>
      <c r="C529" t="n">
        <v>0</v>
      </c>
      <c r="D529" t="n">
        <v>17</v>
      </c>
      <c r="E529" t="s">
        <v>535</v>
      </c>
      <c r="F529" t="s"/>
      <c r="G529" t="s"/>
      <c r="H529" t="s"/>
      <c r="I529" t="s"/>
      <c r="J529" t="n">
        <v>-0.5106000000000001</v>
      </c>
      <c r="K529" t="n">
        <v>0.13</v>
      </c>
      <c r="L529" t="n">
        <v>0.87</v>
      </c>
      <c r="M529" t="n">
        <v>0</v>
      </c>
    </row>
    <row r="530" spans="1:13">
      <c r="A530" s="1">
        <f>HYPERLINK("http://www.twitter.com/NathanBLawrence/status/989160148278153216", "989160148278153216")</f>
        <v/>
      </c>
      <c r="B530" s="2" t="n">
        <v>43215.63346064815</v>
      </c>
      <c r="C530" t="n">
        <v>0</v>
      </c>
      <c r="D530" t="n">
        <v>1</v>
      </c>
      <c r="E530" t="s">
        <v>536</v>
      </c>
      <c r="F530" t="s"/>
      <c r="G530" t="s"/>
      <c r="H530" t="s"/>
      <c r="I530" t="s"/>
      <c r="J530" t="n">
        <v>0</v>
      </c>
      <c r="K530" t="n">
        <v>0</v>
      </c>
      <c r="L530" t="n">
        <v>1</v>
      </c>
      <c r="M530" t="n">
        <v>0</v>
      </c>
    </row>
    <row r="531" spans="1:13">
      <c r="A531" s="1">
        <f>HYPERLINK("http://www.twitter.com/NathanBLawrence/status/989158923751092229", "989158923751092229")</f>
        <v/>
      </c>
      <c r="B531" s="2" t="n">
        <v>43215.63008101852</v>
      </c>
      <c r="C531" t="n">
        <v>0</v>
      </c>
      <c r="D531" t="n">
        <v>3</v>
      </c>
      <c r="E531" t="s">
        <v>537</v>
      </c>
      <c r="F531" t="s"/>
      <c r="G531" t="s"/>
      <c r="H531" t="s"/>
      <c r="I531" t="s"/>
      <c r="J531" t="n">
        <v>0</v>
      </c>
      <c r="K531" t="n">
        <v>0</v>
      </c>
      <c r="L531" t="n">
        <v>1</v>
      </c>
      <c r="M531" t="n">
        <v>0</v>
      </c>
    </row>
    <row r="532" spans="1:13">
      <c r="A532" s="1">
        <f>HYPERLINK("http://www.twitter.com/NathanBLawrence/status/989158402562682882", "989158402562682882")</f>
        <v/>
      </c>
      <c r="B532" s="2" t="n">
        <v>43215.62864583333</v>
      </c>
      <c r="C532" t="n">
        <v>0</v>
      </c>
      <c r="D532" t="n">
        <v>8</v>
      </c>
      <c r="E532" t="s">
        <v>538</v>
      </c>
      <c r="F532">
        <f>HYPERLINK("http://pbs.twimg.com/media/Dbohv0eUwAUqKCN.jpg", "http://pbs.twimg.com/media/Dbohv0eUwAUqKCN.jpg")</f>
        <v/>
      </c>
      <c r="G532" t="s"/>
      <c r="H532" t="s"/>
      <c r="I532" t="s"/>
      <c r="J532" t="n">
        <v>0</v>
      </c>
      <c r="K532" t="n">
        <v>0</v>
      </c>
      <c r="L532" t="n">
        <v>1</v>
      </c>
      <c r="M532" t="n">
        <v>0</v>
      </c>
    </row>
    <row r="533" spans="1:13">
      <c r="A533" s="1">
        <f>HYPERLINK("http://www.twitter.com/NathanBLawrence/status/989158313299513344", "989158313299513344")</f>
        <v/>
      </c>
      <c r="B533" s="2" t="n">
        <v>43215.62840277778</v>
      </c>
      <c r="C533" t="n">
        <v>0</v>
      </c>
      <c r="D533" t="n">
        <v>5</v>
      </c>
      <c r="E533" t="s">
        <v>539</v>
      </c>
      <c r="F533">
        <f>HYPERLINK("http://pbs.twimg.com/media/DbotyfLV4AA6mqm.jpg", "http://pbs.twimg.com/media/DbotyfLV4AA6mqm.jpg")</f>
        <v/>
      </c>
      <c r="G533" t="s"/>
      <c r="H533" t="s"/>
      <c r="I533" t="s"/>
      <c r="J533" t="n">
        <v>-0.1779</v>
      </c>
      <c r="K533" t="n">
        <v>0.141</v>
      </c>
      <c r="L533" t="n">
        <v>0.754</v>
      </c>
      <c r="M533" t="n">
        <v>0.106</v>
      </c>
    </row>
    <row r="534" spans="1:13">
      <c r="A534" s="1">
        <f>HYPERLINK("http://www.twitter.com/NathanBLawrence/status/989149210971987968", "989149210971987968")</f>
        <v/>
      </c>
      <c r="B534" s="2" t="n">
        <v>43215.60328703704</v>
      </c>
      <c r="C534" t="n">
        <v>1</v>
      </c>
      <c r="D534" t="n">
        <v>0</v>
      </c>
      <c r="E534" t="s">
        <v>540</v>
      </c>
      <c r="F534">
        <f>HYPERLINK("http://pbs.twimg.com/media/Dbop9rMW0AAwv_h.jpg", "http://pbs.twimg.com/media/Dbop9rMW0AAwv_h.jpg")</f>
        <v/>
      </c>
      <c r="G534" t="s"/>
      <c r="H534" t="s"/>
      <c r="I534" t="s"/>
      <c r="J534" t="n">
        <v>0.3446</v>
      </c>
      <c r="K534" t="n">
        <v>0.095</v>
      </c>
      <c r="L534" t="n">
        <v>0.769</v>
      </c>
      <c r="M534" t="n">
        <v>0.136</v>
      </c>
    </row>
    <row r="535" spans="1:13">
      <c r="A535" s="1">
        <f>HYPERLINK("http://www.twitter.com/NathanBLawrence/status/988983625927491584", "988983625927491584")</f>
        <v/>
      </c>
      <c r="B535" s="2" t="n">
        <v>43215.14635416667</v>
      </c>
      <c r="C535" t="n">
        <v>0</v>
      </c>
      <c r="D535" t="n">
        <v>0</v>
      </c>
      <c r="E535" t="s">
        <v>541</v>
      </c>
      <c r="F535" t="s"/>
      <c r="G535" t="s"/>
      <c r="H535" t="s"/>
      <c r="I535" t="s"/>
      <c r="J535" t="n">
        <v>-0.7412</v>
      </c>
      <c r="K535" t="n">
        <v>0.199</v>
      </c>
      <c r="L535" t="n">
        <v>0.666</v>
      </c>
      <c r="M535" t="n">
        <v>0.135</v>
      </c>
    </row>
    <row r="536" spans="1:13">
      <c r="A536" s="1">
        <f>HYPERLINK("http://www.twitter.com/NathanBLawrence/status/988956957347401728", "988956957347401728")</f>
        <v/>
      </c>
      <c r="B536" s="2" t="n">
        <v>43215.0727662037</v>
      </c>
      <c r="C536" t="n">
        <v>0</v>
      </c>
      <c r="D536" t="n">
        <v>22</v>
      </c>
      <c r="E536" t="s">
        <v>542</v>
      </c>
      <c r="F536">
        <f>HYPERLINK("http://pbs.twimg.com/media/DbkaikQVMAEzTmb.jpg", "http://pbs.twimg.com/media/DbkaikQVMAEzTmb.jpg")</f>
        <v/>
      </c>
      <c r="G536">
        <f>HYPERLINK("http://pbs.twimg.com/media/DbkajGxVAAI5IzB.jpg", "http://pbs.twimg.com/media/DbkajGxVAAI5IzB.jpg")</f>
        <v/>
      </c>
      <c r="H536">
        <f>HYPERLINK("http://pbs.twimg.com/media/Dbkaj1qU8AAWTjy.jpg", "http://pbs.twimg.com/media/Dbkaj1qU8AAWTjy.jpg")</f>
        <v/>
      </c>
      <c r="I536">
        <f>HYPERLINK("http://pbs.twimg.com/media/DbkakXkV4AAIZvD.jpg", "http://pbs.twimg.com/media/DbkakXkV4AAIZvD.jpg")</f>
        <v/>
      </c>
      <c r="J536" t="n">
        <v>0</v>
      </c>
      <c r="K536" t="n">
        <v>0</v>
      </c>
      <c r="L536" t="n">
        <v>1</v>
      </c>
      <c r="M536" t="n">
        <v>0</v>
      </c>
    </row>
    <row r="537" spans="1:13">
      <c r="A537" s="1">
        <f>HYPERLINK("http://www.twitter.com/NathanBLawrence/status/988946330591645696", "988946330591645696")</f>
        <v/>
      </c>
      <c r="B537" s="2" t="n">
        <v>43215.0434375</v>
      </c>
      <c r="C537" t="n">
        <v>0</v>
      </c>
      <c r="D537" t="n">
        <v>4</v>
      </c>
      <c r="E537" t="s">
        <v>543</v>
      </c>
      <c r="F537" t="s"/>
      <c r="G537" t="s"/>
      <c r="H537" t="s"/>
      <c r="I537" t="s"/>
      <c r="J537" t="n">
        <v>-0.4199</v>
      </c>
      <c r="K537" t="n">
        <v>0.128</v>
      </c>
      <c r="L537" t="n">
        <v>0.872</v>
      </c>
      <c r="M537" t="n">
        <v>0</v>
      </c>
    </row>
    <row r="538" spans="1:13">
      <c r="A538" s="1">
        <f>HYPERLINK("http://www.twitter.com/NathanBLawrence/status/988944337017999361", "988944337017999361")</f>
        <v/>
      </c>
      <c r="B538" s="2" t="n">
        <v>43215.03793981481</v>
      </c>
      <c r="C538" t="n">
        <v>2</v>
      </c>
      <c r="D538" t="n">
        <v>0</v>
      </c>
      <c r="E538" t="s">
        <v>544</v>
      </c>
      <c r="F538" t="s"/>
      <c r="G538" t="s"/>
      <c r="H538" t="s"/>
      <c r="I538" t="s"/>
      <c r="J538" t="n">
        <v>0.5093</v>
      </c>
      <c r="K538" t="n">
        <v>0</v>
      </c>
      <c r="L538" t="n">
        <v>0.927</v>
      </c>
      <c r="M538" t="n">
        <v>0.073</v>
      </c>
    </row>
    <row r="539" spans="1:13">
      <c r="A539" s="1">
        <f>HYPERLINK("http://www.twitter.com/NathanBLawrence/status/988929108380934148", "988929108380934148")</f>
        <v/>
      </c>
      <c r="B539" s="2" t="n">
        <v>43214.99591435185</v>
      </c>
      <c r="C539" t="n">
        <v>0</v>
      </c>
      <c r="D539" t="n">
        <v>4769</v>
      </c>
      <c r="E539" t="s">
        <v>545</v>
      </c>
      <c r="F539">
        <f>HYPERLINK("http://pbs.twimg.com/media/Dbk7_icVMAA0M0E.jpg", "http://pbs.twimg.com/media/Dbk7_icVMAA0M0E.jpg")</f>
        <v/>
      </c>
      <c r="G539" t="s"/>
      <c r="H539" t="s"/>
      <c r="I539" t="s"/>
      <c r="J539" t="n">
        <v>0.5719</v>
      </c>
      <c r="K539" t="n">
        <v>0</v>
      </c>
      <c r="L539" t="n">
        <v>0.837</v>
      </c>
      <c r="M539" t="n">
        <v>0.163</v>
      </c>
    </row>
    <row r="540" spans="1:13">
      <c r="A540" s="1">
        <f>HYPERLINK("http://www.twitter.com/NathanBLawrence/status/988916999538569216", "988916999538569216")</f>
        <v/>
      </c>
      <c r="B540" s="2" t="n">
        <v>43214.9625</v>
      </c>
      <c r="C540" t="n">
        <v>13</v>
      </c>
      <c r="D540" t="n">
        <v>9</v>
      </c>
      <c r="E540" t="s">
        <v>546</v>
      </c>
      <c r="F540" t="s"/>
      <c r="G540" t="s"/>
      <c r="H540" t="s"/>
      <c r="I540" t="s"/>
      <c r="J540" t="n">
        <v>0</v>
      </c>
      <c r="K540" t="n">
        <v>0</v>
      </c>
      <c r="L540" t="n">
        <v>1</v>
      </c>
      <c r="M540" t="n">
        <v>0</v>
      </c>
    </row>
    <row r="541" spans="1:13">
      <c r="A541" s="1">
        <f>HYPERLINK("http://www.twitter.com/NathanBLawrence/status/988891423142547456", "988891423142547456")</f>
        <v/>
      </c>
      <c r="B541" s="2" t="n">
        <v>43214.89192129629</v>
      </c>
      <c r="C541" t="n">
        <v>0</v>
      </c>
      <c r="D541" t="n">
        <v>19</v>
      </c>
      <c r="E541" t="s">
        <v>547</v>
      </c>
      <c r="F541">
        <f>HYPERLINK("http://pbs.twimg.com/media/DbjmVRSXUAAjo7q.jpg", "http://pbs.twimg.com/media/DbjmVRSXUAAjo7q.jpg")</f>
        <v/>
      </c>
      <c r="G541" t="s"/>
      <c r="H541" t="s"/>
      <c r="I541" t="s"/>
      <c r="J541" t="n">
        <v>-0.6633</v>
      </c>
      <c r="K541" t="n">
        <v>0.207</v>
      </c>
      <c r="L541" t="n">
        <v>0.793</v>
      </c>
      <c r="M541" t="n">
        <v>0</v>
      </c>
    </row>
    <row r="542" spans="1:13">
      <c r="A542" s="1">
        <f>HYPERLINK("http://www.twitter.com/NathanBLawrence/status/988887336044978176", "988887336044978176")</f>
        <v/>
      </c>
      <c r="B542" s="2" t="n">
        <v>43214.88064814815</v>
      </c>
      <c r="C542" t="n">
        <v>0</v>
      </c>
      <c r="D542" t="n">
        <v>38</v>
      </c>
      <c r="E542" t="s">
        <v>548</v>
      </c>
      <c r="F542">
        <f>HYPERLINK("http://pbs.twimg.com/media/Dbk7dbWWsAAxU0n.jpg", "http://pbs.twimg.com/media/Dbk7dbWWsAAxU0n.jpg")</f>
        <v/>
      </c>
      <c r="G542" t="s"/>
      <c r="H542" t="s"/>
      <c r="I542" t="s"/>
      <c r="J542" t="n">
        <v>0</v>
      </c>
      <c r="K542" t="n">
        <v>0</v>
      </c>
      <c r="L542" t="n">
        <v>1</v>
      </c>
      <c r="M542" t="n">
        <v>0</v>
      </c>
    </row>
    <row r="543" spans="1:13">
      <c r="A543" s="1">
        <f>HYPERLINK("http://www.twitter.com/NathanBLawrence/status/988886983102648320", "988886983102648320")</f>
        <v/>
      </c>
      <c r="B543" s="2" t="n">
        <v>43214.87967592593</v>
      </c>
      <c r="C543" t="n">
        <v>43</v>
      </c>
      <c r="D543" t="n">
        <v>38</v>
      </c>
      <c r="E543" t="s">
        <v>549</v>
      </c>
      <c r="F543">
        <f>HYPERLINK("http://pbs.twimg.com/media/Dbk7dbWWsAAxU0n.jpg", "http://pbs.twimg.com/media/Dbk7dbWWsAAxU0n.jpg")</f>
        <v/>
      </c>
      <c r="G543" t="s"/>
      <c r="H543" t="s"/>
      <c r="I543" t="s"/>
      <c r="J543" t="n">
        <v>-0.6973</v>
      </c>
      <c r="K543" t="n">
        <v>0.13</v>
      </c>
      <c r="L543" t="n">
        <v>0.87</v>
      </c>
      <c r="M543" t="n">
        <v>0</v>
      </c>
    </row>
    <row r="544" spans="1:13">
      <c r="A544" s="1">
        <f>HYPERLINK("http://www.twitter.com/NathanBLawrence/status/988875149167513606", "988875149167513606")</f>
        <v/>
      </c>
      <c r="B544" s="2" t="n">
        <v>43214.84701388889</v>
      </c>
      <c r="C544" t="n">
        <v>0</v>
      </c>
      <c r="D544" t="n">
        <v>14</v>
      </c>
      <c r="E544" t="s">
        <v>550</v>
      </c>
      <c r="F544" t="s"/>
      <c r="G544" t="s"/>
      <c r="H544" t="s"/>
      <c r="I544" t="s"/>
      <c r="J544" t="n">
        <v>0.538</v>
      </c>
      <c r="K544" t="n">
        <v>0.095</v>
      </c>
      <c r="L544" t="n">
        <v>0.6850000000000001</v>
      </c>
      <c r="M544" t="n">
        <v>0.22</v>
      </c>
    </row>
    <row r="545" spans="1:13">
      <c r="A545" s="1">
        <f>HYPERLINK("http://www.twitter.com/NathanBLawrence/status/988840622307119104", "988840622307119104")</f>
        <v/>
      </c>
      <c r="B545" s="2" t="n">
        <v>43214.75173611111</v>
      </c>
      <c r="C545" t="n">
        <v>0</v>
      </c>
      <c r="D545" t="n">
        <v>9</v>
      </c>
      <c r="E545" t="s">
        <v>551</v>
      </c>
      <c r="F545" t="s"/>
      <c r="G545" t="s"/>
      <c r="H545" t="s"/>
      <c r="I545" t="s"/>
      <c r="J545" t="n">
        <v>0</v>
      </c>
      <c r="K545" t="n">
        <v>0</v>
      </c>
      <c r="L545" t="n">
        <v>1</v>
      </c>
      <c r="M545" t="n">
        <v>0</v>
      </c>
    </row>
    <row r="546" spans="1:13">
      <c r="A546" s="1">
        <f>HYPERLINK("http://www.twitter.com/NathanBLawrence/status/988839744133107712", "988839744133107712")</f>
        <v/>
      </c>
      <c r="B546" s="2" t="n">
        <v>43214.74931712963</v>
      </c>
      <c r="C546" t="n">
        <v>0</v>
      </c>
      <c r="D546" t="n">
        <v>0</v>
      </c>
      <c r="E546" t="s">
        <v>552</v>
      </c>
      <c r="F546" t="s"/>
      <c r="G546" t="s"/>
      <c r="H546" t="s"/>
      <c r="I546" t="s"/>
      <c r="J546" t="n">
        <v>0</v>
      </c>
      <c r="K546" t="n">
        <v>0</v>
      </c>
      <c r="L546" t="n">
        <v>1</v>
      </c>
      <c r="M546" t="n">
        <v>0</v>
      </c>
    </row>
    <row r="547" spans="1:13">
      <c r="A547" s="1">
        <f>HYPERLINK("http://www.twitter.com/NathanBLawrence/status/988839036012892160", "988839036012892160")</f>
        <v/>
      </c>
      <c r="B547" s="2" t="n">
        <v>43214.74736111111</v>
      </c>
      <c r="C547" t="n">
        <v>0</v>
      </c>
      <c r="D547" t="n">
        <v>1767</v>
      </c>
      <c r="E547" t="s">
        <v>553</v>
      </c>
      <c r="F547">
        <f>HYPERLINK("https://video.twimg.com/ext_tw_video/988715682270515200/pu/vid/720x720/rJufVCu77Fkj3GHi.mp4?tag=3", "https://video.twimg.com/ext_tw_video/988715682270515200/pu/vid/720x720/rJufVCu77Fkj3GHi.mp4?tag=3")</f>
        <v/>
      </c>
      <c r="G547" t="s"/>
      <c r="H547" t="s"/>
      <c r="I547" t="s"/>
      <c r="J547" t="n">
        <v>0.636</v>
      </c>
      <c r="K547" t="n">
        <v>0</v>
      </c>
      <c r="L547" t="n">
        <v>0.84</v>
      </c>
      <c r="M547" t="n">
        <v>0.16</v>
      </c>
    </row>
    <row r="548" spans="1:13">
      <c r="A548" s="1">
        <f>HYPERLINK("http://www.twitter.com/NathanBLawrence/status/988838790159568896", "988838790159568896")</f>
        <v/>
      </c>
      <c r="B548" s="2" t="n">
        <v>43214.74667824074</v>
      </c>
      <c r="C548" t="n">
        <v>0</v>
      </c>
      <c r="D548" t="n">
        <v>270</v>
      </c>
      <c r="E548" t="s">
        <v>554</v>
      </c>
      <c r="F548">
        <f>HYPERLINK("http://pbs.twimg.com/media/Dbj9qCJV0AAIufI.jpg", "http://pbs.twimg.com/media/Dbj9qCJV0AAIufI.jpg")</f>
        <v/>
      </c>
      <c r="G548">
        <f>HYPERLINK("http://pbs.twimg.com/media/Dbj9qCKVMAAPxDn.jpg", "http://pbs.twimg.com/media/Dbj9qCKVMAAPxDn.jpg")</f>
        <v/>
      </c>
      <c r="H548">
        <f>HYPERLINK("http://pbs.twimg.com/media/Dbj9qCKUwAA4gVN.jpg", "http://pbs.twimg.com/media/Dbj9qCKUwAA4gVN.jpg")</f>
        <v/>
      </c>
      <c r="I548">
        <f>HYPERLINK("http://pbs.twimg.com/media/Dbj9qCKVMAET6rW.jpg", "http://pbs.twimg.com/media/Dbj9qCKVMAET6rW.jpg")</f>
        <v/>
      </c>
      <c r="J548" t="n">
        <v>0.4939</v>
      </c>
      <c r="K548" t="n">
        <v>0.209</v>
      </c>
      <c r="L548" t="n">
        <v>0.485</v>
      </c>
      <c r="M548" t="n">
        <v>0.306</v>
      </c>
    </row>
    <row r="549" spans="1:13">
      <c r="A549" s="1">
        <f>HYPERLINK("http://www.twitter.com/NathanBLawrence/status/988838653517598720", "988838653517598720")</f>
        <v/>
      </c>
      <c r="B549" s="2" t="n">
        <v>43214.74630787037</v>
      </c>
      <c r="C549" t="n">
        <v>0</v>
      </c>
      <c r="D549" t="n">
        <v>1116</v>
      </c>
      <c r="E549" t="s">
        <v>555</v>
      </c>
      <c r="F549" t="s"/>
      <c r="G549" t="s"/>
      <c r="H549" t="s"/>
      <c r="I549" t="s"/>
      <c r="J549" t="n">
        <v>-0.2808</v>
      </c>
      <c r="K549" t="n">
        <v>0.158</v>
      </c>
      <c r="L549" t="n">
        <v>0.727</v>
      </c>
      <c r="M549" t="n">
        <v>0.115</v>
      </c>
    </row>
    <row r="550" spans="1:13">
      <c r="A550" s="1">
        <f>HYPERLINK("http://www.twitter.com/NathanBLawrence/status/988838142366093312", "988838142366093312")</f>
        <v/>
      </c>
      <c r="B550" s="2" t="n">
        <v>43214.74489583333</v>
      </c>
      <c r="C550" t="n">
        <v>0</v>
      </c>
      <c r="D550" t="n">
        <v>437</v>
      </c>
      <c r="E550" t="s">
        <v>556</v>
      </c>
      <c r="F550">
        <f>HYPERLINK("http://pbs.twimg.com/media/DbkDXalU8AA7nDV.jpg", "http://pbs.twimg.com/media/DbkDXalU8AA7nDV.jpg")</f>
        <v/>
      </c>
      <c r="G550" t="s"/>
      <c r="H550" t="s"/>
      <c r="I550" t="s"/>
      <c r="J550" t="n">
        <v>-0.4981</v>
      </c>
      <c r="K550" t="n">
        <v>0.139</v>
      </c>
      <c r="L550" t="n">
        <v>0.861</v>
      </c>
      <c r="M550" t="n">
        <v>0</v>
      </c>
    </row>
    <row r="551" spans="1:13">
      <c r="A551" s="1">
        <f>HYPERLINK("http://www.twitter.com/NathanBLawrence/status/988829246188646402", "988829246188646402")</f>
        <v/>
      </c>
      <c r="B551" s="2" t="n">
        <v>43214.72034722222</v>
      </c>
      <c r="C551" t="n">
        <v>1</v>
      </c>
      <c r="D551" t="n">
        <v>0</v>
      </c>
      <c r="E551" t="s">
        <v>557</v>
      </c>
      <c r="F551" t="s"/>
      <c r="G551" t="s"/>
      <c r="H551" t="s"/>
      <c r="I551" t="s"/>
      <c r="J551" t="n">
        <v>0.7881</v>
      </c>
      <c r="K551" t="n">
        <v>0</v>
      </c>
      <c r="L551" t="n">
        <v>0.668</v>
      </c>
      <c r="M551" t="n">
        <v>0.332</v>
      </c>
    </row>
    <row r="552" spans="1:13">
      <c r="A552" s="1">
        <f>HYPERLINK("http://www.twitter.com/NathanBLawrence/status/988823694058381312", "988823694058381312")</f>
        <v/>
      </c>
      <c r="B552" s="2" t="n">
        <v>43214.70502314815</v>
      </c>
      <c r="C552" t="n">
        <v>0</v>
      </c>
      <c r="D552" t="n">
        <v>125</v>
      </c>
      <c r="E552" t="s">
        <v>558</v>
      </c>
      <c r="F552" t="s"/>
      <c r="G552" t="s"/>
      <c r="H552" t="s"/>
      <c r="I552" t="s"/>
      <c r="J552" t="n">
        <v>-0.5266999999999999</v>
      </c>
      <c r="K552" t="n">
        <v>0.173</v>
      </c>
      <c r="L552" t="n">
        <v>0.827</v>
      </c>
      <c r="M552" t="n">
        <v>0</v>
      </c>
    </row>
    <row r="553" spans="1:13">
      <c r="A553" s="1">
        <f>HYPERLINK("http://www.twitter.com/NathanBLawrence/status/988823407855833088", "988823407855833088")</f>
        <v/>
      </c>
      <c r="B553" s="2" t="n">
        <v>43214.70423611111</v>
      </c>
      <c r="C553" t="n">
        <v>0</v>
      </c>
      <c r="D553" t="n">
        <v>59</v>
      </c>
      <c r="E553" t="s">
        <v>559</v>
      </c>
      <c r="F553" t="s"/>
      <c r="G553" t="s"/>
      <c r="H553" t="s"/>
      <c r="I553" t="s"/>
      <c r="J553" t="n">
        <v>0.3612</v>
      </c>
      <c r="K553" t="n">
        <v>0</v>
      </c>
      <c r="L553" t="n">
        <v>0.872</v>
      </c>
      <c r="M553" t="n">
        <v>0.128</v>
      </c>
    </row>
    <row r="554" spans="1:13">
      <c r="A554" s="1">
        <f>HYPERLINK("http://www.twitter.com/NathanBLawrence/status/988823311709884416", "988823311709884416")</f>
        <v/>
      </c>
      <c r="B554" s="2" t="n">
        <v>43214.70396990741</v>
      </c>
      <c r="C554" t="n">
        <v>0</v>
      </c>
      <c r="D554" t="n">
        <v>13</v>
      </c>
      <c r="E554" t="s">
        <v>560</v>
      </c>
      <c r="F554">
        <f>HYPERLINK("http://pbs.twimg.com/media/Dbj87ZRU8AAVxEY.jpg", "http://pbs.twimg.com/media/Dbj87ZRU8AAVxEY.jpg")</f>
        <v/>
      </c>
      <c r="G554" t="s"/>
      <c r="H554" t="s"/>
      <c r="I554" t="s"/>
      <c r="J554" t="n">
        <v>0.0772</v>
      </c>
      <c r="K554" t="n">
        <v>0.117</v>
      </c>
      <c r="L554" t="n">
        <v>0.751</v>
      </c>
      <c r="M554" t="n">
        <v>0.131</v>
      </c>
    </row>
    <row r="555" spans="1:13">
      <c r="A555" s="1">
        <f>HYPERLINK("http://www.twitter.com/NathanBLawrence/status/988823078934319104", "988823078934319104")</f>
        <v/>
      </c>
      <c r="B555" s="2" t="n">
        <v>43214.70333333333</v>
      </c>
      <c r="C555" t="n">
        <v>0</v>
      </c>
      <c r="D555" t="n">
        <v>12</v>
      </c>
      <c r="E555" t="s">
        <v>561</v>
      </c>
      <c r="F555" t="s"/>
      <c r="G555" t="s"/>
      <c r="H555" t="s"/>
      <c r="I555" t="s"/>
      <c r="J555" t="n">
        <v>0</v>
      </c>
      <c r="K555" t="n">
        <v>0</v>
      </c>
      <c r="L555" t="n">
        <v>1</v>
      </c>
      <c r="M555" t="n">
        <v>0</v>
      </c>
    </row>
    <row r="556" spans="1:13">
      <c r="A556" s="1">
        <f>HYPERLINK("http://www.twitter.com/NathanBLawrence/status/988813980415258625", "988813980415258625")</f>
        <v/>
      </c>
      <c r="B556" s="2" t="n">
        <v>43214.67821759259</v>
      </c>
      <c r="C556" t="n">
        <v>0</v>
      </c>
      <c r="D556" t="n">
        <v>29</v>
      </c>
      <c r="E556" t="s">
        <v>562</v>
      </c>
      <c r="F556">
        <f>HYPERLINK("https://video.twimg.com/ext_tw_video/988531396581900288/pu/vid/1280x720/si50zsrdK50DQUrA.mp4?tag=3", "https://video.twimg.com/ext_tw_video/988531396581900288/pu/vid/1280x720/si50zsrdK50DQUrA.mp4?tag=3")</f>
        <v/>
      </c>
      <c r="G556" t="s"/>
      <c r="H556" t="s"/>
      <c r="I556" t="s"/>
      <c r="J556" t="n">
        <v>0</v>
      </c>
      <c r="K556" t="n">
        <v>0</v>
      </c>
      <c r="L556" t="n">
        <v>1</v>
      </c>
      <c r="M556" t="n">
        <v>0</v>
      </c>
    </row>
    <row r="557" spans="1:13">
      <c r="A557" s="1">
        <f>HYPERLINK("http://www.twitter.com/NathanBLawrence/status/988813935154475008", "988813935154475008")</f>
        <v/>
      </c>
      <c r="B557" s="2" t="n">
        <v>43214.67810185185</v>
      </c>
      <c r="C557" t="n">
        <v>0</v>
      </c>
      <c r="D557" t="n">
        <v>1</v>
      </c>
      <c r="E557" t="s">
        <v>563</v>
      </c>
      <c r="F557" t="s"/>
      <c r="G557" t="s"/>
      <c r="H557" t="s"/>
      <c r="I557" t="s"/>
      <c r="J557" t="n">
        <v>0.3818</v>
      </c>
      <c r="K557" t="n">
        <v>0.081</v>
      </c>
      <c r="L557" t="n">
        <v>0.766</v>
      </c>
      <c r="M557" t="n">
        <v>0.153</v>
      </c>
    </row>
    <row r="558" spans="1:13">
      <c r="A558" s="1">
        <f>HYPERLINK("http://www.twitter.com/NathanBLawrence/status/988813182226575362", "988813182226575362")</f>
        <v/>
      </c>
      <c r="B558" s="2" t="n">
        <v>43214.67601851852</v>
      </c>
      <c r="C558" t="n">
        <v>0</v>
      </c>
      <c r="D558" t="n">
        <v>8</v>
      </c>
      <c r="E558" t="s">
        <v>564</v>
      </c>
      <c r="F558" t="s"/>
      <c r="G558" t="s"/>
      <c r="H558" t="s"/>
      <c r="I558" t="s"/>
      <c r="J558" t="n">
        <v>0.3182</v>
      </c>
      <c r="K558" t="n">
        <v>0</v>
      </c>
      <c r="L558" t="n">
        <v>0.905</v>
      </c>
      <c r="M558" t="n">
        <v>0.095</v>
      </c>
    </row>
    <row r="559" spans="1:13">
      <c r="A559" s="1">
        <f>HYPERLINK("http://www.twitter.com/NathanBLawrence/status/988813043273535489", "988813043273535489")</f>
        <v/>
      </c>
      <c r="B559" s="2" t="n">
        <v>43214.67563657407</v>
      </c>
      <c r="C559" t="n">
        <v>0</v>
      </c>
      <c r="D559" t="n">
        <v>2</v>
      </c>
      <c r="E559" t="s">
        <v>565</v>
      </c>
      <c r="F559" t="s"/>
      <c r="G559" t="s"/>
      <c r="H559" t="s"/>
      <c r="I559" t="s"/>
      <c r="J559" t="n">
        <v>0.0772</v>
      </c>
      <c r="K559" t="n">
        <v>0.101</v>
      </c>
      <c r="L559" t="n">
        <v>0.783</v>
      </c>
      <c r="M559" t="n">
        <v>0.115</v>
      </c>
    </row>
    <row r="560" spans="1:13">
      <c r="A560" s="1">
        <f>HYPERLINK("http://www.twitter.com/NathanBLawrence/status/988813030698909697", "988813030698909697")</f>
        <v/>
      </c>
      <c r="B560" s="2" t="n">
        <v>43214.67560185185</v>
      </c>
      <c r="C560" t="n">
        <v>0</v>
      </c>
      <c r="D560" t="n">
        <v>4</v>
      </c>
      <c r="E560" t="s">
        <v>566</v>
      </c>
      <c r="F560" t="s"/>
      <c r="G560" t="s"/>
      <c r="H560" t="s"/>
      <c r="I560" t="s"/>
      <c r="J560" t="n">
        <v>-0.5106000000000001</v>
      </c>
      <c r="K560" t="n">
        <v>0.136</v>
      </c>
      <c r="L560" t="n">
        <v>0.864</v>
      </c>
      <c r="M560" t="n">
        <v>0</v>
      </c>
    </row>
    <row r="561" spans="1:13">
      <c r="A561" s="1">
        <f>HYPERLINK("http://www.twitter.com/NathanBLawrence/status/988793378958692353", "988793378958692353")</f>
        <v/>
      </c>
      <c r="B561" s="2" t="n">
        <v>43214.62137731481</v>
      </c>
      <c r="C561" t="n">
        <v>17</v>
      </c>
      <c r="D561" t="n">
        <v>19</v>
      </c>
      <c r="E561" t="s">
        <v>567</v>
      </c>
      <c r="F561">
        <f>HYPERLINK("http://pbs.twimg.com/media/DbjmVRSXUAAjo7q.jpg", "http://pbs.twimg.com/media/DbjmVRSXUAAjo7q.jpg")</f>
        <v/>
      </c>
      <c r="G561" t="s"/>
      <c r="H561" t="s"/>
      <c r="I561" t="s"/>
      <c r="J561" t="n">
        <v>-0.8374</v>
      </c>
      <c r="K561" t="n">
        <v>0.173</v>
      </c>
      <c r="L561" t="n">
        <v>0.827</v>
      </c>
      <c r="M561" t="n">
        <v>0</v>
      </c>
    </row>
    <row r="562" spans="1:13">
      <c r="A562" s="1">
        <f>HYPERLINK("http://www.twitter.com/NathanBLawrence/status/988777825359548418", "988777825359548418")</f>
        <v/>
      </c>
      <c r="B562" s="2" t="n">
        <v>43214.57844907408</v>
      </c>
      <c r="C562" t="n">
        <v>0</v>
      </c>
      <c r="D562" t="n">
        <v>4</v>
      </c>
      <c r="E562" t="s">
        <v>568</v>
      </c>
      <c r="F562" t="s"/>
      <c r="G562" t="s"/>
      <c r="H562" t="s"/>
      <c r="I562" t="s"/>
      <c r="J562" t="n">
        <v>0.4019</v>
      </c>
      <c r="K562" t="n">
        <v>0</v>
      </c>
      <c r="L562" t="n">
        <v>0.87</v>
      </c>
      <c r="M562" t="n">
        <v>0.13</v>
      </c>
    </row>
    <row r="563" spans="1:13">
      <c r="A563" s="1">
        <f>HYPERLINK("http://www.twitter.com/NathanBLawrence/status/988769634131365888", "988769634131365888")</f>
        <v/>
      </c>
      <c r="B563" s="2" t="n">
        <v>43214.55584490741</v>
      </c>
      <c r="C563" t="n">
        <v>0</v>
      </c>
      <c r="D563" t="n">
        <v>13</v>
      </c>
      <c r="E563" t="s">
        <v>569</v>
      </c>
      <c r="F563" t="s"/>
      <c r="G563" t="s"/>
      <c r="H563" t="s"/>
      <c r="I563" t="s"/>
      <c r="J563" t="n">
        <v>0.5859</v>
      </c>
      <c r="K563" t="n">
        <v>0</v>
      </c>
      <c r="L563" t="n">
        <v>0.833</v>
      </c>
      <c r="M563" t="n">
        <v>0.167</v>
      </c>
    </row>
    <row r="564" spans="1:13">
      <c r="A564" s="1">
        <f>HYPERLINK("http://www.twitter.com/NathanBLawrence/status/988687979051913216", "988687979051913216")</f>
        <v/>
      </c>
      <c r="B564" s="2" t="n">
        <v>43214.33052083333</v>
      </c>
      <c r="C564" t="n">
        <v>0</v>
      </c>
      <c r="D564" t="n">
        <v>2165</v>
      </c>
      <c r="E564" t="s">
        <v>570</v>
      </c>
      <c r="F564" t="s"/>
      <c r="G564" t="s"/>
      <c r="H564" t="s"/>
      <c r="I564" t="s"/>
      <c r="J564" t="n">
        <v>0.7783</v>
      </c>
      <c r="K564" t="n">
        <v>0</v>
      </c>
      <c r="L564" t="n">
        <v>0.595</v>
      </c>
      <c r="M564" t="n">
        <v>0.405</v>
      </c>
    </row>
    <row r="565" spans="1:13">
      <c r="A565" s="1">
        <f>HYPERLINK("http://www.twitter.com/NathanBLawrence/status/988677922079862784", "988677922079862784")</f>
        <v/>
      </c>
      <c r="B565" s="2" t="n">
        <v>43214.30277777778</v>
      </c>
      <c r="C565" t="n">
        <v>0</v>
      </c>
      <c r="D565" t="n">
        <v>726</v>
      </c>
      <c r="E565" t="s">
        <v>571</v>
      </c>
      <c r="F565">
        <f>HYPERLINK("http://pbs.twimg.com/media/Dbgxq7YV4AAERN6.jpg", "http://pbs.twimg.com/media/Dbgxq7YV4AAERN6.jpg")</f>
        <v/>
      </c>
      <c r="G565" t="s"/>
      <c r="H565" t="s"/>
      <c r="I565" t="s"/>
      <c r="J565" t="n">
        <v>-0.3612</v>
      </c>
      <c r="K565" t="n">
        <v>0.094</v>
      </c>
      <c r="L565" t="n">
        <v>0.906</v>
      </c>
      <c r="M565" t="n">
        <v>0</v>
      </c>
    </row>
    <row r="566" spans="1:13">
      <c r="A566" s="1">
        <f>HYPERLINK("http://www.twitter.com/NathanBLawrence/status/988676765278265344", "988676765278265344")</f>
        <v/>
      </c>
      <c r="B566" s="2" t="n">
        <v>43214.29958333333</v>
      </c>
      <c r="C566" t="n">
        <v>0</v>
      </c>
      <c r="D566" t="n">
        <v>20215</v>
      </c>
      <c r="E566" t="s">
        <v>572</v>
      </c>
      <c r="F566" t="s"/>
      <c r="G566" t="s"/>
      <c r="H566" t="s"/>
      <c r="I566" t="s"/>
      <c r="J566" t="n">
        <v>0</v>
      </c>
      <c r="K566" t="n">
        <v>0</v>
      </c>
      <c r="L566" t="n">
        <v>1</v>
      </c>
      <c r="M566" t="n">
        <v>0</v>
      </c>
    </row>
    <row r="567" spans="1:13">
      <c r="A567" s="1">
        <f>HYPERLINK("http://www.twitter.com/NathanBLawrence/status/988676688333680640", "988676688333680640")</f>
        <v/>
      </c>
      <c r="B567" s="2" t="n">
        <v>43214.29936342593</v>
      </c>
      <c r="C567" t="n">
        <v>0</v>
      </c>
      <c r="D567" t="n">
        <v>10</v>
      </c>
      <c r="E567" t="s">
        <v>573</v>
      </c>
      <c r="F567" t="s"/>
      <c r="G567" t="s"/>
      <c r="H567" t="s"/>
      <c r="I567" t="s"/>
      <c r="J567" t="n">
        <v>0</v>
      </c>
      <c r="K567" t="n">
        <v>0</v>
      </c>
      <c r="L567" t="n">
        <v>1</v>
      </c>
      <c r="M567" t="n">
        <v>0</v>
      </c>
    </row>
    <row r="568" spans="1:13">
      <c r="A568" s="1">
        <f>HYPERLINK("http://www.twitter.com/NathanBLawrence/status/988673171279831040", "988673171279831040")</f>
        <v/>
      </c>
      <c r="B568" s="2" t="n">
        <v>43214.28966435185</v>
      </c>
      <c r="C568" t="n">
        <v>0</v>
      </c>
      <c r="D568" t="n">
        <v>55</v>
      </c>
      <c r="E568" t="s">
        <v>574</v>
      </c>
      <c r="F568" t="s"/>
      <c r="G568" t="s"/>
      <c r="H568" t="s"/>
      <c r="I568" t="s"/>
      <c r="J568" t="n">
        <v>-0.5859</v>
      </c>
      <c r="K568" t="n">
        <v>0.194</v>
      </c>
      <c r="L568" t="n">
        <v>0.806</v>
      </c>
      <c r="M568" t="n">
        <v>0</v>
      </c>
    </row>
    <row r="569" spans="1:13">
      <c r="A569" s="1">
        <f>HYPERLINK("http://www.twitter.com/NathanBLawrence/status/988673011183247360", "988673011183247360")</f>
        <v/>
      </c>
      <c r="B569" s="2" t="n">
        <v>43214.28922453704</v>
      </c>
      <c r="C569" t="n">
        <v>0</v>
      </c>
      <c r="D569" t="n">
        <v>10</v>
      </c>
      <c r="E569" t="s">
        <v>575</v>
      </c>
      <c r="F569" t="s"/>
      <c r="G569" t="s"/>
      <c r="H569" t="s"/>
      <c r="I569" t="s"/>
      <c r="J569" t="n">
        <v>0</v>
      </c>
      <c r="K569" t="n">
        <v>0</v>
      </c>
      <c r="L569" t="n">
        <v>1</v>
      </c>
      <c r="M569" t="n">
        <v>0</v>
      </c>
    </row>
    <row r="570" spans="1:13">
      <c r="A570" s="1">
        <f>HYPERLINK("http://www.twitter.com/NathanBLawrence/status/988672964139913216", "988672964139913216")</f>
        <v/>
      </c>
      <c r="B570" s="2" t="n">
        <v>43214.28908564815</v>
      </c>
      <c r="C570" t="n">
        <v>0</v>
      </c>
      <c r="D570" t="n">
        <v>18</v>
      </c>
      <c r="E570" t="s">
        <v>576</v>
      </c>
      <c r="F570" t="s"/>
      <c r="G570" t="s"/>
      <c r="H570" t="s"/>
      <c r="I570" t="s"/>
      <c r="J570" t="n">
        <v>0</v>
      </c>
      <c r="K570" t="n">
        <v>0</v>
      </c>
      <c r="L570" t="n">
        <v>1</v>
      </c>
      <c r="M570" t="n">
        <v>0</v>
      </c>
    </row>
    <row r="571" spans="1:13">
      <c r="A571" s="1">
        <f>HYPERLINK("http://www.twitter.com/NathanBLawrence/status/988665846175322112", "988665846175322112")</f>
        <v/>
      </c>
      <c r="B571" s="2" t="n">
        <v>43214.26944444444</v>
      </c>
      <c r="C571" t="n">
        <v>0</v>
      </c>
      <c r="D571" t="n">
        <v>1</v>
      </c>
      <c r="E571" t="s">
        <v>577</v>
      </c>
      <c r="F571" t="s"/>
      <c r="G571" t="s"/>
      <c r="H571" t="s"/>
      <c r="I571" t="s"/>
      <c r="J571" t="n">
        <v>0.7412</v>
      </c>
      <c r="K571" t="n">
        <v>0</v>
      </c>
      <c r="L571" t="n">
        <v>0.674</v>
      </c>
      <c r="M571" t="n">
        <v>0.326</v>
      </c>
    </row>
    <row r="572" spans="1:13">
      <c r="A572" s="1">
        <f>HYPERLINK("http://www.twitter.com/NathanBLawrence/status/988653800859807745", "988653800859807745")</f>
        <v/>
      </c>
      <c r="B572" s="2" t="n">
        <v>43214.23621527778</v>
      </c>
      <c r="C572" t="n">
        <v>1</v>
      </c>
      <c r="D572" t="n">
        <v>0</v>
      </c>
      <c r="E572" t="s">
        <v>578</v>
      </c>
      <c r="F572" t="s"/>
      <c r="G572" t="s"/>
      <c r="H572" t="s"/>
      <c r="I572" t="s"/>
      <c r="J572" t="n">
        <v>0.8541</v>
      </c>
      <c r="K572" t="n">
        <v>0</v>
      </c>
      <c r="L572" t="n">
        <v>0.735</v>
      </c>
      <c r="M572" t="n">
        <v>0.265</v>
      </c>
    </row>
    <row r="573" spans="1:13">
      <c r="A573" s="1">
        <f>HYPERLINK("http://www.twitter.com/NathanBLawrence/status/988642617457020928", "988642617457020928")</f>
        <v/>
      </c>
      <c r="B573" s="2" t="n">
        <v>43214.20534722223</v>
      </c>
      <c r="C573" t="n">
        <v>0</v>
      </c>
      <c r="D573" t="n">
        <v>2</v>
      </c>
      <c r="E573" t="s">
        <v>579</v>
      </c>
      <c r="F573" t="s"/>
      <c r="G573" t="s"/>
      <c r="H573" t="s"/>
      <c r="I573" t="s"/>
      <c r="J573" t="n">
        <v>0</v>
      </c>
      <c r="K573" t="n">
        <v>0</v>
      </c>
      <c r="L573" t="n">
        <v>1</v>
      </c>
      <c r="M573" t="n">
        <v>0</v>
      </c>
    </row>
    <row r="574" spans="1:13">
      <c r="A574" s="1">
        <f>HYPERLINK("http://www.twitter.com/NathanBLawrence/status/988641221051547648", "988641221051547648")</f>
        <v/>
      </c>
      <c r="B574" s="2" t="n">
        <v>43214.20149305555</v>
      </c>
      <c r="C574" t="n">
        <v>0</v>
      </c>
      <c r="D574" t="n">
        <v>0</v>
      </c>
      <c r="E574" t="s">
        <v>580</v>
      </c>
      <c r="F574" t="s"/>
      <c r="G574" t="s"/>
      <c r="H574" t="s"/>
      <c r="I574" t="s"/>
      <c r="J574" t="n">
        <v>0.7573</v>
      </c>
      <c r="K574" t="n">
        <v>0.063</v>
      </c>
      <c r="L574" t="n">
        <v>0.757</v>
      </c>
      <c r="M574" t="n">
        <v>0.18</v>
      </c>
    </row>
    <row r="575" spans="1:13">
      <c r="A575" s="1">
        <f>HYPERLINK("http://www.twitter.com/NathanBLawrence/status/988605780659134464", "988605780659134464")</f>
        <v/>
      </c>
      <c r="B575" s="2" t="n">
        <v>43214.1037037037</v>
      </c>
      <c r="C575" t="n">
        <v>0</v>
      </c>
      <c r="D575" t="n">
        <v>10</v>
      </c>
      <c r="E575" t="s">
        <v>581</v>
      </c>
      <c r="F575" t="s"/>
      <c r="G575" t="s"/>
      <c r="H575" t="s"/>
      <c r="I575" t="s"/>
      <c r="J575" t="n">
        <v>0</v>
      </c>
      <c r="K575" t="n">
        <v>0</v>
      </c>
      <c r="L575" t="n">
        <v>1</v>
      </c>
      <c r="M575" t="n">
        <v>0</v>
      </c>
    </row>
    <row r="576" spans="1:13">
      <c r="A576" s="1">
        <f>HYPERLINK("http://www.twitter.com/NathanBLawrence/status/988592810789101574", "988592810789101574")</f>
        <v/>
      </c>
      <c r="B576" s="2" t="n">
        <v>43214.06790509259</v>
      </c>
      <c r="C576" t="n">
        <v>0</v>
      </c>
      <c r="D576" t="n">
        <v>26</v>
      </c>
      <c r="E576" t="s">
        <v>582</v>
      </c>
      <c r="F576" t="s"/>
      <c r="G576" t="s"/>
      <c r="H576" t="s"/>
      <c r="I576" t="s"/>
      <c r="J576" t="n">
        <v>0.4019</v>
      </c>
      <c r="K576" t="n">
        <v>0</v>
      </c>
      <c r="L576" t="n">
        <v>0.828</v>
      </c>
      <c r="M576" t="n">
        <v>0.172</v>
      </c>
    </row>
    <row r="577" spans="1:13">
      <c r="A577" s="1">
        <f>HYPERLINK("http://www.twitter.com/NathanBLawrence/status/988592797900001280", "988592797900001280")</f>
        <v/>
      </c>
      <c r="B577" s="2" t="n">
        <v>43214.06787037037</v>
      </c>
      <c r="C577" t="n">
        <v>0</v>
      </c>
      <c r="D577" t="n">
        <v>3</v>
      </c>
      <c r="E577" t="s">
        <v>583</v>
      </c>
      <c r="F577" t="s"/>
      <c r="G577" t="s"/>
      <c r="H577" t="s"/>
      <c r="I577" t="s"/>
      <c r="J577" t="n">
        <v>0.1655</v>
      </c>
      <c r="K577" t="n">
        <v>0.115</v>
      </c>
      <c r="L577" t="n">
        <v>0.67</v>
      </c>
      <c r="M577" t="n">
        <v>0.214</v>
      </c>
    </row>
    <row r="578" spans="1:13">
      <c r="A578" s="1">
        <f>HYPERLINK("http://www.twitter.com/NathanBLawrence/status/988592787527536640", "988592787527536640")</f>
        <v/>
      </c>
      <c r="B578" s="2" t="n">
        <v>43214.06784722222</v>
      </c>
      <c r="C578" t="n">
        <v>0</v>
      </c>
      <c r="D578" t="n">
        <v>3</v>
      </c>
      <c r="E578" t="s">
        <v>584</v>
      </c>
      <c r="F578" t="s"/>
      <c r="G578" t="s"/>
      <c r="H578" t="s"/>
      <c r="I578" t="s"/>
      <c r="J578" t="n">
        <v>0.4215</v>
      </c>
      <c r="K578" t="n">
        <v>0</v>
      </c>
      <c r="L578" t="n">
        <v>0.843</v>
      </c>
      <c r="M578" t="n">
        <v>0.157</v>
      </c>
    </row>
    <row r="579" spans="1:13">
      <c r="A579" s="1">
        <f>HYPERLINK("http://www.twitter.com/NathanBLawrence/status/988589115091365889", "988589115091365889")</f>
        <v/>
      </c>
      <c r="B579" s="2" t="n">
        <v>43214.05770833333</v>
      </c>
      <c r="C579" t="n">
        <v>0</v>
      </c>
      <c r="D579" t="n">
        <v>46</v>
      </c>
      <c r="E579" t="s">
        <v>585</v>
      </c>
      <c r="F579" t="s"/>
      <c r="G579" t="s"/>
      <c r="H579" t="s"/>
      <c r="I579" t="s"/>
      <c r="J579" t="n">
        <v>0.0772</v>
      </c>
      <c r="K579" t="n">
        <v>0.089</v>
      </c>
      <c r="L579" t="n">
        <v>0.8100000000000001</v>
      </c>
      <c r="M579" t="n">
        <v>0.101</v>
      </c>
    </row>
    <row r="580" spans="1:13">
      <c r="A580" s="1">
        <f>HYPERLINK("http://www.twitter.com/NathanBLawrence/status/988589051203801090", "988589051203801090")</f>
        <v/>
      </c>
      <c r="B580" s="2" t="n">
        <v>43214.05753472223</v>
      </c>
      <c r="C580" t="n">
        <v>0</v>
      </c>
      <c r="D580" t="n">
        <v>78</v>
      </c>
      <c r="E580" t="s">
        <v>586</v>
      </c>
      <c r="F580" t="s"/>
      <c r="G580" t="s"/>
      <c r="H580" t="s"/>
      <c r="I580" t="s"/>
      <c r="J580" t="n">
        <v>-0.5622</v>
      </c>
      <c r="K580" t="n">
        <v>0.176</v>
      </c>
      <c r="L580" t="n">
        <v>0.824</v>
      </c>
      <c r="M580" t="n">
        <v>0</v>
      </c>
    </row>
    <row r="581" spans="1:13">
      <c r="A581" s="1">
        <f>HYPERLINK("http://www.twitter.com/NathanBLawrence/status/988589032472014853", "988589032472014853")</f>
        <v/>
      </c>
      <c r="B581" s="2" t="n">
        <v>43214.05748842593</v>
      </c>
      <c r="C581" t="n">
        <v>0</v>
      </c>
      <c r="D581" t="n">
        <v>1</v>
      </c>
      <c r="E581" t="s">
        <v>587</v>
      </c>
      <c r="F581" t="s"/>
      <c r="G581" t="s"/>
      <c r="H581" t="s"/>
      <c r="I581" t="s"/>
      <c r="J581" t="n">
        <v>0.3421</v>
      </c>
      <c r="K581" t="n">
        <v>0</v>
      </c>
      <c r="L581" t="n">
        <v>0.792</v>
      </c>
      <c r="M581" t="n">
        <v>0.208</v>
      </c>
    </row>
    <row r="582" spans="1:13">
      <c r="A582" s="1">
        <f>HYPERLINK("http://www.twitter.com/NathanBLawrence/status/988588788950749184", "988588788950749184")</f>
        <v/>
      </c>
      <c r="B582" s="2" t="n">
        <v>43214.05681712963</v>
      </c>
      <c r="C582" t="n">
        <v>0</v>
      </c>
      <c r="D582" t="n">
        <v>1</v>
      </c>
      <c r="E582" t="s">
        <v>588</v>
      </c>
      <c r="F582" t="s"/>
      <c r="G582" t="s"/>
      <c r="H582" t="s"/>
      <c r="I582" t="s"/>
      <c r="J582" t="n">
        <v>0.3802</v>
      </c>
      <c r="K582" t="n">
        <v>0.08699999999999999</v>
      </c>
      <c r="L582" t="n">
        <v>0.769</v>
      </c>
      <c r="M582" t="n">
        <v>0.143</v>
      </c>
    </row>
    <row r="583" spans="1:13">
      <c r="A583" s="1">
        <f>HYPERLINK("http://www.twitter.com/NathanBLawrence/status/988588497647886336", "988588497647886336")</f>
        <v/>
      </c>
      <c r="B583" s="2" t="n">
        <v>43214.05600694445</v>
      </c>
      <c r="C583" t="n">
        <v>0</v>
      </c>
      <c r="D583" t="n">
        <v>38</v>
      </c>
      <c r="E583" t="s">
        <v>589</v>
      </c>
      <c r="F583" t="s"/>
      <c r="G583" t="s"/>
      <c r="H583" t="s"/>
      <c r="I583" t="s"/>
      <c r="J583" t="n">
        <v>-0.3612</v>
      </c>
      <c r="K583" t="n">
        <v>0.111</v>
      </c>
      <c r="L583" t="n">
        <v>0.889</v>
      </c>
      <c r="M583" t="n">
        <v>0</v>
      </c>
    </row>
    <row r="584" spans="1:13">
      <c r="A584" s="1">
        <f>HYPERLINK("http://www.twitter.com/NathanBLawrence/status/988578561811472384", "988578561811472384")</f>
        <v/>
      </c>
      <c r="B584" s="2" t="n">
        <v>43214.02858796297</v>
      </c>
      <c r="C584" t="n">
        <v>0</v>
      </c>
      <c r="D584" t="n">
        <v>138</v>
      </c>
      <c r="E584" t="s">
        <v>590</v>
      </c>
      <c r="F584">
        <f>HYPERLINK("http://pbs.twimg.com/media/DbgZH5hUQAAzqyI.jpg", "http://pbs.twimg.com/media/DbgZH5hUQAAzqyI.jpg")</f>
        <v/>
      </c>
      <c r="G584">
        <f>HYPERLINK("http://pbs.twimg.com/media/DbgZH5fU0AAsPYf.jpg", "http://pbs.twimg.com/media/DbgZH5fU0AAsPYf.jpg")</f>
        <v/>
      </c>
      <c r="H584">
        <f>HYPERLINK("http://pbs.twimg.com/media/DbgZH5gV4AA01dW.jpg", "http://pbs.twimg.com/media/DbgZH5gV4AA01dW.jpg")</f>
        <v/>
      </c>
      <c r="I584" t="s"/>
      <c r="J584" t="n">
        <v>0.4738</v>
      </c>
      <c r="K584" t="n">
        <v>0</v>
      </c>
      <c r="L584" t="n">
        <v>0.846</v>
      </c>
      <c r="M584" t="n">
        <v>0.154</v>
      </c>
    </row>
    <row r="585" spans="1:13">
      <c r="A585" s="1">
        <f>HYPERLINK("http://www.twitter.com/NathanBLawrence/status/988576325278617600", "988576325278617600")</f>
        <v/>
      </c>
      <c r="B585" s="2" t="n">
        <v>43214.02241898148</v>
      </c>
      <c r="C585" t="n">
        <v>3</v>
      </c>
      <c r="D585" t="n">
        <v>0</v>
      </c>
      <c r="E585" t="s">
        <v>591</v>
      </c>
      <c r="F585" t="s"/>
      <c r="G585" t="s"/>
      <c r="H585" t="s"/>
      <c r="I585" t="s"/>
      <c r="J585" t="n">
        <v>-0.7886</v>
      </c>
      <c r="K585" t="n">
        <v>0.264</v>
      </c>
      <c r="L585" t="n">
        <v>0.5570000000000001</v>
      </c>
      <c r="M585" t="n">
        <v>0.179</v>
      </c>
    </row>
    <row r="586" spans="1:13">
      <c r="A586" s="1">
        <f>HYPERLINK("http://www.twitter.com/NathanBLawrence/status/988569258983673861", "988569258983673861")</f>
        <v/>
      </c>
      <c r="B586" s="2" t="n">
        <v>43214.00291666666</v>
      </c>
      <c r="C586" t="n">
        <v>0</v>
      </c>
      <c r="D586" t="n">
        <v>9</v>
      </c>
      <c r="E586" t="s">
        <v>592</v>
      </c>
      <c r="F586" t="s"/>
      <c r="G586" t="s"/>
      <c r="H586" t="s"/>
      <c r="I586" t="s"/>
      <c r="J586" t="n">
        <v>0</v>
      </c>
      <c r="K586" t="n">
        <v>0</v>
      </c>
      <c r="L586" t="n">
        <v>1</v>
      </c>
      <c r="M586" t="n">
        <v>0</v>
      </c>
    </row>
    <row r="587" spans="1:13">
      <c r="A587" s="1">
        <f>HYPERLINK("http://www.twitter.com/NathanBLawrence/status/988549225452593153", "988549225452593153")</f>
        <v/>
      </c>
      <c r="B587" s="2" t="n">
        <v>43213.94763888889</v>
      </c>
      <c r="C587" t="n">
        <v>7</v>
      </c>
      <c r="D587" t="n">
        <v>9</v>
      </c>
      <c r="E587" t="s">
        <v>593</v>
      </c>
      <c r="F587" t="s"/>
      <c r="G587" t="s"/>
      <c r="H587" t="s"/>
      <c r="I587" t="s"/>
      <c r="J587" t="n">
        <v>0</v>
      </c>
      <c r="K587" t="n">
        <v>0</v>
      </c>
      <c r="L587" t="n">
        <v>1</v>
      </c>
      <c r="M587" t="n">
        <v>0</v>
      </c>
    </row>
    <row r="588" spans="1:13">
      <c r="A588" s="1">
        <f>HYPERLINK("http://www.twitter.com/NathanBLawrence/status/988540453057425410", "988540453057425410")</f>
        <v/>
      </c>
      <c r="B588" s="2" t="n">
        <v>43213.92342592592</v>
      </c>
      <c r="C588" t="n">
        <v>0</v>
      </c>
      <c r="D588" t="n">
        <v>9</v>
      </c>
      <c r="E588" t="s">
        <v>594</v>
      </c>
      <c r="F588" t="s"/>
      <c r="G588" t="s"/>
      <c r="H588" t="s"/>
      <c r="I588" t="s"/>
      <c r="J588" t="n">
        <v>0.128</v>
      </c>
      <c r="K588" t="n">
        <v>0</v>
      </c>
      <c r="L588" t="n">
        <v>0.93</v>
      </c>
      <c r="M588" t="n">
        <v>0.07000000000000001</v>
      </c>
    </row>
    <row r="589" spans="1:13">
      <c r="A589" s="1">
        <f>HYPERLINK("http://www.twitter.com/NathanBLawrence/status/988540407473721344", "988540407473721344")</f>
        <v/>
      </c>
      <c r="B589" s="2" t="n">
        <v>43213.92329861111</v>
      </c>
      <c r="C589" t="n">
        <v>0</v>
      </c>
      <c r="D589" t="n">
        <v>2</v>
      </c>
      <c r="E589" t="s">
        <v>595</v>
      </c>
      <c r="F589" t="s"/>
      <c r="G589" t="s"/>
      <c r="H589" t="s"/>
      <c r="I589" t="s"/>
      <c r="J589" t="n">
        <v>0</v>
      </c>
      <c r="K589" t="n">
        <v>0</v>
      </c>
      <c r="L589" t="n">
        <v>1</v>
      </c>
      <c r="M589" t="n">
        <v>0</v>
      </c>
    </row>
    <row r="590" spans="1:13">
      <c r="A590" s="1">
        <f>HYPERLINK("http://www.twitter.com/NathanBLawrence/status/988540242587156482", "988540242587156482")</f>
        <v/>
      </c>
      <c r="B590" s="2" t="n">
        <v>43213.92284722222</v>
      </c>
      <c r="C590" t="n">
        <v>0</v>
      </c>
      <c r="D590" t="n">
        <v>1</v>
      </c>
      <c r="E590" t="s">
        <v>596</v>
      </c>
      <c r="F590" t="s"/>
      <c r="G590" t="s"/>
      <c r="H590" t="s"/>
      <c r="I590" t="s"/>
      <c r="J590" t="n">
        <v>0</v>
      </c>
      <c r="K590" t="n">
        <v>0</v>
      </c>
      <c r="L590" t="n">
        <v>1</v>
      </c>
      <c r="M590" t="n">
        <v>0</v>
      </c>
    </row>
    <row r="591" spans="1:13">
      <c r="A591" s="1">
        <f>HYPERLINK("http://www.twitter.com/NathanBLawrence/status/988538004640878592", "988538004640878592")</f>
        <v/>
      </c>
      <c r="B591" s="2" t="n">
        <v>43213.91667824074</v>
      </c>
      <c r="C591" t="n">
        <v>0</v>
      </c>
      <c r="D591" t="n">
        <v>98</v>
      </c>
      <c r="E591" t="s">
        <v>597</v>
      </c>
      <c r="F591">
        <f>HYPERLINK("http://pbs.twimg.com/media/Dbfof5sVwAAXqRy.jpg", "http://pbs.twimg.com/media/Dbfof5sVwAAXqRy.jpg")</f>
        <v/>
      </c>
      <c r="G591">
        <f>HYPERLINK("http://pbs.twimg.com/media/DbfoiUZVQAAwjZ9.jpg", "http://pbs.twimg.com/media/DbfoiUZVQAAwjZ9.jpg")</f>
        <v/>
      </c>
      <c r="H591">
        <f>HYPERLINK("http://pbs.twimg.com/media/DbfojOWUQAEk_pL.jpg", "http://pbs.twimg.com/media/DbfojOWUQAEk_pL.jpg")</f>
        <v/>
      </c>
      <c r="I591">
        <f>HYPERLINK("http://pbs.twimg.com/media/DbfpOQrU8AA3eQV.jpg", "http://pbs.twimg.com/media/DbfpOQrU8AA3eQV.jpg")</f>
        <v/>
      </c>
      <c r="J591" t="n">
        <v>0.7269</v>
      </c>
      <c r="K591" t="n">
        <v>0</v>
      </c>
      <c r="L591" t="n">
        <v>0.764</v>
      </c>
      <c r="M591" t="n">
        <v>0.236</v>
      </c>
    </row>
    <row r="592" spans="1:13">
      <c r="A592" s="1">
        <f>HYPERLINK("http://www.twitter.com/NathanBLawrence/status/988530400283824131", "988530400283824131")</f>
        <v/>
      </c>
      <c r="B592" s="2" t="n">
        <v>43213.89569444444</v>
      </c>
      <c r="C592" t="n">
        <v>10</v>
      </c>
      <c r="D592" t="n">
        <v>5</v>
      </c>
      <c r="E592" t="s">
        <v>598</v>
      </c>
      <c r="F592" t="s"/>
      <c r="G592" t="s"/>
      <c r="H592" t="s"/>
      <c r="I592" t="s"/>
      <c r="J592" t="n">
        <v>0</v>
      </c>
      <c r="K592" t="n">
        <v>0</v>
      </c>
      <c r="L592" t="n">
        <v>1</v>
      </c>
      <c r="M592" t="n">
        <v>0</v>
      </c>
    </row>
    <row r="593" spans="1:13">
      <c r="A593" s="1">
        <f>HYPERLINK("http://www.twitter.com/NathanBLawrence/status/988530074675761153", "988530074675761153")</f>
        <v/>
      </c>
      <c r="B593" s="2" t="n">
        <v>43213.89479166667</v>
      </c>
      <c r="C593" t="n">
        <v>0</v>
      </c>
      <c r="D593" t="n">
        <v>48</v>
      </c>
      <c r="E593" t="s">
        <v>599</v>
      </c>
      <c r="F593">
        <f>HYPERLINK("http://pbs.twimg.com/media/DbF4wD3WAAUaO-r.jpg", "http://pbs.twimg.com/media/DbF4wD3WAAUaO-r.jpg")</f>
        <v/>
      </c>
      <c r="G593" t="s"/>
      <c r="H593" t="s"/>
      <c r="I593" t="s"/>
      <c r="J593" t="n">
        <v>0.7739</v>
      </c>
      <c r="K593" t="n">
        <v>0</v>
      </c>
      <c r="L593" t="n">
        <v>0.704</v>
      </c>
      <c r="M593" t="n">
        <v>0.296</v>
      </c>
    </row>
    <row r="594" spans="1:13">
      <c r="A594" s="1">
        <f>HYPERLINK("http://www.twitter.com/NathanBLawrence/status/988529254156636160", "988529254156636160")</f>
        <v/>
      </c>
      <c r="B594" s="2" t="n">
        <v>43213.89252314815</v>
      </c>
      <c r="C594" t="n">
        <v>0</v>
      </c>
      <c r="D594" t="n">
        <v>457</v>
      </c>
      <c r="E594" t="s">
        <v>600</v>
      </c>
      <c r="F594">
        <f>HYPERLINK("https://video.twimg.com/amplify_video/988448820920049665/vid/1280x720/vDgtLiAhBfo_yMwH.mp4?tag=6", "https://video.twimg.com/amplify_video/988448820920049665/vid/1280x720/vDgtLiAhBfo_yMwH.mp4?tag=6")</f>
        <v/>
      </c>
      <c r="G594" t="s"/>
      <c r="H594" t="s"/>
      <c r="I594" t="s"/>
      <c r="J594" t="n">
        <v>0</v>
      </c>
      <c r="K594" t="n">
        <v>0</v>
      </c>
      <c r="L594" t="n">
        <v>1</v>
      </c>
      <c r="M594" t="n">
        <v>0</v>
      </c>
    </row>
    <row r="595" spans="1:13">
      <c r="A595" s="1">
        <f>HYPERLINK("http://www.twitter.com/NathanBLawrence/status/988528454424580097", "988528454424580097")</f>
        <v/>
      </c>
      <c r="B595" s="2" t="n">
        <v>43213.89032407408</v>
      </c>
      <c r="C595" t="n">
        <v>41</v>
      </c>
      <c r="D595" t="n">
        <v>37</v>
      </c>
      <c r="E595" t="s">
        <v>601</v>
      </c>
      <c r="F595" t="s"/>
      <c r="G595" t="s"/>
      <c r="H595" t="s"/>
      <c r="I595" t="s"/>
      <c r="J595" t="n">
        <v>0.8564000000000001</v>
      </c>
      <c r="K595" t="n">
        <v>0</v>
      </c>
      <c r="L595" t="n">
        <v>0.767</v>
      </c>
      <c r="M595" t="n">
        <v>0.233</v>
      </c>
    </row>
    <row r="596" spans="1:13">
      <c r="A596" s="1">
        <f>HYPERLINK("http://www.twitter.com/NathanBLawrence/status/988526174031802370", "988526174031802370")</f>
        <v/>
      </c>
      <c r="B596" s="2" t="n">
        <v>43213.88402777778</v>
      </c>
      <c r="C596" t="n">
        <v>0</v>
      </c>
      <c r="D596" t="n">
        <v>60</v>
      </c>
      <c r="E596" t="s">
        <v>602</v>
      </c>
      <c r="F596" t="s"/>
      <c r="G596" t="s"/>
      <c r="H596" t="s"/>
      <c r="I596" t="s"/>
      <c r="J596" t="n">
        <v>0</v>
      </c>
      <c r="K596" t="n">
        <v>0</v>
      </c>
      <c r="L596" t="n">
        <v>1</v>
      </c>
      <c r="M596" t="n">
        <v>0</v>
      </c>
    </row>
    <row r="597" spans="1:13">
      <c r="A597" s="1">
        <f>HYPERLINK("http://www.twitter.com/NathanBLawrence/status/988526161046142978", "988526161046142978")</f>
        <v/>
      </c>
      <c r="B597" s="2" t="n">
        <v>43213.88399305556</v>
      </c>
      <c r="C597" t="n">
        <v>0</v>
      </c>
      <c r="D597" t="n">
        <v>17</v>
      </c>
      <c r="E597" t="s">
        <v>603</v>
      </c>
      <c r="F597" t="s"/>
      <c r="G597" t="s"/>
      <c r="H597" t="s"/>
      <c r="I597" t="s"/>
      <c r="J597" t="n">
        <v>0.1779</v>
      </c>
      <c r="K597" t="n">
        <v>0.095</v>
      </c>
      <c r="L597" t="n">
        <v>0.782</v>
      </c>
      <c r="M597" t="n">
        <v>0.123</v>
      </c>
    </row>
    <row r="598" spans="1:13">
      <c r="A598" s="1">
        <f>HYPERLINK("http://www.twitter.com/NathanBLawrence/status/988526151143485446", "988526151143485446")</f>
        <v/>
      </c>
      <c r="B598" s="2" t="n">
        <v>43213.88396990741</v>
      </c>
      <c r="C598" t="n">
        <v>0</v>
      </c>
      <c r="D598" t="n">
        <v>11</v>
      </c>
      <c r="E598" t="s">
        <v>604</v>
      </c>
      <c r="F598" t="s"/>
      <c r="G598" t="s"/>
      <c r="H598" t="s"/>
      <c r="I598" t="s"/>
      <c r="J598" t="n">
        <v>0</v>
      </c>
      <c r="K598" t="n">
        <v>0</v>
      </c>
      <c r="L598" t="n">
        <v>1</v>
      </c>
      <c r="M598" t="n">
        <v>0</v>
      </c>
    </row>
    <row r="599" spans="1:13">
      <c r="A599" s="1">
        <f>HYPERLINK("http://www.twitter.com/NathanBLawrence/status/988525643905290241", "988525643905290241")</f>
        <v/>
      </c>
      <c r="B599" s="2" t="n">
        <v>43213.88256944445</v>
      </c>
      <c r="C599" t="n">
        <v>0</v>
      </c>
      <c r="D599" t="n">
        <v>6</v>
      </c>
      <c r="E599" t="s">
        <v>605</v>
      </c>
      <c r="F599" t="s"/>
      <c r="G599" t="s"/>
      <c r="H599" t="s"/>
      <c r="I599" t="s"/>
      <c r="J599" t="n">
        <v>0</v>
      </c>
      <c r="K599" t="n">
        <v>0</v>
      </c>
      <c r="L599" t="n">
        <v>1</v>
      </c>
      <c r="M599" t="n">
        <v>0</v>
      </c>
    </row>
    <row r="600" spans="1:13">
      <c r="A600" s="1">
        <f>HYPERLINK("http://www.twitter.com/NathanBLawrence/status/988524883796746241", "988524883796746241")</f>
        <v/>
      </c>
      <c r="B600" s="2" t="n">
        <v>43213.88046296296</v>
      </c>
      <c r="C600" t="n">
        <v>0</v>
      </c>
      <c r="D600" t="n">
        <v>13</v>
      </c>
      <c r="E600" t="s">
        <v>606</v>
      </c>
      <c r="F600" t="s"/>
      <c r="G600" t="s"/>
      <c r="H600" t="s"/>
      <c r="I600" t="s"/>
      <c r="J600" t="n">
        <v>-0.4215</v>
      </c>
      <c r="K600" t="n">
        <v>0.128</v>
      </c>
      <c r="L600" t="n">
        <v>0.872</v>
      </c>
      <c r="M600" t="n">
        <v>0</v>
      </c>
    </row>
    <row r="601" spans="1:13">
      <c r="A601" s="1">
        <f>HYPERLINK("http://www.twitter.com/NathanBLawrence/status/988506116534538246", "988506116534538246")</f>
        <v/>
      </c>
      <c r="B601" s="2" t="n">
        <v>43213.82868055555</v>
      </c>
      <c r="C601" t="n">
        <v>0</v>
      </c>
      <c r="D601" t="n">
        <v>4</v>
      </c>
      <c r="E601" t="s">
        <v>607</v>
      </c>
      <c r="F601">
        <f>HYPERLINK("http://pbs.twimg.com/media/DbfeouOWkAAfO9h.jpg", "http://pbs.twimg.com/media/DbfeouOWkAAfO9h.jpg")</f>
        <v/>
      </c>
      <c r="G601" t="s"/>
      <c r="H601" t="s"/>
      <c r="I601" t="s"/>
      <c r="J601" t="n">
        <v>0</v>
      </c>
      <c r="K601" t="n">
        <v>0</v>
      </c>
      <c r="L601" t="n">
        <v>1</v>
      </c>
      <c r="M601" t="n">
        <v>0</v>
      </c>
    </row>
    <row r="602" spans="1:13">
      <c r="A602" s="1">
        <f>HYPERLINK("http://www.twitter.com/NathanBLawrence/status/988506016529747968", "988506016529747968")</f>
        <v/>
      </c>
      <c r="B602" s="2" t="n">
        <v>43213.82840277778</v>
      </c>
      <c r="C602" t="n">
        <v>0</v>
      </c>
      <c r="D602" t="n">
        <v>526</v>
      </c>
      <c r="E602" t="s">
        <v>608</v>
      </c>
      <c r="F602" t="s"/>
      <c r="G602" t="s"/>
      <c r="H602" t="s"/>
      <c r="I602" t="s"/>
      <c r="J602" t="n">
        <v>0</v>
      </c>
      <c r="K602" t="n">
        <v>0</v>
      </c>
      <c r="L602" t="n">
        <v>1</v>
      </c>
      <c r="M602" t="n">
        <v>0</v>
      </c>
    </row>
    <row r="603" spans="1:13">
      <c r="A603" s="1">
        <f>HYPERLINK("http://www.twitter.com/NathanBLawrence/status/988505995759509504", "988505995759509504")</f>
        <v/>
      </c>
      <c r="B603" s="2" t="n">
        <v>43213.82834490741</v>
      </c>
      <c r="C603" t="n">
        <v>0</v>
      </c>
      <c r="D603" t="n">
        <v>3</v>
      </c>
      <c r="E603" t="s">
        <v>609</v>
      </c>
      <c r="F603" t="s"/>
      <c r="G603" t="s"/>
      <c r="H603" t="s"/>
      <c r="I603" t="s"/>
      <c r="J603" t="n">
        <v>0</v>
      </c>
      <c r="K603" t="n">
        <v>0</v>
      </c>
      <c r="L603" t="n">
        <v>1</v>
      </c>
      <c r="M603" t="n">
        <v>0</v>
      </c>
    </row>
    <row r="604" spans="1:13">
      <c r="A604" s="1">
        <f>HYPERLINK("http://www.twitter.com/NathanBLawrence/status/988505663054798848", "988505663054798848")</f>
        <v/>
      </c>
      <c r="B604" s="2" t="n">
        <v>43213.82743055555</v>
      </c>
      <c r="C604" t="n">
        <v>2</v>
      </c>
      <c r="D604" t="n">
        <v>3</v>
      </c>
      <c r="E604" t="s">
        <v>610</v>
      </c>
      <c r="F604" t="s"/>
      <c r="G604" t="s"/>
      <c r="H604" t="s"/>
      <c r="I604" t="s"/>
      <c r="J604" t="n">
        <v>0</v>
      </c>
      <c r="K604" t="n">
        <v>0</v>
      </c>
      <c r="L604" t="n">
        <v>1</v>
      </c>
      <c r="M604" t="n">
        <v>0</v>
      </c>
    </row>
    <row r="605" spans="1:13">
      <c r="A605" s="1">
        <f>HYPERLINK("http://www.twitter.com/NathanBLawrence/status/988498782311632896", "988498782311632896")</f>
        <v/>
      </c>
      <c r="B605" s="2" t="n">
        <v>43213.8084375</v>
      </c>
      <c r="C605" t="n">
        <v>0</v>
      </c>
      <c r="D605" t="n">
        <v>79</v>
      </c>
      <c r="E605" t="s">
        <v>611</v>
      </c>
      <c r="F605" t="s"/>
      <c r="G605" t="s"/>
      <c r="H605" t="s"/>
      <c r="I605" t="s"/>
      <c r="J605" t="n">
        <v>0.4215</v>
      </c>
      <c r="K605" t="n">
        <v>0</v>
      </c>
      <c r="L605" t="n">
        <v>0.859</v>
      </c>
      <c r="M605" t="n">
        <v>0.141</v>
      </c>
    </row>
    <row r="606" spans="1:13">
      <c r="A606" s="1">
        <f>HYPERLINK("http://www.twitter.com/NathanBLawrence/status/988498482850877441", "988498482850877441")</f>
        <v/>
      </c>
      <c r="B606" s="2" t="n">
        <v>43213.80761574074</v>
      </c>
      <c r="C606" t="n">
        <v>0</v>
      </c>
      <c r="D606" t="n">
        <v>167</v>
      </c>
      <c r="E606" t="s">
        <v>612</v>
      </c>
      <c r="F606" t="s"/>
      <c r="G606" t="s"/>
      <c r="H606" t="s"/>
      <c r="I606" t="s"/>
      <c r="J606" t="n">
        <v>0.25</v>
      </c>
      <c r="K606" t="n">
        <v>0</v>
      </c>
      <c r="L606" t="n">
        <v>0.882</v>
      </c>
      <c r="M606" t="n">
        <v>0.118</v>
      </c>
    </row>
    <row r="607" spans="1:13">
      <c r="A607" s="1">
        <f>HYPERLINK("http://www.twitter.com/NathanBLawrence/status/988495417200594946", "988495417200594946")</f>
        <v/>
      </c>
      <c r="B607" s="2" t="n">
        <v>43213.79915509259</v>
      </c>
      <c r="C607" t="n">
        <v>0</v>
      </c>
      <c r="D607" t="n">
        <v>1628</v>
      </c>
      <c r="E607" t="s">
        <v>613</v>
      </c>
      <c r="F607">
        <f>HYPERLINK("http://pbs.twimg.com/media/DbfVWjjVAAA6wg_.jpg", "http://pbs.twimg.com/media/DbfVWjjVAAA6wg_.jpg")</f>
        <v/>
      </c>
      <c r="G607" t="s"/>
      <c r="H607" t="s"/>
      <c r="I607" t="s"/>
      <c r="J607" t="n">
        <v>-0.8718</v>
      </c>
      <c r="K607" t="n">
        <v>0.355</v>
      </c>
      <c r="L607" t="n">
        <v>0.645</v>
      </c>
      <c r="M607" t="n">
        <v>0</v>
      </c>
    </row>
    <row r="608" spans="1:13">
      <c r="A608" s="1">
        <f>HYPERLINK("http://www.twitter.com/NathanBLawrence/status/988495084600676352", "988495084600676352")</f>
        <v/>
      </c>
      <c r="B608" s="2" t="n">
        <v>43213.79824074074</v>
      </c>
      <c r="C608" t="n">
        <v>0</v>
      </c>
      <c r="D608" t="n">
        <v>8</v>
      </c>
      <c r="E608" t="s">
        <v>614</v>
      </c>
      <c r="F608" t="s"/>
      <c r="G608" t="s"/>
      <c r="H608" t="s"/>
      <c r="I608" t="s"/>
      <c r="J608" t="n">
        <v>0</v>
      </c>
      <c r="K608" t="n">
        <v>0</v>
      </c>
      <c r="L608" t="n">
        <v>1</v>
      </c>
      <c r="M608" t="n">
        <v>0</v>
      </c>
    </row>
    <row r="609" spans="1:13">
      <c r="A609" s="1">
        <f>HYPERLINK("http://www.twitter.com/NathanBLawrence/status/988494726176395265", "988494726176395265")</f>
        <v/>
      </c>
      <c r="B609" s="2" t="n">
        <v>43213.79724537037</v>
      </c>
      <c r="C609" t="n">
        <v>0</v>
      </c>
      <c r="D609" t="n">
        <v>8178</v>
      </c>
      <c r="E609" t="s">
        <v>615</v>
      </c>
      <c r="F609">
        <f>HYPERLINK("http://pbs.twimg.com/media/DbfV4VPU0AA9KKX.jpg", "http://pbs.twimg.com/media/DbfV4VPU0AA9KKX.jpg")</f>
        <v/>
      </c>
      <c r="G609" t="s"/>
      <c r="H609" t="s"/>
      <c r="I609" t="s"/>
      <c r="J609" t="n">
        <v>0.1531</v>
      </c>
      <c r="K609" t="n">
        <v>0.149</v>
      </c>
      <c r="L609" t="n">
        <v>0.676</v>
      </c>
      <c r="M609" t="n">
        <v>0.176</v>
      </c>
    </row>
    <row r="610" spans="1:13">
      <c r="A610" s="1">
        <f>HYPERLINK("http://www.twitter.com/NathanBLawrence/status/988494562099425280", "988494562099425280")</f>
        <v/>
      </c>
      <c r="B610" s="2" t="n">
        <v>43213.79679398148</v>
      </c>
      <c r="C610" t="n">
        <v>0</v>
      </c>
      <c r="D610" t="n">
        <v>35</v>
      </c>
      <c r="E610" t="s">
        <v>616</v>
      </c>
      <c r="F610">
        <f>HYPERLINK("http://pbs.twimg.com/media/DbfTwIMV4AAMGgC.jpg", "http://pbs.twimg.com/media/DbfTwIMV4AAMGgC.jpg")</f>
        <v/>
      </c>
      <c r="G610">
        <f>HYPERLINK("http://pbs.twimg.com/media/DbfTwIKV0AAGhFI.jpg", "http://pbs.twimg.com/media/DbfTwIKV0AAGhFI.jpg")</f>
        <v/>
      </c>
      <c r="H610">
        <f>HYPERLINK("http://pbs.twimg.com/media/DbfTwILU8AAl-w_.jpg", "http://pbs.twimg.com/media/DbfTwILU8AAl-w_.jpg")</f>
        <v/>
      </c>
      <c r="I610">
        <f>HYPERLINK("http://pbs.twimg.com/media/DbfTwIKV4AAA63q.jpg", "http://pbs.twimg.com/media/DbfTwIKV4AAA63q.jpg")</f>
        <v/>
      </c>
      <c r="J610" t="n">
        <v>0.3182</v>
      </c>
      <c r="K610" t="n">
        <v>0.096</v>
      </c>
      <c r="L610" t="n">
        <v>0.753</v>
      </c>
      <c r="M610" t="n">
        <v>0.151</v>
      </c>
    </row>
    <row r="611" spans="1:13">
      <c r="A611" s="1">
        <f>HYPERLINK("http://www.twitter.com/NathanBLawrence/status/988489108782796800", "988489108782796800")</f>
        <v/>
      </c>
      <c r="B611" s="2" t="n">
        <v>43213.78174768519</v>
      </c>
      <c r="C611" t="n">
        <v>0</v>
      </c>
      <c r="D611" t="n">
        <v>4</v>
      </c>
      <c r="E611" t="s">
        <v>617</v>
      </c>
      <c r="F611" t="s"/>
      <c r="G611" t="s"/>
      <c r="H611" t="s"/>
      <c r="I611" t="s"/>
      <c r="J611" t="n">
        <v>-0.4767</v>
      </c>
      <c r="K611" t="n">
        <v>0.134</v>
      </c>
      <c r="L611" t="n">
        <v>0.866</v>
      </c>
      <c r="M611" t="n">
        <v>0</v>
      </c>
    </row>
    <row r="612" spans="1:13">
      <c r="A612" s="1">
        <f>HYPERLINK("http://www.twitter.com/NathanBLawrence/status/988488080058351616", "988488080058351616")</f>
        <v/>
      </c>
      <c r="B612" s="2" t="n">
        <v>43213.77891203704</v>
      </c>
      <c r="C612" t="n">
        <v>0</v>
      </c>
      <c r="D612" t="n">
        <v>1061</v>
      </c>
      <c r="E612" t="s">
        <v>618</v>
      </c>
      <c r="F612" t="s"/>
      <c r="G612" t="s"/>
      <c r="H612" t="s"/>
      <c r="I612" t="s"/>
      <c r="J612" t="n">
        <v>0</v>
      </c>
      <c r="K612" t="n">
        <v>0</v>
      </c>
      <c r="L612" t="n">
        <v>1</v>
      </c>
      <c r="M612" t="n">
        <v>0</v>
      </c>
    </row>
    <row r="613" spans="1:13">
      <c r="A613" s="1">
        <f>HYPERLINK("http://www.twitter.com/NathanBLawrence/status/988461325838966785", "988461325838966785")</f>
        <v/>
      </c>
      <c r="B613" s="2" t="n">
        <v>43213.70508101852</v>
      </c>
      <c r="C613" t="n">
        <v>0</v>
      </c>
      <c r="D613" t="n">
        <v>296</v>
      </c>
      <c r="E613" t="s">
        <v>619</v>
      </c>
      <c r="F613" t="s"/>
      <c r="G613" t="s"/>
      <c r="H613" t="s"/>
      <c r="I613" t="s"/>
      <c r="J613" t="n">
        <v>0.5319</v>
      </c>
      <c r="K613" t="n">
        <v>0</v>
      </c>
      <c r="L613" t="n">
        <v>0.819</v>
      </c>
      <c r="M613" t="n">
        <v>0.181</v>
      </c>
    </row>
    <row r="614" spans="1:13">
      <c r="A614" s="1">
        <f>HYPERLINK("http://www.twitter.com/NathanBLawrence/status/988459458845138945", "988459458845138945")</f>
        <v/>
      </c>
      <c r="B614" s="2" t="n">
        <v>43213.69993055556</v>
      </c>
      <c r="C614" t="n">
        <v>0</v>
      </c>
      <c r="D614" t="n">
        <v>75859</v>
      </c>
      <c r="E614" t="s">
        <v>620</v>
      </c>
      <c r="F614">
        <f>HYPERLINK("http://pbs.twimg.com/media/DbVWjW6WsAImXx6.jpg", "http://pbs.twimg.com/media/DbVWjW6WsAImXx6.jpg")</f>
        <v/>
      </c>
      <c r="G614" t="s"/>
      <c r="H614" t="s"/>
      <c r="I614" t="s"/>
      <c r="J614" t="n">
        <v>0</v>
      </c>
      <c r="K614" t="n">
        <v>0</v>
      </c>
      <c r="L614" t="n">
        <v>1</v>
      </c>
      <c r="M614" t="n">
        <v>0</v>
      </c>
    </row>
    <row r="615" spans="1:13">
      <c r="A615" s="1">
        <f>HYPERLINK("http://www.twitter.com/NathanBLawrence/status/988459171556352000", "988459171556352000")</f>
        <v/>
      </c>
      <c r="B615" s="2" t="n">
        <v>43213.69913194444</v>
      </c>
      <c r="C615" t="n">
        <v>0</v>
      </c>
      <c r="D615" t="n">
        <v>3333</v>
      </c>
      <c r="E615" t="s">
        <v>621</v>
      </c>
      <c r="F615">
        <f>HYPERLINK("https://video.twimg.com/ext_tw_video/988113506946854912/pu/vid/640x360/hmuWQHDQ77y8ogAW.mp4?tag=3", "https://video.twimg.com/ext_tw_video/988113506946854912/pu/vid/640x360/hmuWQHDQ77y8ogAW.mp4?tag=3")</f>
        <v/>
      </c>
      <c r="G615" t="s"/>
      <c r="H615" t="s"/>
      <c r="I615" t="s"/>
      <c r="J615" t="n">
        <v>0</v>
      </c>
      <c r="K615" t="n">
        <v>0</v>
      </c>
      <c r="L615" t="n">
        <v>1</v>
      </c>
      <c r="M615" t="n">
        <v>0</v>
      </c>
    </row>
    <row r="616" spans="1:13">
      <c r="A616" s="1">
        <f>HYPERLINK("http://www.twitter.com/NathanBLawrence/status/988459105965756416", "988459105965756416")</f>
        <v/>
      </c>
      <c r="B616" s="2" t="n">
        <v>43213.69895833333</v>
      </c>
      <c r="C616" t="n">
        <v>0</v>
      </c>
      <c r="D616" t="n">
        <v>5</v>
      </c>
      <c r="E616" t="s">
        <v>622</v>
      </c>
      <c r="F616" t="s"/>
      <c r="G616" t="s"/>
      <c r="H616" t="s"/>
      <c r="I616" t="s"/>
      <c r="J616" t="n">
        <v>0</v>
      </c>
      <c r="K616" t="n">
        <v>0</v>
      </c>
      <c r="L616" t="n">
        <v>1</v>
      </c>
      <c r="M616" t="n">
        <v>0</v>
      </c>
    </row>
    <row r="617" spans="1:13">
      <c r="A617" s="1">
        <f>HYPERLINK("http://www.twitter.com/NathanBLawrence/status/988458921395441665", "988458921395441665")</f>
        <v/>
      </c>
      <c r="B617" s="2" t="n">
        <v>43213.69844907407</v>
      </c>
      <c r="C617" t="n">
        <v>0</v>
      </c>
      <c r="D617" t="n">
        <v>2573</v>
      </c>
      <c r="E617" t="s">
        <v>623</v>
      </c>
      <c r="F617" t="s"/>
      <c r="G617" t="s"/>
      <c r="H617" t="s"/>
      <c r="I617" t="s"/>
      <c r="J617" t="n">
        <v>0</v>
      </c>
      <c r="K617" t="n">
        <v>0</v>
      </c>
      <c r="L617" t="n">
        <v>1</v>
      </c>
      <c r="M617" t="n">
        <v>0</v>
      </c>
    </row>
    <row r="618" spans="1:13">
      <c r="A618" s="1">
        <f>HYPERLINK("http://www.twitter.com/NathanBLawrence/status/988458185907466241", "988458185907466241")</f>
        <v/>
      </c>
      <c r="B618" s="2" t="n">
        <v>43213.69641203704</v>
      </c>
      <c r="C618" t="n">
        <v>0</v>
      </c>
      <c r="D618" t="n">
        <v>1742</v>
      </c>
      <c r="E618" t="s">
        <v>624</v>
      </c>
      <c r="F618" t="s"/>
      <c r="G618" t="s"/>
      <c r="H618" t="s"/>
      <c r="I618" t="s"/>
      <c r="J618" t="n">
        <v>0.0772</v>
      </c>
      <c r="K618" t="n">
        <v>0</v>
      </c>
      <c r="L618" t="n">
        <v>0.794</v>
      </c>
      <c r="M618" t="n">
        <v>0.206</v>
      </c>
    </row>
    <row r="619" spans="1:13">
      <c r="A619" s="1">
        <f>HYPERLINK("http://www.twitter.com/NathanBLawrence/status/988458142051729409", "988458142051729409")</f>
        <v/>
      </c>
      <c r="B619" s="2" t="n">
        <v>43213.69629629629</v>
      </c>
      <c r="C619" t="n">
        <v>0</v>
      </c>
      <c r="D619" t="n">
        <v>19593</v>
      </c>
      <c r="E619" t="s">
        <v>625</v>
      </c>
      <c r="F619" t="s"/>
      <c r="G619" t="s"/>
      <c r="H619" t="s"/>
      <c r="I619" t="s"/>
      <c r="J619" t="n">
        <v>-0.7003</v>
      </c>
      <c r="K619" t="n">
        <v>0.186</v>
      </c>
      <c r="L619" t="n">
        <v>0.8139999999999999</v>
      </c>
      <c r="M619" t="n">
        <v>0</v>
      </c>
    </row>
    <row r="620" spans="1:13">
      <c r="A620" s="1">
        <f>HYPERLINK("http://www.twitter.com/NathanBLawrence/status/988457155761262592", "988457155761262592")</f>
        <v/>
      </c>
      <c r="B620" s="2" t="n">
        <v>43213.69357638889</v>
      </c>
      <c r="C620" t="n">
        <v>0</v>
      </c>
      <c r="D620" t="n">
        <v>208</v>
      </c>
      <c r="E620" t="s">
        <v>626</v>
      </c>
      <c r="F620">
        <f>HYPERLINK("http://pbs.twimg.com/media/Dbenvk8VMAA9SuQ.jpg", "http://pbs.twimg.com/media/Dbenvk8VMAA9SuQ.jpg")</f>
        <v/>
      </c>
      <c r="G620" t="s"/>
      <c r="H620" t="s"/>
      <c r="I620" t="s"/>
      <c r="J620" t="n">
        <v>-0.3164</v>
      </c>
      <c r="K620" t="n">
        <v>0.203</v>
      </c>
      <c r="L620" t="n">
        <v>0.797</v>
      </c>
      <c r="M620" t="n">
        <v>0</v>
      </c>
    </row>
    <row r="621" spans="1:13">
      <c r="A621" s="1">
        <f>HYPERLINK("http://www.twitter.com/NathanBLawrence/status/988455022227873793", "988455022227873793")</f>
        <v/>
      </c>
      <c r="B621" s="2" t="n">
        <v>43213.68768518518</v>
      </c>
      <c r="C621" t="n">
        <v>0</v>
      </c>
      <c r="D621" t="n">
        <v>6</v>
      </c>
      <c r="E621" t="s">
        <v>627</v>
      </c>
      <c r="F621">
        <f>HYPERLINK("http://pbs.twimg.com/media/DbANJW1VMAAyE3Q.jpg", "http://pbs.twimg.com/media/DbANJW1VMAAyE3Q.jpg")</f>
        <v/>
      </c>
      <c r="G621" t="s"/>
      <c r="H621" t="s"/>
      <c r="I621" t="s"/>
      <c r="J621" t="n">
        <v>0</v>
      </c>
      <c r="K621" t="n">
        <v>0</v>
      </c>
      <c r="L621" t="n">
        <v>1</v>
      </c>
      <c r="M621" t="n">
        <v>0</v>
      </c>
    </row>
    <row r="622" spans="1:13">
      <c r="A622" s="1">
        <f>HYPERLINK("http://www.twitter.com/NathanBLawrence/status/988454843894435840", "988454843894435840")</f>
        <v/>
      </c>
      <c r="B622" s="2" t="n">
        <v>43213.68719907408</v>
      </c>
      <c r="C622" t="n">
        <v>0</v>
      </c>
      <c r="D622" t="n">
        <v>307</v>
      </c>
      <c r="E622" t="s">
        <v>628</v>
      </c>
      <c r="F622" t="s"/>
      <c r="G622" t="s"/>
      <c r="H622" t="s"/>
      <c r="I622" t="s"/>
      <c r="J622" t="n">
        <v>-0.1027</v>
      </c>
      <c r="K622" t="n">
        <v>0.07199999999999999</v>
      </c>
      <c r="L622" t="n">
        <v>0.928</v>
      </c>
      <c r="M622" t="n">
        <v>0</v>
      </c>
    </row>
    <row r="623" spans="1:13">
      <c r="A623" s="1">
        <f>HYPERLINK("http://www.twitter.com/NathanBLawrence/status/988454502725451778", "988454502725451778")</f>
        <v/>
      </c>
      <c r="B623" s="2" t="n">
        <v>43213.68625</v>
      </c>
      <c r="C623" t="n">
        <v>0</v>
      </c>
      <c r="D623" t="n">
        <v>87</v>
      </c>
      <c r="E623" t="s">
        <v>629</v>
      </c>
      <c r="F623" t="s"/>
      <c r="G623" t="s"/>
      <c r="H623" t="s"/>
      <c r="I623" t="s"/>
      <c r="J623" t="n">
        <v>0.3182</v>
      </c>
      <c r="K623" t="n">
        <v>0</v>
      </c>
      <c r="L623" t="n">
        <v>0.897</v>
      </c>
      <c r="M623" t="n">
        <v>0.103</v>
      </c>
    </row>
    <row r="624" spans="1:13">
      <c r="A624" s="1">
        <f>HYPERLINK("http://www.twitter.com/NathanBLawrence/status/988453787089227776", "988453787089227776")</f>
        <v/>
      </c>
      <c r="B624" s="2" t="n">
        <v>43213.6842824074</v>
      </c>
      <c r="C624" t="n">
        <v>0</v>
      </c>
      <c r="D624" t="n">
        <v>6</v>
      </c>
      <c r="E624" t="s">
        <v>630</v>
      </c>
      <c r="F624">
        <f>HYPERLINK("http://pbs.twimg.com/media/DbestUUV0AAw087.jpg", "http://pbs.twimg.com/media/DbestUUV0AAw087.jpg")</f>
        <v/>
      </c>
      <c r="G624" t="s"/>
      <c r="H624" t="s"/>
      <c r="I624" t="s"/>
      <c r="J624" t="n">
        <v>0</v>
      </c>
      <c r="K624" t="n">
        <v>0</v>
      </c>
      <c r="L624" t="n">
        <v>1</v>
      </c>
      <c r="M624" t="n">
        <v>0</v>
      </c>
    </row>
    <row r="625" spans="1:13">
      <c r="A625" s="1">
        <f>HYPERLINK("http://www.twitter.com/NathanBLawrence/status/988442751619555328", "988442751619555328")</f>
        <v/>
      </c>
      <c r="B625" s="2" t="n">
        <v>43213.65383101852</v>
      </c>
      <c r="C625" t="n">
        <v>0</v>
      </c>
      <c r="D625" t="n">
        <v>7</v>
      </c>
      <c r="E625" t="s">
        <v>631</v>
      </c>
      <c r="F625" t="s"/>
      <c r="G625" t="s"/>
      <c r="H625" t="s"/>
      <c r="I625" t="s"/>
      <c r="J625" t="n">
        <v>0</v>
      </c>
      <c r="K625" t="n">
        <v>0</v>
      </c>
      <c r="L625" t="n">
        <v>1</v>
      </c>
      <c r="M625" t="n">
        <v>0</v>
      </c>
    </row>
    <row r="626" spans="1:13">
      <c r="A626" s="1">
        <f>HYPERLINK("http://www.twitter.com/NathanBLawrence/status/988433189956931585", "988433189956931585")</f>
        <v/>
      </c>
      <c r="B626" s="2" t="n">
        <v>43213.62744212963</v>
      </c>
      <c r="C626" t="n">
        <v>0</v>
      </c>
      <c r="D626" t="n">
        <v>9</v>
      </c>
      <c r="E626" t="s">
        <v>632</v>
      </c>
      <c r="F626" t="s"/>
      <c r="G626" t="s"/>
      <c r="H626" t="s"/>
      <c r="I626" t="s"/>
      <c r="J626" t="n">
        <v>0</v>
      </c>
      <c r="K626" t="n">
        <v>0</v>
      </c>
      <c r="L626" t="n">
        <v>1</v>
      </c>
      <c r="M626" t="n">
        <v>0</v>
      </c>
    </row>
    <row r="627" spans="1:13">
      <c r="A627" s="1">
        <f>HYPERLINK("http://www.twitter.com/NathanBLawrence/status/988432688527835137", "988432688527835137")</f>
        <v/>
      </c>
      <c r="B627" s="2" t="n">
        <v>43213.62605324074</v>
      </c>
      <c r="C627" t="n">
        <v>0</v>
      </c>
      <c r="D627" t="n">
        <v>20</v>
      </c>
      <c r="E627" t="s">
        <v>633</v>
      </c>
      <c r="F627" t="s"/>
      <c r="G627" t="s"/>
      <c r="H627" t="s"/>
      <c r="I627" t="s"/>
      <c r="J627" t="n">
        <v>-0.5994</v>
      </c>
      <c r="K627" t="n">
        <v>0.197</v>
      </c>
      <c r="L627" t="n">
        <v>0.803</v>
      </c>
      <c r="M627" t="n">
        <v>0</v>
      </c>
    </row>
    <row r="628" spans="1:13">
      <c r="A628" s="1">
        <f>HYPERLINK("http://www.twitter.com/NathanBLawrence/status/988409853671542784", "988409853671542784")</f>
        <v/>
      </c>
      <c r="B628" s="2" t="n">
        <v>43213.56304398148</v>
      </c>
      <c r="C628" t="n">
        <v>0</v>
      </c>
      <c r="D628" t="n">
        <v>29</v>
      </c>
      <c r="E628" t="s">
        <v>634</v>
      </c>
      <c r="F628">
        <f>HYPERLINK("http://pbs.twimg.com/media/DbeI4d5V0AAEKlg.jpg", "http://pbs.twimg.com/media/DbeI4d5V0AAEKlg.jpg")</f>
        <v/>
      </c>
      <c r="G628" t="s"/>
      <c r="H628" t="s"/>
      <c r="I628" t="s"/>
      <c r="J628" t="n">
        <v>-0.8070000000000001</v>
      </c>
      <c r="K628" t="n">
        <v>0.328</v>
      </c>
      <c r="L628" t="n">
        <v>0.672</v>
      </c>
      <c r="M628" t="n">
        <v>0</v>
      </c>
    </row>
    <row r="629" spans="1:13">
      <c r="A629" s="1">
        <f>HYPERLINK("http://www.twitter.com/NathanBLawrence/status/988409528495607808", "988409528495607808")</f>
        <v/>
      </c>
      <c r="B629" s="2" t="n">
        <v>43213.56215277778</v>
      </c>
      <c r="C629" t="n">
        <v>0</v>
      </c>
      <c r="D629" t="n">
        <v>54</v>
      </c>
      <c r="E629" t="s">
        <v>635</v>
      </c>
      <c r="F629">
        <f>HYPERLINK("http://pbs.twimg.com/media/DaqOcEsWkAAugsX.jpg", "http://pbs.twimg.com/media/DaqOcEsWkAAugsX.jpg")</f>
        <v/>
      </c>
      <c r="G629" t="s"/>
      <c r="H629" t="s"/>
      <c r="I629" t="s"/>
      <c r="J629" t="n">
        <v>0</v>
      </c>
      <c r="K629" t="n">
        <v>0</v>
      </c>
      <c r="L629" t="n">
        <v>1</v>
      </c>
      <c r="M629" t="n">
        <v>0</v>
      </c>
    </row>
    <row r="630" spans="1:13">
      <c r="A630" s="1">
        <f>HYPERLINK("http://www.twitter.com/NathanBLawrence/status/988271519930486785", "988271519930486785")</f>
        <v/>
      </c>
      <c r="B630" s="2" t="n">
        <v>43213.18131944445</v>
      </c>
      <c r="C630" t="n">
        <v>0</v>
      </c>
      <c r="D630" t="n">
        <v>455</v>
      </c>
      <c r="E630" t="s">
        <v>636</v>
      </c>
      <c r="F630">
        <f>HYPERLINK("http://pbs.twimg.com/media/DbPHbuDV4AAsys0.jpg", "http://pbs.twimg.com/media/DbPHbuDV4AAsys0.jpg")</f>
        <v/>
      </c>
      <c r="G630" t="s"/>
      <c r="H630" t="s"/>
      <c r="I630" t="s"/>
      <c r="J630" t="n">
        <v>-0.5859</v>
      </c>
      <c r="K630" t="n">
        <v>0.202</v>
      </c>
      <c r="L630" t="n">
        <v>0.798</v>
      </c>
      <c r="M630" t="n">
        <v>0</v>
      </c>
    </row>
    <row r="631" spans="1:13">
      <c r="A631" s="1">
        <f>HYPERLINK("http://www.twitter.com/NathanBLawrence/status/988265326168166401", "988265326168166401")</f>
        <v/>
      </c>
      <c r="B631" s="2" t="n">
        <v>43213.16422453704</v>
      </c>
      <c r="C631" t="n">
        <v>0</v>
      </c>
      <c r="D631" t="n">
        <v>2032</v>
      </c>
      <c r="E631" t="s">
        <v>637</v>
      </c>
      <c r="F631">
        <f>HYPERLINK("http://pbs.twimg.com/media/DbbHl8NXcAENJXr.jpg", "http://pbs.twimg.com/media/DbbHl8NXcAENJXr.jpg")</f>
        <v/>
      </c>
      <c r="G631" t="s"/>
      <c r="H631" t="s"/>
      <c r="I631" t="s"/>
      <c r="J631" t="n">
        <v>0.296</v>
      </c>
      <c r="K631" t="n">
        <v>0</v>
      </c>
      <c r="L631" t="n">
        <v>0.919</v>
      </c>
      <c r="M631" t="n">
        <v>0.081</v>
      </c>
    </row>
    <row r="632" spans="1:13">
      <c r="A632" s="1">
        <f>HYPERLINK("http://www.twitter.com/NathanBLawrence/status/988259674347667456", "988259674347667456")</f>
        <v/>
      </c>
      <c r="B632" s="2" t="n">
        <v>43213.14862268518</v>
      </c>
      <c r="C632" t="n">
        <v>0</v>
      </c>
      <c r="D632" t="n">
        <v>15</v>
      </c>
      <c r="E632" t="s">
        <v>638</v>
      </c>
      <c r="F632">
        <f>HYPERLINK("http://pbs.twimg.com/media/Dbaat5gUQAAmxUS.jpg", "http://pbs.twimg.com/media/Dbaat5gUQAAmxUS.jpg")</f>
        <v/>
      </c>
      <c r="G632" t="s"/>
      <c r="H632" t="s"/>
      <c r="I632" t="s"/>
      <c r="J632" t="n">
        <v>0.5081</v>
      </c>
      <c r="K632" t="n">
        <v>0.059</v>
      </c>
      <c r="L632" t="n">
        <v>0.751</v>
      </c>
      <c r="M632" t="n">
        <v>0.189</v>
      </c>
    </row>
    <row r="633" spans="1:13">
      <c r="A633" s="1">
        <f>HYPERLINK("http://www.twitter.com/NathanBLawrence/status/988259127750287360", "988259127750287360")</f>
        <v/>
      </c>
      <c r="B633" s="2" t="n">
        <v>43213.14711805555</v>
      </c>
      <c r="C633" t="n">
        <v>0</v>
      </c>
      <c r="D633" t="n">
        <v>32</v>
      </c>
      <c r="E633" t="s">
        <v>639</v>
      </c>
      <c r="F633">
        <f>HYPERLINK("http://pbs.twimg.com/media/DbbWLiqVQAURsO6.jpg", "http://pbs.twimg.com/media/DbbWLiqVQAURsO6.jpg")</f>
        <v/>
      </c>
      <c r="G633" t="s"/>
      <c r="H633" t="s"/>
      <c r="I633" t="s"/>
      <c r="J633" t="n">
        <v>0</v>
      </c>
      <c r="K633" t="n">
        <v>0</v>
      </c>
      <c r="L633" t="n">
        <v>1</v>
      </c>
      <c r="M633" t="n">
        <v>0</v>
      </c>
    </row>
    <row r="634" spans="1:13">
      <c r="A634" s="1">
        <f>HYPERLINK("http://www.twitter.com/NathanBLawrence/status/988242625227624450", "988242625227624450")</f>
        <v/>
      </c>
      <c r="B634" s="2" t="n">
        <v>43213.10158564815</v>
      </c>
      <c r="C634" t="n">
        <v>0</v>
      </c>
      <c r="D634" t="n">
        <v>11</v>
      </c>
      <c r="E634" t="s">
        <v>640</v>
      </c>
      <c r="F634">
        <f>HYPERLINK("http://pbs.twimg.com/media/DbbwoSAW0AU0VLA.jpg", "http://pbs.twimg.com/media/DbbwoSAW0AU0VLA.jpg")</f>
        <v/>
      </c>
      <c r="G634" t="s"/>
      <c r="H634" t="s"/>
      <c r="I634" t="s"/>
      <c r="J634" t="n">
        <v>0.8201000000000001</v>
      </c>
      <c r="K634" t="n">
        <v>0</v>
      </c>
      <c r="L634" t="n">
        <v>0.643</v>
      </c>
      <c r="M634" t="n">
        <v>0.357</v>
      </c>
    </row>
    <row r="635" spans="1:13">
      <c r="A635" s="1">
        <f>HYPERLINK("http://www.twitter.com/NathanBLawrence/status/988230727065055233", "988230727065055233")</f>
        <v/>
      </c>
      <c r="B635" s="2" t="n">
        <v>43213.06875</v>
      </c>
      <c r="C635" t="n">
        <v>0</v>
      </c>
      <c r="D635" t="n">
        <v>18</v>
      </c>
      <c r="E635" t="s">
        <v>641</v>
      </c>
      <c r="F635" t="s"/>
      <c r="G635" t="s"/>
      <c r="H635" t="s"/>
      <c r="I635" t="s"/>
      <c r="J635" t="n">
        <v>-0.6486</v>
      </c>
      <c r="K635" t="n">
        <v>0.238</v>
      </c>
      <c r="L635" t="n">
        <v>0.762</v>
      </c>
      <c r="M635" t="n">
        <v>0</v>
      </c>
    </row>
    <row r="636" spans="1:13">
      <c r="A636" s="1">
        <f>HYPERLINK("http://www.twitter.com/NathanBLawrence/status/988229057769811968", "988229057769811968")</f>
        <v/>
      </c>
      <c r="B636" s="2" t="n">
        <v>43213.06414351852</v>
      </c>
      <c r="C636" t="n">
        <v>0</v>
      </c>
      <c r="D636" t="n">
        <v>13</v>
      </c>
      <c r="E636" t="s">
        <v>642</v>
      </c>
      <c r="F636" t="s"/>
      <c r="G636" t="s"/>
      <c r="H636" t="s"/>
      <c r="I636" t="s"/>
      <c r="J636" t="n">
        <v>0.68</v>
      </c>
      <c r="K636" t="n">
        <v>0</v>
      </c>
      <c r="L636" t="n">
        <v>0.763</v>
      </c>
      <c r="M636" t="n">
        <v>0.237</v>
      </c>
    </row>
    <row r="637" spans="1:13">
      <c r="A637" s="1">
        <f>HYPERLINK("http://www.twitter.com/NathanBLawrence/status/988192296716918784", "988192296716918784")</f>
        <v/>
      </c>
      <c r="B637" s="2" t="n">
        <v>43212.96269675926</v>
      </c>
      <c r="C637" t="n">
        <v>0</v>
      </c>
      <c r="D637" t="n">
        <v>13</v>
      </c>
      <c r="E637" t="s">
        <v>643</v>
      </c>
      <c r="F637">
        <f>HYPERLINK("http://pbs.twimg.com/media/DbZ6CzDXcAEOF6b.jpg", "http://pbs.twimg.com/media/DbZ6CzDXcAEOF6b.jpg")</f>
        <v/>
      </c>
      <c r="G637" t="s"/>
      <c r="H637" t="s"/>
      <c r="I637" t="s"/>
      <c r="J637" t="n">
        <v>0</v>
      </c>
      <c r="K637" t="n">
        <v>0</v>
      </c>
      <c r="L637" t="n">
        <v>1</v>
      </c>
      <c r="M637" t="n">
        <v>0</v>
      </c>
    </row>
    <row r="638" spans="1:13">
      <c r="A638" s="1">
        <f>HYPERLINK("http://www.twitter.com/NathanBLawrence/status/988134628870340608", "988134628870340608")</f>
        <v/>
      </c>
      <c r="B638" s="2" t="n">
        <v>43212.80356481481</v>
      </c>
      <c r="C638" t="n">
        <v>1</v>
      </c>
      <c r="D638" t="n">
        <v>0</v>
      </c>
      <c r="E638" t="s">
        <v>644</v>
      </c>
      <c r="F638">
        <f>HYPERLINK("http://pbs.twimg.com/media/DbaPKaHXkAAAp_t.jpg", "http://pbs.twimg.com/media/DbaPKaHXkAAAp_t.jpg")</f>
        <v/>
      </c>
      <c r="G638" t="s"/>
      <c r="H638" t="s"/>
      <c r="I638" t="s"/>
      <c r="J638" t="n">
        <v>0</v>
      </c>
      <c r="K638" t="n">
        <v>0</v>
      </c>
      <c r="L638" t="n">
        <v>1</v>
      </c>
      <c r="M638" t="n">
        <v>0</v>
      </c>
    </row>
    <row r="639" spans="1:13">
      <c r="A639" s="1">
        <f>HYPERLINK("http://www.twitter.com/NathanBLawrence/status/988132692716916736", "988132692716916736")</f>
        <v/>
      </c>
      <c r="B639" s="2" t="n">
        <v>43212.79822916666</v>
      </c>
      <c r="C639" t="n">
        <v>0</v>
      </c>
      <c r="D639" t="n">
        <v>787</v>
      </c>
      <c r="E639" t="s">
        <v>645</v>
      </c>
      <c r="F639">
        <f>HYPERLINK("http://pbs.twimg.com/media/DbZfMgJV4AAq_jj.jpg", "http://pbs.twimg.com/media/DbZfMgJV4AAq_jj.jpg")</f>
        <v/>
      </c>
      <c r="G639">
        <f>HYPERLINK("http://pbs.twimg.com/media/DbZfMgZU8AAXEyU.jpg", "http://pbs.twimg.com/media/DbZfMgZU8AAXEyU.jpg")</f>
        <v/>
      </c>
      <c r="H639" t="s"/>
      <c r="I639" t="s"/>
      <c r="J639" t="n">
        <v>0</v>
      </c>
      <c r="K639" t="n">
        <v>0</v>
      </c>
      <c r="L639" t="n">
        <v>1</v>
      </c>
      <c r="M639" t="n">
        <v>0</v>
      </c>
    </row>
    <row r="640" spans="1:13">
      <c r="A640" s="1">
        <f>HYPERLINK("http://www.twitter.com/NathanBLawrence/status/988129178573787136", "988129178573787136")</f>
        <v/>
      </c>
      <c r="B640" s="2" t="n">
        <v>43212.78853009259</v>
      </c>
      <c r="C640" t="n">
        <v>0</v>
      </c>
      <c r="D640" t="n">
        <v>2189</v>
      </c>
      <c r="E640" t="s">
        <v>646</v>
      </c>
      <c r="F640" t="s"/>
      <c r="G640" t="s"/>
      <c r="H640" t="s"/>
      <c r="I640" t="s"/>
      <c r="J640" t="n">
        <v>0</v>
      </c>
      <c r="K640" t="n">
        <v>0</v>
      </c>
      <c r="L640" t="n">
        <v>1</v>
      </c>
      <c r="M640" t="n">
        <v>0</v>
      </c>
    </row>
    <row r="641" spans="1:13">
      <c r="A641" s="1">
        <f>HYPERLINK("http://www.twitter.com/NathanBLawrence/status/988127195175510016", "988127195175510016")</f>
        <v/>
      </c>
      <c r="B641" s="2" t="n">
        <v>43212.78305555556</v>
      </c>
      <c r="C641" t="n">
        <v>0</v>
      </c>
      <c r="D641" t="n">
        <v>3260</v>
      </c>
      <c r="E641" t="s">
        <v>647</v>
      </c>
      <c r="F641">
        <f>HYPERLINK("http://pbs.twimg.com/media/DbZ82sTU8AAHTv1.jpg", "http://pbs.twimg.com/media/DbZ82sTU8AAHTv1.jpg")</f>
        <v/>
      </c>
      <c r="G641" t="s"/>
      <c r="H641" t="s"/>
      <c r="I641" t="s"/>
      <c r="J641" t="n">
        <v>0</v>
      </c>
      <c r="K641" t="n">
        <v>0</v>
      </c>
      <c r="L641" t="n">
        <v>1</v>
      </c>
      <c r="M641" t="n">
        <v>0</v>
      </c>
    </row>
    <row r="642" spans="1:13">
      <c r="A642" s="1">
        <f>HYPERLINK("http://www.twitter.com/NathanBLawrence/status/988126655771238403", "988126655771238403")</f>
        <v/>
      </c>
      <c r="B642" s="2" t="n">
        <v>43212.7815625</v>
      </c>
      <c r="C642" t="n">
        <v>0</v>
      </c>
      <c r="D642" t="n">
        <v>61</v>
      </c>
      <c r="E642" t="s">
        <v>648</v>
      </c>
      <c r="F642">
        <f>HYPERLINK("http://pbs.twimg.com/media/DbZ7NtkXkAAiPXm.jpg", "http://pbs.twimg.com/media/DbZ7NtkXkAAiPXm.jpg")</f>
        <v/>
      </c>
      <c r="G642" t="s"/>
      <c r="H642" t="s"/>
      <c r="I642" t="s"/>
      <c r="J642" t="n">
        <v>-0.4767</v>
      </c>
      <c r="K642" t="n">
        <v>0.114</v>
      </c>
      <c r="L642" t="n">
        <v>0.886</v>
      </c>
      <c r="M642" t="n">
        <v>0</v>
      </c>
    </row>
    <row r="643" spans="1:13">
      <c r="A643" s="1">
        <f>HYPERLINK("http://www.twitter.com/NathanBLawrence/status/988126425881501702", "988126425881501702")</f>
        <v/>
      </c>
      <c r="B643" s="2" t="n">
        <v>43212.7809375</v>
      </c>
      <c r="C643" t="n">
        <v>0</v>
      </c>
      <c r="D643" t="n">
        <v>104</v>
      </c>
      <c r="E643" t="s">
        <v>649</v>
      </c>
      <c r="F643">
        <f>HYPERLINK("http://pbs.twimg.com/media/DbZ9OrFXkAAfJS4.jpg", "http://pbs.twimg.com/media/DbZ9OrFXkAAfJS4.jpg")</f>
        <v/>
      </c>
      <c r="G643" t="s"/>
      <c r="H643" t="s"/>
      <c r="I643" t="s"/>
      <c r="J643" t="n">
        <v>-0.5904</v>
      </c>
      <c r="K643" t="n">
        <v>0.148</v>
      </c>
      <c r="L643" t="n">
        <v>0.852</v>
      </c>
      <c r="M643" t="n">
        <v>0</v>
      </c>
    </row>
    <row r="644" spans="1:13">
      <c r="A644" s="1">
        <f>HYPERLINK("http://www.twitter.com/NathanBLawrence/status/988116411758403585", "988116411758403585")</f>
        <v/>
      </c>
      <c r="B644" s="2" t="n">
        <v>43212.75329861111</v>
      </c>
      <c r="C644" t="n">
        <v>0</v>
      </c>
      <c r="D644" t="n">
        <v>47</v>
      </c>
      <c r="E644" t="s">
        <v>650</v>
      </c>
      <c r="F644">
        <f>HYPERLINK("http://pbs.twimg.com/media/DbR6s4pXcAAwD6q.jpg", "http://pbs.twimg.com/media/DbR6s4pXcAAwD6q.jpg")</f>
        <v/>
      </c>
      <c r="G644" t="s"/>
      <c r="H644" t="s"/>
      <c r="I644" t="s"/>
      <c r="J644" t="n">
        <v>0.902</v>
      </c>
      <c r="K644" t="n">
        <v>0</v>
      </c>
      <c r="L644" t="n">
        <v>0.631</v>
      </c>
      <c r="M644" t="n">
        <v>0.369</v>
      </c>
    </row>
    <row r="645" spans="1:13">
      <c r="A645" s="1">
        <f>HYPERLINK("http://www.twitter.com/NathanBLawrence/status/988115280936292353", "988115280936292353")</f>
        <v/>
      </c>
      <c r="B645" s="2" t="n">
        <v>43212.75017361111</v>
      </c>
      <c r="C645" t="n">
        <v>0</v>
      </c>
      <c r="D645" t="n">
        <v>8</v>
      </c>
      <c r="E645" t="s">
        <v>651</v>
      </c>
      <c r="F645" t="s"/>
      <c r="G645" t="s"/>
      <c r="H645" t="s"/>
      <c r="I645" t="s"/>
      <c r="J645" t="n">
        <v>0</v>
      </c>
      <c r="K645" t="n">
        <v>0</v>
      </c>
      <c r="L645" t="n">
        <v>1</v>
      </c>
      <c r="M645" t="n">
        <v>0</v>
      </c>
    </row>
    <row r="646" spans="1:13">
      <c r="A646" s="1">
        <f>HYPERLINK("http://www.twitter.com/NathanBLawrence/status/988114586225332224", "988114586225332224")</f>
        <v/>
      </c>
      <c r="B646" s="2" t="n">
        <v>43212.74826388889</v>
      </c>
      <c r="C646" t="n">
        <v>0</v>
      </c>
      <c r="D646" t="n">
        <v>2</v>
      </c>
      <c r="E646" t="s">
        <v>652</v>
      </c>
      <c r="F646">
        <f>HYPERLINK("http://pbs.twimg.com/media/DbYs4z4X0AAmtIC.jpg", "http://pbs.twimg.com/media/DbYs4z4X0AAmtIC.jpg")</f>
        <v/>
      </c>
      <c r="G646" t="s"/>
      <c r="H646" t="s"/>
      <c r="I646" t="s"/>
      <c r="J646" t="n">
        <v>0</v>
      </c>
      <c r="K646" t="n">
        <v>0</v>
      </c>
      <c r="L646" t="n">
        <v>1</v>
      </c>
      <c r="M646" t="n">
        <v>0</v>
      </c>
    </row>
    <row r="647" spans="1:13">
      <c r="A647" s="1">
        <f>HYPERLINK("http://www.twitter.com/NathanBLawrence/status/988111355319324679", "988111355319324679")</f>
        <v/>
      </c>
      <c r="B647" s="2" t="n">
        <v>43212.73934027777</v>
      </c>
      <c r="C647" t="n">
        <v>0</v>
      </c>
      <c r="D647" t="n">
        <v>3182</v>
      </c>
      <c r="E647" t="s">
        <v>653</v>
      </c>
      <c r="F647" t="s"/>
      <c r="G647" t="s"/>
      <c r="H647" t="s"/>
      <c r="I647" t="s"/>
      <c r="J647" t="n">
        <v>0.7579</v>
      </c>
      <c r="K647" t="n">
        <v>0</v>
      </c>
      <c r="L647" t="n">
        <v>0.698</v>
      </c>
      <c r="M647" t="n">
        <v>0.302</v>
      </c>
    </row>
    <row r="648" spans="1:13">
      <c r="A648" s="1">
        <f>HYPERLINK("http://www.twitter.com/NathanBLawrence/status/988111127862284290", "988111127862284290")</f>
        <v/>
      </c>
      <c r="B648" s="2" t="n">
        <v>43212.73871527778</v>
      </c>
      <c r="C648" t="n">
        <v>0</v>
      </c>
      <c r="D648" t="n">
        <v>30</v>
      </c>
      <c r="E648" t="s">
        <v>654</v>
      </c>
      <c r="F648">
        <f>HYPERLINK("http://pbs.twimg.com/media/DbZrEv0XkAE95Qr.jpg", "http://pbs.twimg.com/media/DbZrEv0XkAE95Qr.jpg")</f>
        <v/>
      </c>
      <c r="G648" t="s"/>
      <c r="H648" t="s"/>
      <c r="I648" t="s"/>
      <c r="J648" t="n">
        <v>0.5023</v>
      </c>
      <c r="K648" t="n">
        <v>0</v>
      </c>
      <c r="L648" t="n">
        <v>0.871</v>
      </c>
      <c r="M648" t="n">
        <v>0.129</v>
      </c>
    </row>
    <row r="649" spans="1:13">
      <c r="A649" s="1">
        <f>HYPERLINK("http://www.twitter.com/NathanBLawrence/status/988108136774094848", "988108136774094848")</f>
        <v/>
      </c>
      <c r="B649" s="2" t="n">
        <v>43212.73046296297</v>
      </c>
      <c r="C649" t="n">
        <v>8</v>
      </c>
      <c r="D649" t="n">
        <v>5</v>
      </c>
      <c r="E649" t="s">
        <v>655</v>
      </c>
      <c r="F649" t="s"/>
      <c r="G649" t="s"/>
      <c r="H649" t="s"/>
      <c r="I649" t="s"/>
      <c r="J649" t="n">
        <v>0</v>
      </c>
      <c r="K649" t="n">
        <v>0</v>
      </c>
      <c r="L649" t="n">
        <v>1</v>
      </c>
      <c r="M649" t="n">
        <v>0</v>
      </c>
    </row>
    <row r="650" spans="1:13">
      <c r="A650" s="1">
        <f>HYPERLINK("http://www.twitter.com/NathanBLawrence/status/988106275320934401", "988106275320934401")</f>
        <v/>
      </c>
      <c r="B650" s="2" t="n">
        <v>43212.72532407408</v>
      </c>
      <c r="C650" t="n">
        <v>0</v>
      </c>
      <c r="D650" t="n">
        <v>0</v>
      </c>
      <c r="E650" t="s">
        <v>656</v>
      </c>
      <c r="F650" t="s"/>
      <c r="G650" t="s"/>
      <c r="H650" t="s"/>
      <c r="I650" t="s"/>
      <c r="J650" t="n">
        <v>0.7003</v>
      </c>
      <c r="K650" t="n">
        <v>0</v>
      </c>
      <c r="L650" t="n">
        <v>0.805</v>
      </c>
      <c r="M650" t="n">
        <v>0.195</v>
      </c>
    </row>
    <row r="651" spans="1:13">
      <c r="A651" s="1">
        <f>HYPERLINK("http://www.twitter.com/NathanBLawrence/status/988100984667852801", "988100984667852801")</f>
        <v/>
      </c>
      <c r="B651" s="2" t="n">
        <v>43212.71072916667</v>
      </c>
      <c r="C651" t="n">
        <v>0</v>
      </c>
      <c r="D651" t="n">
        <v>0</v>
      </c>
      <c r="E651" t="s">
        <v>657</v>
      </c>
      <c r="F651">
        <f>HYPERLINK("http://pbs.twimg.com/media/DbZwl3HW0AAHIIJ.jpg", "http://pbs.twimg.com/media/DbZwl3HW0AAHIIJ.jpg")</f>
        <v/>
      </c>
      <c r="G651" t="s"/>
      <c r="H651" t="s"/>
      <c r="I651" t="s"/>
      <c r="J651" t="n">
        <v>-0.85</v>
      </c>
      <c r="K651" t="n">
        <v>0.233</v>
      </c>
      <c r="L651" t="n">
        <v>0.669</v>
      </c>
      <c r="M651" t="n">
        <v>0.098</v>
      </c>
    </row>
    <row r="652" spans="1:13">
      <c r="A652" s="1">
        <f>HYPERLINK("http://www.twitter.com/NathanBLawrence/status/988089810043785217", "988089810043785217")</f>
        <v/>
      </c>
      <c r="B652" s="2" t="n">
        <v>43212.67989583333</v>
      </c>
      <c r="C652" t="n">
        <v>0</v>
      </c>
      <c r="D652" t="n">
        <v>0</v>
      </c>
      <c r="E652" t="s">
        <v>658</v>
      </c>
      <c r="F652">
        <f>HYPERLINK("http://pbs.twimg.com/media/DbZmZkxWsAM_AQX.jpg", "http://pbs.twimg.com/media/DbZmZkxWsAM_AQX.jpg")</f>
        <v/>
      </c>
      <c r="G652" t="s"/>
      <c r="H652" t="s"/>
      <c r="I652" t="s"/>
      <c r="J652" t="n">
        <v>0</v>
      </c>
      <c r="K652" t="n">
        <v>0</v>
      </c>
      <c r="L652" t="n">
        <v>1</v>
      </c>
      <c r="M652" t="n">
        <v>0</v>
      </c>
    </row>
    <row r="653" spans="1:13">
      <c r="A653" s="1">
        <f>HYPERLINK("http://www.twitter.com/NathanBLawrence/status/987992983059488768", "987992983059488768")</f>
        <v/>
      </c>
      <c r="B653" s="2" t="n">
        <v>43212.41269675926</v>
      </c>
      <c r="C653" t="n">
        <v>0</v>
      </c>
      <c r="D653" t="n">
        <v>1088</v>
      </c>
      <c r="E653" t="s">
        <v>659</v>
      </c>
      <c r="F653">
        <f>HYPERLINK("https://video.twimg.com/ext_tw_video/982357258766921734/pu/vid/240x180/Vjd17ZDibfZhUatT.mp4?tag=2", "https://video.twimg.com/ext_tw_video/982357258766921734/pu/vid/240x180/Vjd17ZDibfZhUatT.mp4?tag=2")</f>
        <v/>
      </c>
      <c r="G653" t="s"/>
      <c r="H653" t="s"/>
      <c r="I653" t="s"/>
      <c r="J653" t="n">
        <v>0</v>
      </c>
      <c r="K653" t="n">
        <v>0</v>
      </c>
      <c r="L653" t="n">
        <v>1</v>
      </c>
      <c r="M653" t="n">
        <v>0</v>
      </c>
    </row>
    <row r="654" spans="1:13">
      <c r="A654" s="1">
        <f>HYPERLINK("http://www.twitter.com/NathanBLawrence/status/987921140306927616", "987921140306927616")</f>
        <v/>
      </c>
      <c r="B654" s="2" t="n">
        <v>43212.21445601852</v>
      </c>
      <c r="C654" t="n">
        <v>0</v>
      </c>
      <c r="D654" t="n">
        <v>12144</v>
      </c>
      <c r="E654" t="s">
        <v>660</v>
      </c>
      <c r="F654" t="s"/>
      <c r="G654" t="s"/>
      <c r="H654" t="s"/>
      <c r="I654" t="s"/>
      <c r="J654" t="n">
        <v>-0.4215</v>
      </c>
      <c r="K654" t="n">
        <v>0.128</v>
      </c>
      <c r="L654" t="n">
        <v>0.872</v>
      </c>
      <c r="M654" t="n">
        <v>0</v>
      </c>
    </row>
    <row r="655" spans="1:13">
      <c r="A655" s="1">
        <f>HYPERLINK("http://www.twitter.com/NathanBLawrence/status/987920160827863040", "987920160827863040")</f>
        <v/>
      </c>
      <c r="B655" s="2" t="n">
        <v>43212.21174768519</v>
      </c>
      <c r="C655" t="n">
        <v>0</v>
      </c>
      <c r="D655" t="n">
        <v>1571</v>
      </c>
      <c r="E655" t="s">
        <v>661</v>
      </c>
      <c r="F655" t="s"/>
      <c r="G655" t="s"/>
      <c r="H655" t="s"/>
      <c r="I655" t="s"/>
      <c r="J655" t="n">
        <v>0.7845</v>
      </c>
      <c r="K655" t="n">
        <v>0</v>
      </c>
      <c r="L655" t="n">
        <v>0.734</v>
      </c>
      <c r="M655" t="n">
        <v>0.266</v>
      </c>
    </row>
    <row r="656" spans="1:13">
      <c r="A656" s="1">
        <f>HYPERLINK("http://www.twitter.com/NathanBLawrence/status/987901434325864449", "987901434325864449")</f>
        <v/>
      </c>
      <c r="B656" s="2" t="n">
        <v>43212.16006944444</v>
      </c>
      <c r="C656" t="n">
        <v>0</v>
      </c>
      <c r="D656" t="n">
        <v>2</v>
      </c>
      <c r="E656" t="s">
        <v>662</v>
      </c>
      <c r="F656" t="s"/>
      <c r="G656" t="s"/>
      <c r="H656" t="s"/>
      <c r="I656" t="s"/>
      <c r="J656" t="n">
        <v>0.2023</v>
      </c>
      <c r="K656" t="n">
        <v>0</v>
      </c>
      <c r="L656" t="n">
        <v>0.913</v>
      </c>
      <c r="M656" t="n">
        <v>0.08699999999999999</v>
      </c>
    </row>
    <row r="657" spans="1:13">
      <c r="A657" s="1">
        <f>HYPERLINK("http://www.twitter.com/NathanBLawrence/status/987901249973604352", "987901249973604352")</f>
        <v/>
      </c>
      <c r="B657" s="2" t="n">
        <v>43212.15956018519</v>
      </c>
      <c r="C657" t="n">
        <v>0</v>
      </c>
      <c r="D657" t="n">
        <v>2464</v>
      </c>
      <c r="E657" t="s">
        <v>663</v>
      </c>
      <c r="F657" t="s"/>
      <c r="G657" t="s"/>
      <c r="H657" t="s"/>
      <c r="I657" t="s"/>
      <c r="J657" t="n">
        <v>0.5574</v>
      </c>
      <c r="K657" t="n">
        <v>0</v>
      </c>
      <c r="L657" t="n">
        <v>0.805</v>
      </c>
      <c r="M657" t="n">
        <v>0.195</v>
      </c>
    </row>
    <row r="658" spans="1:13">
      <c r="A658" s="1">
        <f>HYPERLINK("http://www.twitter.com/NathanBLawrence/status/987825678887325697", "987825678887325697")</f>
        <v/>
      </c>
      <c r="B658" s="2" t="n">
        <v>43211.95103009259</v>
      </c>
      <c r="C658" t="n">
        <v>0</v>
      </c>
      <c r="D658" t="n">
        <v>35</v>
      </c>
      <c r="E658" t="s">
        <v>664</v>
      </c>
      <c r="F658" t="s"/>
      <c r="G658" t="s"/>
      <c r="H658" t="s"/>
      <c r="I658" t="s"/>
      <c r="J658" t="n">
        <v>0</v>
      </c>
      <c r="K658" t="n">
        <v>0</v>
      </c>
      <c r="L658" t="n">
        <v>1</v>
      </c>
      <c r="M658" t="n">
        <v>0</v>
      </c>
    </row>
    <row r="659" spans="1:13">
      <c r="A659" s="1">
        <f>HYPERLINK("http://www.twitter.com/NathanBLawrence/status/987825570300952577", "987825570300952577")</f>
        <v/>
      </c>
      <c r="B659" s="2" t="n">
        <v>43211.95072916667</v>
      </c>
      <c r="C659" t="n">
        <v>0</v>
      </c>
      <c r="D659" t="n">
        <v>29</v>
      </c>
      <c r="E659" t="s">
        <v>665</v>
      </c>
      <c r="F659">
        <f>HYPERLINK("http://pbs.twimg.com/media/DbUX-oaU0AAbIY2.jpg", "http://pbs.twimg.com/media/DbUX-oaU0AAbIY2.jpg")</f>
        <v/>
      </c>
      <c r="G659" t="s"/>
      <c r="H659" t="s"/>
      <c r="I659" t="s"/>
      <c r="J659" t="n">
        <v>0.0772</v>
      </c>
      <c r="K659" t="n">
        <v>0</v>
      </c>
      <c r="L659" t="n">
        <v>0.9389999999999999</v>
      </c>
      <c r="M659" t="n">
        <v>0.061</v>
      </c>
    </row>
    <row r="660" spans="1:13">
      <c r="A660" s="1">
        <f>HYPERLINK("http://www.twitter.com/NathanBLawrence/status/987822955349643265", "987822955349643265")</f>
        <v/>
      </c>
      <c r="B660" s="2" t="n">
        <v>43211.94351851852</v>
      </c>
      <c r="C660" t="n">
        <v>3</v>
      </c>
      <c r="D660" t="n">
        <v>0</v>
      </c>
      <c r="E660" t="s">
        <v>666</v>
      </c>
      <c r="F660" t="s"/>
      <c r="G660" t="s"/>
      <c r="H660" t="s"/>
      <c r="I660" t="s"/>
      <c r="J660" t="n">
        <v>0.5754</v>
      </c>
      <c r="K660" t="n">
        <v>0</v>
      </c>
      <c r="L660" t="n">
        <v>0.861</v>
      </c>
      <c r="M660" t="n">
        <v>0.139</v>
      </c>
    </row>
    <row r="661" spans="1:13">
      <c r="A661" s="1">
        <f>HYPERLINK("http://www.twitter.com/NathanBLawrence/status/987820907883384833", "987820907883384833")</f>
        <v/>
      </c>
      <c r="B661" s="2" t="n">
        <v>43211.93785879629</v>
      </c>
      <c r="C661" t="n">
        <v>0</v>
      </c>
      <c r="D661" t="n">
        <v>59038</v>
      </c>
      <c r="E661" t="s">
        <v>667</v>
      </c>
      <c r="F661" t="s"/>
      <c r="G661" t="s"/>
      <c r="H661" t="s"/>
      <c r="I661" t="s"/>
      <c r="J661" t="n">
        <v>0.4404</v>
      </c>
      <c r="K661" t="n">
        <v>0</v>
      </c>
      <c r="L661" t="n">
        <v>0.828</v>
      </c>
      <c r="M661" t="n">
        <v>0.172</v>
      </c>
    </row>
    <row r="662" spans="1:13">
      <c r="A662" s="1">
        <f>HYPERLINK("http://www.twitter.com/NathanBLawrence/status/987820844704464896", "987820844704464896")</f>
        <v/>
      </c>
      <c r="B662" s="2" t="n">
        <v>43211.93768518518</v>
      </c>
      <c r="C662" t="n">
        <v>0</v>
      </c>
      <c r="D662" t="n">
        <v>6</v>
      </c>
      <c r="E662" t="s">
        <v>668</v>
      </c>
      <c r="F662">
        <f>HYPERLINK("http://pbs.twimg.com/media/DbUd0HhUQAAXUPY.jpg", "http://pbs.twimg.com/media/DbUd0HhUQAAXUPY.jpg")</f>
        <v/>
      </c>
      <c r="G662" t="s"/>
      <c r="H662" t="s"/>
      <c r="I662" t="s"/>
      <c r="J662" t="n">
        <v>-0.5266999999999999</v>
      </c>
      <c r="K662" t="n">
        <v>0.274</v>
      </c>
      <c r="L662" t="n">
        <v>0.726</v>
      </c>
      <c r="M662" t="n">
        <v>0</v>
      </c>
    </row>
    <row r="663" spans="1:13">
      <c r="A663" s="1">
        <f>HYPERLINK("http://www.twitter.com/NathanBLawrence/status/987820765960646656", "987820765960646656")</f>
        <v/>
      </c>
      <c r="B663" s="2" t="n">
        <v>43211.93747685185</v>
      </c>
      <c r="C663" t="n">
        <v>0</v>
      </c>
      <c r="D663" t="n">
        <v>1</v>
      </c>
      <c r="E663" t="s">
        <v>669</v>
      </c>
      <c r="F663" t="s"/>
      <c r="G663" t="s"/>
      <c r="H663" t="s"/>
      <c r="I663" t="s"/>
      <c r="J663" t="n">
        <v>0</v>
      </c>
      <c r="K663" t="n">
        <v>0</v>
      </c>
      <c r="L663" t="n">
        <v>1</v>
      </c>
      <c r="M663" t="n">
        <v>0</v>
      </c>
    </row>
    <row r="664" spans="1:13">
      <c r="A664" s="1">
        <f>HYPERLINK("http://www.twitter.com/NathanBLawrence/status/987820753268690945", "987820753268690945")</f>
        <v/>
      </c>
      <c r="B664" s="2" t="n">
        <v>43211.93744212963</v>
      </c>
      <c r="C664" t="n">
        <v>0</v>
      </c>
      <c r="D664" t="n">
        <v>1</v>
      </c>
      <c r="E664" t="s">
        <v>670</v>
      </c>
      <c r="F664" t="s"/>
      <c r="G664" t="s"/>
      <c r="H664" t="s"/>
      <c r="I664" t="s"/>
      <c r="J664" t="n">
        <v>0.6369</v>
      </c>
      <c r="K664" t="n">
        <v>0</v>
      </c>
      <c r="L664" t="n">
        <v>0.634</v>
      </c>
      <c r="M664" t="n">
        <v>0.366</v>
      </c>
    </row>
    <row r="665" spans="1:13">
      <c r="A665" s="1">
        <f>HYPERLINK("http://www.twitter.com/NathanBLawrence/status/987819240089686016", "987819240089686016")</f>
        <v/>
      </c>
      <c r="B665" s="2" t="n">
        <v>43211.93326388889</v>
      </c>
      <c r="C665" t="n">
        <v>0</v>
      </c>
      <c r="D665" t="n">
        <v>88</v>
      </c>
      <c r="E665" t="s">
        <v>671</v>
      </c>
      <c r="F665">
        <f>HYPERLINK("https://video.twimg.com/amplify_video/987660340476481536/vid/1280x720/DaZOXMpuXbLhRI92.mp4?tag=2", "https://video.twimg.com/amplify_video/987660340476481536/vid/1280x720/DaZOXMpuXbLhRI92.mp4?tag=2")</f>
        <v/>
      </c>
      <c r="G665" t="s"/>
      <c r="H665" t="s"/>
      <c r="I665" t="s"/>
      <c r="J665" t="n">
        <v>0.0516</v>
      </c>
      <c r="K665" t="n">
        <v>0.127</v>
      </c>
      <c r="L665" t="n">
        <v>0.733</v>
      </c>
      <c r="M665" t="n">
        <v>0.14</v>
      </c>
    </row>
    <row r="666" spans="1:13">
      <c r="A666" s="1">
        <f>HYPERLINK("http://www.twitter.com/NathanBLawrence/status/987818574470410240", "987818574470410240")</f>
        <v/>
      </c>
      <c r="B666" s="2" t="n">
        <v>43211.93142361111</v>
      </c>
      <c r="C666" t="n">
        <v>0</v>
      </c>
      <c r="D666" t="n">
        <v>269</v>
      </c>
      <c r="E666" t="s">
        <v>672</v>
      </c>
      <c r="F666">
        <f>HYPERLINK("http://pbs.twimg.com/media/DbUoF6-VMAAAkDS.jpg", "http://pbs.twimg.com/media/DbUoF6-VMAAAkDS.jpg")</f>
        <v/>
      </c>
      <c r="G666">
        <f>HYPERLINK("http://pbs.twimg.com/media/DbUoF6_UQAAXROI.jpg", "http://pbs.twimg.com/media/DbUoF6_UQAAXROI.jpg")</f>
        <v/>
      </c>
      <c r="H666" t="s"/>
      <c r="I666" t="s"/>
      <c r="J666" t="n">
        <v>0.4199</v>
      </c>
      <c r="K666" t="n">
        <v>0</v>
      </c>
      <c r="L666" t="n">
        <v>0.872</v>
      </c>
      <c r="M666" t="n">
        <v>0.128</v>
      </c>
    </row>
    <row r="667" spans="1:13">
      <c r="A667" s="1">
        <f>HYPERLINK("http://www.twitter.com/NathanBLawrence/status/987817596555841541", "987817596555841541")</f>
        <v/>
      </c>
      <c r="B667" s="2" t="n">
        <v>43211.92872685185</v>
      </c>
      <c r="C667" t="n">
        <v>0</v>
      </c>
      <c r="D667" t="n">
        <v>981</v>
      </c>
      <c r="E667" t="s">
        <v>673</v>
      </c>
      <c r="F667" t="s"/>
      <c r="G667" t="s"/>
      <c r="H667" t="s"/>
      <c r="I667" t="s"/>
      <c r="J667" t="n">
        <v>-0.296</v>
      </c>
      <c r="K667" t="n">
        <v>0.099</v>
      </c>
      <c r="L667" t="n">
        <v>0.901</v>
      </c>
      <c r="M667" t="n">
        <v>0</v>
      </c>
    </row>
    <row r="668" spans="1:13">
      <c r="A668" s="1">
        <f>HYPERLINK("http://www.twitter.com/NathanBLawrence/status/987815212597305354", "987815212597305354")</f>
        <v/>
      </c>
      <c r="B668" s="2" t="n">
        <v>43211.92215277778</v>
      </c>
      <c r="C668" t="n">
        <v>4</v>
      </c>
      <c r="D668" t="n">
        <v>2</v>
      </c>
      <c r="E668" t="s">
        <v>674</v>
      </c>
      <c r="F668">
        <f>HYPERLINK("http://pbs.twimg.com/media/DbVsp_XVwAEb8F5.jpg", "http://pbs.twimg.com/media/DbVsp_XVwAEb8F5.jpg")</f>
        <v/>
      </c>
      <c r="G668" t="s"/>
      <c r="H668" t="s"/>
      <c r="I668" t="s"/>
      <c r="J668" t="n">
        <v>0.4427</v>
      </c>
      <c r="K668" t="n">
        <v>0</v>
      </c>
      <c r="L668" t="n">
        <v>0.883</v>
      </c>
      <c r="M668" t="n">
        <v>0.117</v>
      </c>
    </row>
    <row r="669" spans="1:13">
      <c r="A669" s="1">
        <f>HYPERLINK("http://www.twitter.com/NathanBLawrence/status/987804714426388480", "987804714426388480")</f>
        <v/>
      </c>
      <c r="B669" s="2" t="n">
        <v>43211.89318287037</v>
      </c>
      <c r="C669" t="n">
        <v>0</v>
      </c>
      <c r="D669" t="n">
        <v>247</v>
      </c>
      <c r="E669" t="s">
        <v>675</v>
      </c>
      <c r="F669">
        <f>HYPERLINK("https://video.twimg.com/ext_tw_video/987749758029783040/pu/vid/1280x720/ePympNBE-yP63197.mp4?tag=3", "https://video.twimg.com/ext_tw_video/987749758029783040/pu/vid/1280x720/ePympNBE-yP63197.mp4?tag=3")</f>
        <v/>
      </c>
      <c r="G669" t="s"/>
      <c r="H669" t="s"/>
      <c r="I669" t="s"/>
      <c r="J669" t="n">
        <v>-0.6908</v>
      </c>
      <c r="K669" t="n">
        <v>0.343</v>
      </c>
      <c r="L669" t="n">
        <v>0.657</v>
      </c>
      <c r="M669" t="n">
        <v>0</v>
      </c>
    </row>
    <row r="670" spans="1:13">
      <c r="A670" s="1">
        <f>HYPERLINK("http://www.twitter.com/NathanBLawrence/status/987800797592412160", "987800797592412160")</f>
        <v/>
      </c>
      <c r="B670" s="2" t="n">
        <v>43211.88237268518</v>
      </c>
      <c r="C670" t="n">
        <v>0</v>
      </c>
      <c r="D670" t="n">
        <v>8</v>
      </c>
      <c r="E670" t="s">
        <v>676</v>
      </c>
      <c r="F670" t="s"/>
      <c r="G670" t="s"/>
      <c r="H670" t="s"/>
      <c r="I670" t="s"/>
      <c r="J670" t="n">
        <v>-0.8834</v>
      </c>
      <c r="K670" t="n">
        <v>0.353</v>
      </c>
      <c r="L670" t="n">
        <v>0.579</v>
      </c>
      <c r="M670" t="n">
        <v>0.06900000000000001</v>
      </c>
    </row>
    <row r="671" spans="1:13">
      <c r="A671" s="1">
        <f>HYPERLINK("http://www.twitter.com/NathanBLawrence/status/987794802363203585", "987794802363203585")</f>
        <v/>
      </c>
      <c r="B671" s="2" t="n">
        <v>43211.86582175926</v>
      </c>
      <c r="C671" t="n">
        <v>0</v>
      </c>
      <c r="D671" t="n">
        <v>3</v>
      </c>
      <c r="E671" t="s">
        <v>677</v>
      </c>
      <c r="F671">
        <f>HYPERLINK("http://pbs.twimg.com/media/DbPhLHAXkAEcGHm.jpg", "http://pbs.twimg.com/media/DbPhLHAXkAEcGHm.jpg")</f>
        <v/>
      </c>
      <c r="G671" t="s"/>
      <c r="H671" t="s"/>
      <c r="I671" t="s"/>
      <c r="J671" t="n">
        <v>0</v>
      </c>
      <c r="K671" t="n">
        <v>0</v>
      </c>
      <c r="L671" t="n">
        <v>1</v>
      </c>
      <c r="M671" t="n">
        <v>0</v>
      </c>
    </row>
    <row r="672" spans="1:13">
      <c r="A672" s="1">
        <f>HYPERLINK("http://www.twitter.com/NathanBLawrence/status/987792229996613632", "987792229996613632")</f>
        <v/>
      </c>
      <c r="B672" s="2" t="n">
        <v>43211.85872685185</v>
      </c>
      <c r="C672" t="n">
        <v>1</v>
      </c>
      <c r="D672" t="n">
        <v>0</v>
      </c>
      <c r="E672" t="s">
        <v>678</v>
      </c>
      <c r="F672">
        <f>HYPERLINK("http://pbs.twimg.com/media/DbVXwx5VAAAoce0.jpg", "http://pbs.twimg.com/media/DbVXwx5VAAAoce0.jpg")</f>
        <v/>
      </c>
      <c r="G672" t="s"/>
      <c r="H672" t="s"/>
      <c r="I672" t="s"/>
      <c r="J672" t="n">
        <v>0.6722</v>
      </c>
      <c r="K672" t="n">
        <v>0</v>
      </c>
      <c r="L672" t="n">
        <v>0.901</v>
      </c>
      <c r="M672" t="n">
        <v>0.099</v>
      </c>
    </row>
    <row r="673" spans="1:13">
      <c r="A673" s="1">
        <f>HYPERLINK("http://www.twitter.com/NathanBLawrence/status/987788444821807104", "987788444821807104")</f>
        <v/>
      </c>
      <c r="B673" s="2" t="n">
        <v>43211.84828703704</v>
      </c>
      <c r="C673" t="n">
        <v>0</v>
      </c>
      <c r="D673" t="n">
        <v>2</v>
      </c>
      <c r="E673" t="s">
        <v>679</v>
      </c>
      <c r="F673" t="s"/>
      <c r="G673" t="s"/>
      <c r="H673" t="s"/>
      <c r="I673" t="s"/>
      <c r="J673" t="n">
        <v>0.0516</v>
      </c>
      <c r="K673" t="n">
        <v>0.174</v>
      </c>
      <c r="L673" t="n">
        <v>0.606</v>
      </c>
      <c r="M673" t="n">
        <v>0.22</v>
      </c>
    </row>
    <row r="674" spans="1:13">
      <c r="A674" s="1">
        <f>HYPERLINK("http://www.twitter.com/NathanBLawrence/status/987787893979656192", "987787893979656192")</f>
        <v/>
      </c>
      <c r="B674" s="2" t="n">
        <v>43211.84675925926</v>
      </c>
      <c r="C674" t="n">
        <v>0</v>
      </c>
      <c r="D674" t="n">
        <v>2</v>
      </c>
      <c r="E674" t="s">
        <v>680</v>
      </c>
      <c r="F674" t="s"/>
      <c r="G674" t="s"/>
      <c r="H674" t="s"/>
      <c r="I674" t="s"/>
      <c r="J674" t="n">
        <v>-0.5266999999999999</v>
      </c>
      <c r="K674" t="n">
        <v>0.185</v>
      </c>
      <c r="L674" t="n">
        <v>0.8149999999999999</v>
      </c>
      <c r="M674" t="n">
        <v>0</v>
      </c>
    </row>
    <row r="675" spans="1:13">
      <c r="A675" s="1">
        <f>HYPERLINK("http://www.twitter.com/NathanBLawrence/status/987787593994702850", "987787593994702850")</f>
        <v/>
      </c>
      <c r="B675" s="2" t="n">
        <v>43211.8459375</v>
      </c>
      <c r="C675" t="n">
        <v>0</v>
      </c>
      <c r="D675" t="n">
        <v>14</v>
      </c>
      <c r="E675" t="s">
        <v>681</v>
      </c>
      <c r="F675">
        <f>HYPERLINK("http://pbs.twimg.com/media/DbVDMQCVAAAUmte.jpg", "http://pbs.twimg.com/media/DbVDMQCVAAAUmte.jpg")</f>
        <v/>
      </c>
      <c r="G675" t="s"/>
      <c r="H675" t="s"/>
      <c r="I675" t="s"/>
      <c r="J675" t="n">
        <v>-0.34</v>
      </c>
      <c r="K675" t="n">
        <v>0.112</v>
      </c>
      <c r="L675" t="n">
        <v>0.888</v>
      </c>
      <c r="M675" t="n">
        <v>0</v>
      </c>
    </row>
    <row r="676" spans="1:13">
      <c r="A676" s="1">
        <f>HYPERLINK("http://www.twitter.com/NathanBLawrence/status/987787474532528129", "987787474532528129")</f>
        <v/>
      </c>
      <c r="B676" s="2" t="n">
        <v>43211.84560185186</v>
      </c>
      <c r="C676" t="n">
        <v>0</v>
      </c>
      <c r="D676" t="n">
        <v>9</v>
      </c>
      <c r="E676" t="s">
        <v>682</v>
      </c>
      <c r="F676" t="s"/>
      <c r="G676" t="s"/>
      <c r="H676" t="s"/>
      <c r="I676" t="s"/>
      <c r="J676" t="n">
        <v>-0.34</v>
      </c>
      <c r="K676" t="n">
        <v>0.098</v>
      </c>
      <c r="L676" t="n">
        <v>0.902</v>
      </c>
      <c r="M676" t="n">
        <v>0</v>
      </c>
    </row>
    <row r="677" spans="1:13">
      <c r="A677" s="1">
        <f>HYPERLINK("http://www.twitter.com/NathanBLawrence/status/987711728891854848", "987711728891854848")</f>
        <v/>
      </c>
      <c r="B677" s="2" t="n">
        <v>43211.63658564815</v>
      </c>
      <c r="C677" t="n">
        <v>0</v>
      </c>
      <c r="D677" t="n">
        <v>62</v>
      </c>
      <c r="E677" t="s">
        <v>683</v>
      </c>
      <c r="F677" t="s"/>
      <c r="G677" t="s"/>
      <c r="H677" t="s"/>
      <c r="I677" t="s"/>
      <c r="J677" t="n">
        <v>0.7964</v>
      </c>
      <c r="K677" t="n">
        <v>0</v>
      </c>
      <c r="L677" t="n">
        <v>0.6870000000000001</v>
      </c>
      <c r="M677" t="n">
        <v>0.313</v>
      </c>
    </row>
    <row r="678" spans="1:13">
      <c r="A678" s="1">
        <f>HYPERLINK("http://www.twitter.com/NathanBLawrence/status/987711660377899008", "987711660377899008")</f>
        <v/>
      </c>
      <c r="B678" s="2" t="n">
        <v>43211.63640046296</v>
      </c>
      <c r="C678" t="n">
        <v>0</v>
      </c>
      <c r="D678" t="n">
        <v>23</v>
      </c>
      <c r="E678" t="s">
        <v>684</v>
      </c>
      <c r="F678" t="s"/>
      <c r="G678" t="s"/>
      <c r="H678" t="s"/>
      <c r="I678" t="s"/>
      <c r="J678" t="n">
        <v>-0.34</v>
      </c>
      <c r="K678" t="n">
        <v>0.094</v>
      </c>
      <c r="L678" t="n">
        <v>0.906</v>
      </c>
      <c r="M678" t="n">
        <v>0</v>
      </c>
    </row>
    <row r="679" spans="1:13">
      <c r="A679" s="1">
        <f>HYPERLINK("http://www.twitter.com/NathanBLawrence/status/987711542325137408", "987711542325137408")</f>
        <v/>
      </c>
      <c r="B679" s="2" t="n">
        <v>43211.63607638889</v>
      </c>
      <c r="C679" t="n">
        <v>0</v>
      </c>
      <c r="D679" t="n">
        <v>2</v>
      </c>
      <c r="E679" t="s">
        <v>685</v>
      </c>
      <c r="F679" t="s"/>
      <c r="G679" t="s"/>
      <c r="H679" t="s"/>
      <c r="I679" t="s"/>
      <c r="J679" t="n">
        <v>-0.3182</v>
      </c>
      <c r="K679" t="n">
        <v>0.126</v>
      </c>
      <c r="L679" t="n">
        <v>0.874</v>
      </c>
      <c r="M679" t="n">
        <v>0</v>
      </c>
    </row>
    <row r="680" spans="1:13">
      <c r="A680" s="1">
        <f>HYPERLINK("http://www.twitter.com/NathanBLawrence/status/987711512054812672", "987711512054812672")</f>
        <v/>
      </c>
      <c r="B680" s="2" t="n">
        <v>43211.6359837963</v>
      </c>
      <c r="C680" t="n">
        <v>0</v>
      </c>
      <c r="D680" t="n">
        <v>2</v>
      </c>
      <c r="E680" t="s">
        <v>686</v>
      </c>
      <c r="F680" t="s"/>
      <c r="G680" t="s"/>
      <c r="H680" t="s"/>
      <c r="I680" t="s"/>
      <c r="J680" t="n">
        <v>0.34</v>
      </c>
      <c r="K680" t="n">
        <v>0</v>
      </c>
      <c r="L680" t="n">
        <v>0.882</v>
      </c>
      <c r="M680" t="n">
        <v>0.118</v>
      </c>
    </row>
    <row r="681" spans="1:13">
      <c r="A681" s="1">
        <f>HYPERLINK("http://www.twitter.com/NathanBLawrence/status/987709854402965506", "987709854402965506")</f>
        <v/>
      </c>
      <c r="B681" s="2" t="n">
        <v>43211.63141203704</v>
      </c>
      <c r="C681" t="n">
        <v>0</v>
      </c>
      <c r="D681" t="n">
        <v>7</v>
      </c>
      <c r="E681" t="s">
        <v>687</v>
      </c>
      <c r="F681" t="s"/>
      <c r="G681" t="s"/>
      <c r="H681" t="s"/>
      <c r="I681" t="s"/>
      <c r="J681" t="n">
        <v>-0.508</v>
      </c>
      <c r="K681" t="n">
        <v>0.291</v>
      </c>
      <c r="L681" t="n">
        <v>0.709</v>
      </c>
      <c r="M681" t="n">
        <v>0</v>
      </c>
    </row>
    <row r="682" spans="1:13">
      <c r="A682" s="1">
        <f>HYPERLINK("http://www.twitter.com/NathanBLawrence/status/987709702204162048", "987709702204162048")</f>
        <v/>
      </c>
      <c r="B682" s="2" t="n">
        <v>43211.63099537037</v>
      </c>
      <c r="C682" t="n">
        <v>0</v>
      </c>
      <c r="D682" t="n">
        <v>4</v>
      </c>
      <c r="E682" t="s">
        <v>688</v>
      </c>
      <c r="F682" t="s"/>
      <c r="G682" t="s"/>
      <c r="H682" t="s"/>
      <c r="I682" t="s"/>
      <c r="J682" t="n">
        <v>-0.4003</v>
      </c>
      <c r="K682" t="n">
        <v>0.132</v>
      </c>
      <c r="L682" t="n">
        <v>0.708</v>
      </c>
      <c r="M682" t="n">
        <v>0.161</v>
      </c>
    </row>
    <row r="683" spans="1:13">
      <c r="A683" s="1">
        <f>HYPERLINK("http://www.twitter.com/NathanBLawrence/status/987539420533415936", "987539420533415936")</f>
        <v/>
      </c>
      <c r="B683" s="2" t="n">
        <v>43211.16111111111</v>
      </c>
      <c r="C683" t="n">
        <v>0</v>
      </c>
      <c r="D683" t="n">
        <v>7</v>
      </c>
      <c r="E683" t="s">
        <v>689</v>
      </c>
      <c r="F683">
        <f>HYPERLINK("http://pbs.twimg.com/media/DbOwlo8U0AAY6JS.jpg", "http://pbs.twimg.com/media/DbOwlo8U0AAY6JS.jpg")</f>
        <v/>
      </c>
      <c r="G683" t="s"/>
      <c r="H683" t="s"/>
      <c r="I683" t="s"/>
      <c r="J683" t="n">
        <v>-0.4767</v>
      </c>
      <c r="K683" t="n">
        <v>0.177</v>
      </c>
      <c r="L683" t="n">
        <v>0.736</v>
      </c>
      <c r="M683" t="n">
        <v>0.08699999999999999</v>
      </c>
    </row>
    <row r="684" spans="1:13">
      <c r="A684" s="1">
        <f>HYPERLINK("http://www.twitter.com/NathanBLawrence/status/987514915110957056", "987514915110957056")</f>
        <v/>
      </c>
      <c r="B684" s="2" t="n">
        <v>43211.0934837963</v>
      </c>
      <c r="C684" t="n">
        <v>0</v>
      </c>
      <c r="D684" t="n">
        <v>720</v>
      </c>
      <c r="E684" t="s">
        <v>690</v>
      </c>
      <c r="F684">
        <f>HYPERLINK("http://pbs.twimg.com/media/DbPUiTqV4AANHZU.jpg", "http://pbs.twimg.com/media/DbPUiTqV4AANHZU.jpg")</f>
        <v/>
      </c>
      <c r="G684" t="s"/>
      <c r="H684" t="s"/>
      <c r="I684" t="s"/>
      <c r="J684" t="n">
        <v>0</v>
      </c>
      <c r="K684" t="n">
        <v>0</v>
      </c>
      <c r="L684" t="n">
        <v>1</v>
      </c>
      <c r="M684" t="n">
        <v>0</v>
      </c>
    </row>
    <row r="685" spans="1:13">
      <c r="A685" s="1">
        <f>HYPERLINK("http://www.twitter.com/NathanBLawrence/status/987511654329061376", "987511654329061376")</f>
        <v/>
      </c>
      <c r="B685" s="2" t="n">
        <v>43211.08449074074</v>
      </c>
      <c r="C685" t="n">
        <v>0</v>
      </c>
      <c r="D685" t="n">
        <v>808</v>
      </c>
      <c r="E685" t="s">
        <v>691</v>
      </c>
      <c r="F685" t="s"/>
      <c r="G685" t="s"/>
      <c r="H685" t="s"/>
      <c r="I685" t="s"/>
      <c r="J685" t="n">
        <v>-0.5495</v>
      </c>
      <c r="K685" t="n">
        <v>0.178</v>
      </c>
      <c r="L685" t="n">
        <v>0.758</v>
      </c>
      <c r="M685" t="n">
        <v>0.064</v>
      </c>
    </row>
    <row r="686" spans="1:13">
      <c r="A686" s="1">
        <f>HYPERLINK("http://www.twitter.com/NathanBLawrence/status/987497536566022145", "987497536566022145")</f>
        <v/>
      </c>
      <c r="B686" s="2" t="n">
        <v>43211.04553240741</v>
      </c>
      <c r="C686" t="n">
        <v>0</v>
      </c>
      <c r="D686" t="n">
        <v>12</v>
      </c>
      <c r="E686" t="s">
        <v>692</v>
      </c>
      <c r="F686">
        <f>HYPERLINK("http://pbs.twimg.com/media/DbBrhMHVMAAfSrT.jpg", "http://pbs.twimg.com/media/DbBrhMHVMAAfSrT.jpg")</f>
        <v/>
      </c>
      <c r="G686" t="s"/>
      <c r="H686" t="s"/>
      <c r="I686" t="s"/>
      <c r="J686" t="n">
        <v>-0.6778</v>
      </c>
      <c r="K686" t="n">
        <v>0.247</v>
      </c>
      <c r="L686" t="n">
        <v>0.753</v>
      </c>
      <c r="M686" t="n">
        <v>0</v>
      </c>
    </row>
    <row r="687" spans="1:13">
      <c r="A687" s="1">
        <f>HYPERLINK("http://www.twitter.com/NathanBLawrence/status/987487710679060481", "987487710679060481")</f>
        <v/>
      </c>
      <c r="B687" s="2" t="n">
        <v>43211.01841435185</v>
      </c>
      <c r="C687" t="n">
        <v>0</v>
      </c>
      <c r="D687" t="n">
        <v>9</v>
      </c>
      <c r="E687" t="s">
        <v>693</v>
      </c>
      <c r="F687">
        <f>HYPERLINK("http://pbs.twimg.com/media/DbQ8KwFWkAEivtq.jpg", "http://pbs.twimg.com/media/DbQ8KwFWkAEivtq.jpg")</f>
        <v/>
      </c>
      <c r="G687" t="s"/>
      <c r="H687" t="s"/>
      <c r="I687" t="s"/>
      <c r="J687" t="n">
        <v>0</v>
      </c>
      <c r="K687" t="n">
        <v>0</v>
      </c>
      <c r="L687" t="n">
        <v>1</v>
      </c>
      <c r="M687" t="n">
        <v>0</v>
      </c>
    </row>
    <row r="688" spans="1:13">
      <c r="A688" s="1">
        <f>HYPERLINK("http://www.twitter.com/NathanBLawrence/status/987486965321863168", "987486965321863168")</f>
        <v/>
      </c>
      <c r="B688" s="2" t="n">
        <v>43211.01635416667</v>
      </c>
      <c r="C688" t="n">
        <v>0</v>
      </c>
      <c r="D688" t="n">
        <v>17</v>
      </c>
      <c r="E688" t="s">
        <v>694</v>
      </c>
      <c r="F688">
        <f>HYPERLINK("http://pbs.twimg.com/media/DbQ-H-NWkAUbwgn.jpg", "http://pbs.twimg.com/media/DbQ-H-NWkAUbwgn.jpg")</f>
        <v/>
      </c>
      <c r="G688" t="s"/>
      <c r="H688" t="s"/>
      <c r="I688" t="s"/>
      <c r="J688" t="n">
        <v>0.3182</v>
      </c>
      <c r="K688" t="n">
        <v>0.059</v>
      </c>
      <c r="L688" t="n">
        <v>0.822</v>
      </c>
      <c r="M688" t="n">
        <v>0.119</v>
      </c>
    </row>
    <row r="689" spans="1:13">
      <c r="A689" s="1">
        <f>HYPERLINK("http://www.twitter.com/NathanBLawrence/status/987483638278352896", "987483638278352896")</f>
        <v/>
      </c>
      <c r="B689" s="2" t="n">
        <v>43211.00717592592</v>
      </c>
      <c r="C689" t="n">
        <v>6</v>
      </c>
      <c r="D689" t="n">
        <v>0</v>
      </c>
      <c r="E689" t="s">
        <v>695</v>
      </c>
      <c r="F689" t="s"/>
      <c r="G689" t="s"/>
      <c r="H689" t="s"/>
      <c r="I689" t="s"/>
      <c r="J689" t="n">
        <v>0.9532</v>
      </c>
      <c r="K689" t="n">
        <v>0.028</v>
      </c>
      <c r="L689" t="n">
        <v>0.6870000000000001</v>
      </c>
      <c r="M689" t="n">
        <v>0.285</v>
      </c>
    </row>
    <row r="690" spans="1:13">
      <c r="A690" s="1">
        <f>HYPERLINK("http://www.twitter.com/NathanBLawrence/status/987470307320647680", "987470307320647680")</f>
        <v/>
      </c>
      <c r="B690" s="2" t="n">
        <v>43210.97039351852</v>
      </c>
      <c r="C690" t="n">
        <v>5</v>
      </c>
      <c r="D690" t="n">
        <v>3</v>
      </c>
      <c r="E690" t="s">
        <v>696</v>
      </c>
      <c r="F690" t="s"/>
      <c r="G690" t="s"/>
      <c r="H690" t="s"/>
      <c r="I690" t="s"/>
      <c r="J690" t="n">
        <v>0.5093</v>
      </c>
      <c r="K690" t="n">
        <v>0</v>
      </c>
      <c r="L690" t="n">
        <v>0.912</v>
      </c>
      <c r="M690" t="n">
        <v>0.08799999999999999</v>
      </c>
    </row>
    <row r="691" spans="1:13">
      <c r="A691" s="1">
        <f>HYPERLINK("http://www.twitter.com/NathanBLawrence/status/987462620058972161", "987462620058972161")</f>
        <v/>
      </c>
      <c r="B691" s="2" t="n">
        <v>43210.94917824074</v>
      </c>
      <c r="C691" t="n">
        <v>0</v>
      </c>
      <c r="D691" t="n">
        <v>11</v>
      </c>
      <c r="E691" t="s">
        <v>697</v>
      </c>
      <c r="F691">
        <f>HYPERLINK("http://pbs.twimg.com/media/DbQrXimW4AExk2T.jpg", "http://pbs.twimg.com/media/DbQrXimW4AExk2T.jpg")</f>
        <v/>
      </c>
      <c r="G691" t="s"/>
      <c r="H691" t="s"/>
      <c r="I691" t="s"/>
      <c r="J691" t="n">
        <v>0.4019</v>
      </c>
      <c r="K691" t="n">
        <v>0</v>
      </c>
      <c r="L691" t="n">
        <v>0.876</v>
      </c>
      <c r="M691" t="n">
        <v>0.124</v>
      </c>
    </row>
    <row r="692" spans="1:13">
      <c r="A692" s="1">
        <f>HYPERLINK("http://www.twitter.com/NathanBLawrence/status/987461663866654721", "987461663866654721")</f>
        <v/>
      </c>
      <c r="B692" s="2" t="n">
        <v>43210.94653935185</v>
      </c>
      <c r="C692" t="n">
        <v>0</v>
      </c>
      <c r="D692" t="n">
        <v>5</v>
      </c>
      <c r="E692" t="s">
        <v>698</v>
      </c>
      <c r="F692" t="s"/>
      <c r="G692" t="s"/>
      <c r="H692" t="s"/>
      <c r="I692" t="s"/>
      <c r="J692" t="n">
        <v>0.1695</v>
      </c>
      <c r="K692" t="n">
        <v>0</v>
      </c>
      <c r="L692" t="n">
        <v>0.9320000000000001</v>
      </c>
      <c r="M692" t="n">
        <v>0.068</v>
      </c>
    </row>
    <row r="693" spans="1:13">
      <c r="A693" s="1">
        <f>HYPERLINK("http://www.twitter.com/NathanBLawrence/status/987455627080425472", "987455627080425472")</f>
        <v/>
      </c>
      <c r="B693" s="2" t="n">
        <v>43210.92988425926</v>
      </c>
      <c r="C693" t="n">
        <v>0</v>
      </c>
      <c r="D693" t="n">
        <v>2</v>
      </c>
      <c r="E693" t="s">
        <v>699</v>
      </c>
      <c r="F693" t="s"/>
      <c r="G693" t="s"/>
      <c r="H693" t="s"/>
      <c r="I693" t="s"/>
      <c r="J693" t="n">
        <v>0</v>
      </c>
      <c r="K693" t="n">
        <v>0</v>
      </c>
      <c r="L693" t="n">
        <v>1</v>
      </c>
      <c r="M693" t="n">
        <v>0</v>
      </c>
    </row>
    <row r="694" spans="1:13">
      <c r="A694" s="1">
        <f>HYPERLINK("http://www.twitter.com/NathanBLawrence/status/987454407687188485", "987454407687188485")</f>
        <v/>
      </c>
      <c r="B694" s="2" t="n">
        <v>43210.9265162037</v>
      </c>
      <c r="C694" t="n">
        <v>0</v>
      </c>
      <c r="D694" t="n">
        <v>1111</v>
      </c>
      <c r="E694" t="s">
        <v>700</v>
      </c>
      <c r="F694" t="s"/>
      <c r="G694" t="s"/>
      <c r="H694" t="s"/>
      <c r="I694" t="s"/>
      <c r="J694" t="n">
        <v>0.8357</v>
      </c>
      <c r="K694" t="n">
        <v>0</v>
      </c>
      <c r="L694" t="n">
        <v>0.618</v>
      </c>
      <c r="M694" t="n">
        <v>0.382</v>
      </c>
    </row>
    <row r="695" spans="1:13">
      <c r="A695" s="1">
        <f>HYPERLINK("http://www.twitter.com/NathanBLawrence/status/987445588957519872", "987445588957519872")</f>
        <v/>
      </c>
      <c r="B695" s="2" t="n">
        <v>43210.90217592593</v>
      </c>
      <c r="C695" t="n">
        <v>2</v>
      </c>
      <c r="D695" t="n">
        <v>0</v>
      </c>
      <c r="E695" t="s">
        <v>701</v>
      </c>
      <c r="F695" t="s"/>
      <c r="G695" t="s"/>
      <c r="H695" t="s"/>
      <c r="I695" t="s"/>
      <c r="J695" t="n">
        <v>0.5411</v>
      </c>
      <c r="K695" t="n">
        <v>0</v>
      </c>
      <c r="L695" t="n">
        <v>0.838</v>
      </c>
      <c r="M695" t="n">
        <v>0.162</v>
      </c>
    </row>
    <row r="696" spans="1:13">
      <c r="A696" s="1">
        <f>HYPERLINK("http://www.twitter.com/NathanBLawrence/status/987438902633000960", "987438902633000960")</f>
        <v/>
      </c>
      <c r="B696" s="2" t="n">
        <v>43210.88372685185</v>
      </c>
      <c r="C696" t="n">
        <v>0</v>
      </c>
      <c r="D696" t="n">
        <v>0</v>
      </c>
      <c r="E696" t="s">
        <v>702</v>
      </c>
      <c r="F696" t="s"/>
      <c r="G696" t="s"/>
      <c r="H696" t="s"/>
      <c r="I696" t="s"/>
      <c r="J696" t="n">
        <v>0</v>
      </c>
      <c r="K696" t="n">
        <v>0</v>
      </c>
      <c r="L696" t="n">
        <v>1</v>
      </c>
      <c r="M696" t="n">
        <v>0</v>
      </c>
    </row>
    <row r="697" spans="1:13">
      <c r="A697" s="1">
        <f>HYPERLINK("http://www.twitter.com/NathanBLawrence/status/987438620981235712", "987438620981235712")</f>
        <v/>
      </c>
      <c r="B697" s="2" t="n">
        <v>43210.88295138889</v>
      </c>
      <c r="C697" t="n">
        <v>0</v>
      </c>
      <c r="D697" t="n">
        <v>0</v>
      </c>
      <c r="E697" t="s">
        <v>703</v>
      </c>
      <c r="F697" t="s"/>
      <c r="G697" t="s"/>
      <c r="H697" t="s"/>
      <c r="I697" t="s"/>
      <c r="J697" t="n">
        <v>0</v>
      </c>
      <c r="K697" t="n">
        <v>0</v>
      </c>
      <c r="L697" t="n">
        <v>1</v>
      </c>
      <c r="M697" t="n">
        <v>0</v>
      </c>
    </row>
    <row r="698" spans="1:13">
      <c r="A698" s="1">
        <f>HYPERLINK("http://www.twitter.com/NathanBLawrence/status/987434527604772864", "987434527604772864")</f>
        <v/>
      </c>
      <c r="B698" s="2" t="n">
        <v>43210.87165509259</v>
      </c>
      <c r="C698" t="n">
        <v>0</v>
      </c>
      <c r="D698" t="n">
        <v>1</v>
      </c>
      <c r="E698" t="s">
        <v>704</v>
      </c>
      <c r="F698">
        <f>HYPERLINK("http://pbs.twimg.com/media/DbQP63kX0AA9GA0.jpg", "http://pbs.twimg.com/media/DbQP63kX0AA9GA0.jpg")</f>
        <v/>
      </c>
      <c r="G698" t="s"/>
      <c r="H698" t="s"/>
      <c r="I698" t="s"/>
      <c r="J698" t="n">
        <v>-0.4215</v>
      </c>
      <c r="K698" t="n">
        <v>0.128</v>
      </c>
      <c r="L698" t="n">
        <v>0.872</v>
      </c>
      <c r="M698" t="n">
        <v>0</v>
      </c>
    </row>
    <row r="699" spans="1:13">
      <c r="A699" s="1">
        <f>HYPERLINK("http://www.twitter.com/NathanBLawrence/status/987421881790816256", "987421881790816256")</f>
        <v/>
      </c>
      <c r="B699" s="2" t="n">
        <v>43210.83675925926</v>
      </c>
      <c r="C699" t="n">
        <v>0</v>
      </c>
      <c r="D699" t="n">
        <v>1</v>
      </c>
      <c r="E699" t="s">
        <v>705</v>
      </c>
      <c r="F699" t="s"/>
      <c r="G699" t="s"/>
      <c r="H699" t="s"/>
      <c r="I699" t="s"/>
      <c r="J699" t="n">
        <v>0.5106000000000001</v>
      </c>
      <c r="K699" t="n">
        <v>0</v>
      </c>
      <c r="L699" t="n">
        <v>0.8149999999999999</v>
      </c>
      <c r="M699" t="n">
        <v>0.185</v>
      </c>
    </row>
    <row r="700" spans="1:13">
      <c r="A700" s="1">
        <f>HYPERLINK("http://www.twitter.com/NathanBLawrence/status/987418781449424896", "987418781449424896")</f>
        <v/>
      </c>
      <c r="B700" s="2" t="n">
        <v>43210.82820601852</v>
      </c>
      <c r="C700" t="n">
        <v>0</v>
      </c>
      <c r="D700" t="n">
        <v>4</v>
      </c>
      <c r="E700" t="s">
        <v>706</v>
      </c>
      <c r="F700" t="s"/>
      <c r="G700" t="s"/>
      <c r="H700" t="s"/>
      <c r="I700" t="s"/>
      <c r="J700" t="n">
        <v>0</v>
      </c>
      <c r="K700" t="n">
        <v>0</v>
      </c>
      <c r="L700" t="n">
        <v>1</v>
      </c>
      <c r="M700" t="n">
        <v>0</v>
      </c>
    </row>
    <row r="701" spans="1:13">
      <c r="A701" s="1">
        <f>HYPERLINK("http://www.twitter.com/NathanBLawrence/status/987411825888292864", "987411825888292864")</f>
        <v/>
      </c>
      <c r="B701" s="2" t="n">
        <v>43210.8090162037</v>
      </c>
      <c r="C701" t="n">
        <v>0</v>
      </c>
      <c r="D701" t="n">
        <v>22</v>
      </c>
      <c r="E701" t="s">
        <v>707</v>
      </c>
      <c r="F701" t="s"/>
      <c r="G701" t="s"/>
      <c r="H701" t="s"/>
      <c r="I701" t="s"/>
      <c r="J701" t="n">
        <v>0</v>
      </c>
      <c r="K701" t="n">
        <v>0</v>
      </c>
      <c r="L701" t="n">
        <v>1</v>
      </c>
      <c r="M701" t="n">
        <v>0</v>
      </c>
    </row>
    <row r="702" spans="1:13">
      <c r="A702" s="1">
        <f>HYPERLINK("http://www.twitter.com/NathanBLawrence/status/987411605431422979", "987411605431422979")</f>
        <v/>
      </c>
      <c r="B702" s="2" t="n">
        <v>43210.80840277778</v>
      </c>
      <c r="C702" t="n">
        <v>0</v>
      </c>
      <c r="D702" t="n">
        <v>222</v>
      </c>
      <c r="E702" t="s">
        <v>708</v>
      </c>
      <c r="F702" t="s"/>
      <c r="G702" t="s"/>
      <c r="H702" t="s"/>
      <c r="I702" t="s"/>
      <c r="J702" t="n">
        <v>-0.8668</v>
      </c>
      <c r="K702" t="n">
        <v>0.439</v>
      </c>
      <c r="L702" t="n">
        <v>0.5610000000000001</v>
      </c>
      <c r="M702" t="n">
        <v>0</v>
      </c>
    </row>
    <row r="703" spans="1:13">
      <c r="A703" s="1">
        <f>HYPERLINK("http://www.twitter.com/NathanBLawrence/status/987411424518565890", "987411424518565890")</f>
        <v/>
      </c>
      <c r="B703" s="2" t="n">
        <v>43210.8079050926</v>
      </c>
      <c r="C703" t="n">
        <v>0</v>
      </c>
      <c r="D703" t="n">
        <v>23</v>
      </c>
      <c r="E703" t="s">
        <v>709</v>
      </c>
      <c r="F703" t="s"/>
      <c r="G703" t="s"/>
      <c r="H703" t="s"/>
      <c r="I703" t="s"/>
      <c r="J703" t="n">
        <v>-0.6124000000000001</v>
      </c>
      <c r="K703" t="n">
        <v>0.235</v>
      </c>
      <c r="L703" t="n">
        <v>0.765</v>
      </c>
      <c r="M703" t="n">
        <v>0</v>
      </c>
    </row>
    <row r="704" spans="1:13">
      <c r="A704" s="1">
        <f>HYPERLINK("http://www.twitter.com/NathanBLawrence/status/987411235078574080", "987411235078574080")</f>
        <v/>
      </c>
      <c r="B704" s="2" t="n">
        <v>43210.80738425926</v>
      </c>
      <c r="C704" t="n">
        <v>0</v>
      </c>
      <c r="D704" t="n">
        <v>53</v>
      </c>
      <c r="E704" t="s">
        <v>710</v>
      </c>
      <c r="F704" t="s"/>
      <c r="G704" t="s"/>
      <c r="H704" t="s"/>
      <c r="I704" t="s"/>
      <c r="J704" t="n">
        <v>0</v>
      </c>
      <c r="K704" t="n">
        <v>0</v>
      </c>
      <c r="L704" t="n">
        <v>1</v>
      </c>
      <c r="M704" t="n">
        <v>0</v>
      </c>
    </row>
    <row r="705" spans="1:13">
      <c r="A705" s="1">
        <f>HYPERLINK("http://www.twitter.com/NathanBLawrence/status/987410776968359942", "987410776968359942")</f>
        <v/>
      </c>
      <c r="B705" s="2" t="n">
        <v>43210.80612268519</v>
      </c>
      <c r="C705" t="n">
        <v>0</v>
      </c>
      <c r="D705" t="n">
        <v>7</v>
      </c>
      <c r="E705" t="s">
        <v>711</v>
      </c>
      <c r="F705" t="s"/>
      <c r="G705" t="s"/>
      <c r="H705" t="s"/>
      <c r="I705" t="s"/>
      <c r="J705" t="n">
        <v>0.4389</v>
      </c>
      <c r="K705" t="n">
        <v>0</v>
      </c>
      <c r="L705" t="n">
        <v>0.855</v>
      </c>
      <c r="M705" t="n">
        <v>0.145</v>
      </c>
    </row>
    <row r="706" spans="1:13">
      <c r="A706" s="1">
        <f>HYPERLINK("http://www.twitter.com/NathanBLawrence/status/987410642310135809", "987410642310135809")</f>
        <v/>
      </c>
      <c r="B706" s="2" t="n">
        <v>43210.80574074074</v>
      </c>
      <c r="C706" t="n">
        <v>0</v>
      </c>
      <c r="D706" t="n">
        <v>2</v>
      </c>
      <c r="E706" t="s">
        <v>712</v>
      </c>
      <c r="F706" t="s"/>
      <c r="G706" t="s"/>
      <c r="H706" t="s"/>
      <c r="I706" t="s"/>
      <c r="J706" t="n">
        <v>-0.5255</v>
      </c>
      <c r="K706" t="n">
        <v>0.175</v>
      </c>
      <c r="L706" t="n">
        <v>0.825</v>
      </c>
      <c r="M706" t="n">
        <v>0</v>
      </c>
    </row>
    <row r="707" spans="1:13">
      <c r="A707" s="1">
        <f>HYPERLINK("http://www.twitter.com/NathanBLawrence/status/987409982940504064", "987409982940504064")</f>
        <v/>
      </c>
      <c r="B707" s="2" t="n">
        <v>43210.80392361111</v>
      </c>
      <c r="C707" t="n">
        <v>0</v>
      </c>
      <c r="D707" t="n">
        <v>44</v>
      </c>
      <c r="E707" t="s">
        <v>713</v>
      </c>
      <c r="F707" t="s"/>
      <c r="G707" t="s"/>
      <c r="H707" t="s"/>
      <c r="I707" t="s"/>
      <c r="J707" t="n">
        <v>0.4926</v>
      </c>
      <c r="K707" t="n">
        <v>0</v>
      </c>
      <c r="L707" t="n">
        <v>0.849</v>
      </c>
      <c r="M707" t="n">
        <v>0.151</v>
      </c>
    </row>
    <row r="708" spans="1:13">
      <c r="A708" s="1">
        <f>HYPERLINK("http://www.twitter.com/NathanBLawrence/status/987402739197075457", "987402739197075457")</f>
        <v/>
      </c>
      <c r="B708" s="2" t="n">
        <v>43210.78393518519</v>
      </c>
      <c r="C708" t="n">
        <v>0</v>
      </c>
      <c r="D708" t="n">
        <v>4</v>
      </c>
      <c r="E708" t="s">
        <v>714</v>
      </c>
      <c r="F708" t="s"/>
      <c r="G708" t="s"/>
      <c r="H708" t="s"/>
      <c r="I708" t="s"/>
      <c r="J708" t="n">
        <v>0</v>
      </c>
      <c r="K708" t="n">
        <v>0</v>
      </c>
      <c r="L708" t="n">
        <v>1</v>
      </c>
      <c r="M708" t="n">
        <v>0</v>
      </c>
    </row>
    <row r="709" spans="1:13">
      <c r="A709" s="1">
        <f>HYPERLINK("http://www.twitter.com/NathanBLawrence/status/987393534226587648", "987393534226587648")</f>
        <v/>
      </c>
      <c r="B709" s="2" t="n">
        <v>43210.75854166667</v>
      </c>
      <c r="C709" t="n">
        <v>0</v>
      </c>
      <c r="D709" t="n">
        <v>278</v>
      </c>
      <c r="E709" t="s">
        <v>715</v>
      </c>
      <c r="F709">
        <f>HYPERLINK("http://pbs.twimg.com/media/DZyRrQXUMAAQw8V.jpg", "http://pbs.twimg.com/media/DZyRrQXUMAAQw8V.jpg")</f>
        <v/>
      </c>
      <c r="G709" t="s"/>
      <c r="H709" t="s"/>
      <c r="I709" t="s"/>
      <c r="J709" t="n">
        <v>0.8388</v>
      </c>
      <c r="K709" t="n">
        <v>0.102</v>
      </c>
      <c r="L709" t="n">
        <v>0.552</v>
      </c>
      <c r="M709" t="n">
        <v>0.346</v>
      </c>
    </row>
    <row r="710" spans="1:13">
      <c r="A710" s="1">
        <f>HYPERLINK("http://www.twitter.com/NathanBLawrence/status/987388095573168129", "987388095573168129")</f>
        <v/>
      </c>
      <c r="B710" s="2" t="n">
        <v>43210.74353009259</v>
      </c>
      <c r="C710" t="n">
        <v>0</v>
      </c>
      <c r="D710" t="n">
        <v>2385</v>
      </c>
      <c r="E710" t="s">
        <v>716</v>
      </c>
      <c r="F710">
        <f>HYPERLINK("http://pbs.twimg.com/media/DbF4qAjV4AEEXL1.jpg", "http://pbs.twimg.com/media/DbF4qAjV4AEEXL1.jpg")</f>
        <v/>
      </c>
      <c r="G710" t="s"/>
      <c r="H710" t="s"/>
      <c r="I710" t="s"/>
      <c r="J710" t="n">
        <v>0</v>
      </c>
      <c r="K710" t="n">
        <v>0</v>
      </c>
      <c r="L710" t="n">
        <v>1</v>
      </c>
      <c r="M710" t="n">
        <v>0</v>
      </c>
    </row>
    <row r="711" spans="1:13">
      <c r="A711" s="1">
        <f>HYPERLINK("http://www.twitter.com/NathanBLawrence/status/987387255634448389", "987387255634448389")</f>
        <v/>
      </c>
      <c r="B711" s="2" t="n">
        <v>43210.74121527778</v>
      </c>
      <c r="C711" t="n">
        <v>0</v>
      </c>
      <c r="D711" t="n">
        <v>30</v>
      </c>
      <c r="E711" t="s">
        <v>717</v>
      </c>
      <c r="F711" t="s"/>
      <c r="G711" t="s"/>
      <c r="H711" t="s"/>
      <c r="I711" t="s"/>
      <c r="J711" t="n">
        <v>-0.4019</v>
      </c>
      <c r="K711" t="n">
        <v>0.109</v>
      </c>
      <c r="L711" t="n">
        <v>0.891</v>
      </c>
      <c r="M711" t="n">
        <v>0</v>
      </c>
    </row>
    <row r="712" spans="1:13">
      <c r="A712" s="1">
        <f>HYPERLINK("http://www.twitter.com/NathanBLawrence/status/987385945585483776", "987385945585483776")</f>
        <v/>
      </c>
      <c r="B712" s="2" t="n">
        <v>43210.7375925926</v>
      </c>
      <c r="C712" t="n">
        <v>5</v>
      </c>
      <c r="D712" t="n">
        <v>0</v>
      </c>
      <c r="E712" t="s">
        <v>718</v>
      </c>
      <c r="F712" t="s"/>
      <c r="G712" t="s"/>
      <c r="H712" t="s"/>
      <c r="I712" t="s"/>
      <c r="J712" t="n">
        <v>0</v>
      </c>
      <c r="K712" t="n">
        <v>0</v>
      </c>
      <c r="L712" t="n">
        <v>1</v>
      </c>
      <c r="M712" t="n">
        <v>0</v>
      </c>
    </row>
    <row r="713" spans="1:13">
      <c r="A713" s="1">
        <f>HYPERLINK("http://www.twitter.com/NathanBLawrence/status/987385287415422976", "987385287415422976")</f>
        <v/>
      </c>
      <c r="B713" s="2" t="n">
        <v>43210.73577546296</v>
      </c>
      <c r="C713" t="n">
        <v>0</v>
      </c>
      <c r="D713" t="n">
        <v>828</v>
      </c>
      <c r="E713" t="s">
        <v>719</v>
      </c>
      <c r="F713">
        <f>HYPERLINK("http://pbs.twimg.com/media/DbPKz1rU0AA2Tiy.jpg", "http://pbs.twimg.com/media/DbPKz1rU0AA2Tiy.jpg")</f>
        <v/>
      </c>
      <c r="G713" t="s"/>
      <c r="H713" t="s"/>
      <c r="I713" t="s"/>
      <c r="J713" t="n">
        <v>0.7906</v>
      </c>
      <c r="K713" t="n">
        <v>0</v>
      </c>
      <c r="L713" t="n">
        <v>0.75</v>
      </c>
      <c r="M713" t="n">
        <v>0.25</v>
      </c>
    </row>
    <row r="714" spans="1:13">
      <c r="A714" s="1">
        <f>HYPERLINK("http://www.twitter.com/NathanBLawrence/status/987385263759511552", "987385263759511552")</f>
        <v/>
      </c>
      <c r="B714" s="2" t="n">
        <v>43210.73571759259</v>
      </c>
      <c r="C714" t="n">
        <v>0</v>
      </c>
      <c r="D714" t="n">
        <v>22</v>
      </c>
      <c r="E714" t="s">
        <v>720</v>
      </c>
      <c r="F714" t="s"/>
      <c r="G714" t="s"/>
      <c r="H714" t="s"/>
      <c r="I714" t="s"/>
      <c r="J714" t="n">
        <v>-0.1531</v>
      </c>
      <c r="K714" t="n">
        <v>0.167</v>
      </c>
      <c r="L714" t="n">
        <v>0.833</v>
      </c>
      <c r="M714" t="n">
        <v>0</v>
      </c>
    </row>
    <row r="715" spans="1:13">
      <c r="A715" s="1">
        <f>HYPERLINK("http://www.twitter.com/NathanBLawrence/status/987382610363068416", "987382610363068416")</f>
        <v/>
      </c>
      <c r="B715" s="2" t="n">
        <v>43210.7283912037</v>
      </c>
      <c r="C715" t="n">
        <v>0</v>
      </c>
      <c r="D715" t="n">
        <v>1</v>
      </c>
      <c r="E715" t="s">
        <v>721</v>
      </c>
      <c r="F715" t="s"/>
      <c r="G715" t="s"/>
      <c r="H715" t="s"/>
      <c r="I715" t="s"/>
      <c r="J715" t="n">
        <v>0.3612</v>
      </c>
      <c r="K715" t="n">
        <v>0</v>
      </c>
      <c r="L715" t="n">
        <v>0.889</v>
      </c>
      <c r="M715" t="n">
        <v>0.111</v>
      </c>
    </row>
    <row r="716" spans="1:13">
      <c r="A716" s="1">
        <f>HYPERLINK("http://www.twitter.com/NathanBLawrence/status/987380356339916801", "987380356339916801")</f>
        <v/>
      </c>
      <c r="B716" s="2" t="n">
        <v>43210.72217592593</v>
      </c>
      <c r="C716" t="n">
        <v>4</v>
      </c>
      <c r="D716" t="n">
        <v>3</v>
      </c>
      <c r="E716" t="s">
        <v>722</v>
      </c>
      <c r="F716">
        <f>HYPERLINK("http://pbs.twimg.com/media/DbPhLHAXkAEcGHm.jpg", "http://pbs.twimg.com/media/DbPhLHAXkAEcGHm.jpg")</f>
        <v/>
      </c>
      <c r="G716" t="s"/>
      <c r="H716" t="s"/>
      <c r="I716" t="s"/>
      <c r="J716" t="n">
        <v>0.9395</v>
      </c>
      <c r="K716" t="n">
        <v>0.076</v>
      </c>
      <c r="L716" t="n">
        <v>0.675</v>
      </c>
      <c r="M716" t="n">
        <v>0.249</v>
      </c>
    </row>
    <row r="717" spans="1:13">
      <c r="A717" s="1">
        <f>HYPERLINK("http://www.twitter.com/NathanBLawrence/status/987373809480228866", "987373809480228866")</f>
        <v/>
      </c>
      <c r="B717" s="2" t="n">
        <v>43210.70410879629</v>
      </c>
      <c r="C717" t="n">
        <v>1</v>
      </c>
      <c r="D717" t="n">
        <v>0</v>
      </c>
      <c r="E717" t="s">
        <v>723</v>
      </c>
      <c r="F717" t="s"/>
      <c r="G717" t="s"/>
      <c r="H717" t="s"/>
      <c r="I717" t="s"/>
      <c r="J717" t="n">
        <v>0</v>
      </c>
      <c r="K717" t="n">
        <v>0</v>
      </c>
      <c r="L717" t="n">
        <v>1</v>
      </c>
      <c r="M717" t="n">
        <v>0</v>
      </c>
    </row>
    <row r="718" spans="1:13">
      <c r="A718" s="1">
        <f>HYPERLINK("http://www.twitter.com/NathanBLawrence/status/987371708851150853", "987371708851150853")</f>
        <v/>
      </c>
      <c r="B718" s="2" t="n">
        <v>43210.69831018519</v>
      </c>
      <c r="C718" t="n">
        <v>7</v>
      </c>
      <c r="D718" t="n">
        <v>8</v>
      </c>
      <c r="E718" t="s">
        <v>724</v>
      </c>
      <c r="F718">
        <f>HYPERLINK("http://pbs.twimg.com/media/DbPZT9VWAAEYnzl.jpg", "http://pbs.twimg.com/media/DbPZT9VWAAEYnzl.jpg")</f>
        <v/>
      </c>
      <c r="G718" t="s"/>
      <c r="H718" t="s"/>
      <c r="I718" t="s"/>
      <c r="J718" t="n">
        <v>-0.794</v>
      </c>
      <c r="K718" t="n">
        <v>0.128</v>
      </c>
      <c r="L718" t="n">
        <v>0.872</v>
      </c>
      <c r="M718" t="n">
        <v>0</v>
      </c>
    </row>
    <row r="719" spans="1:13">
      <c r="A719" s="1">
        <f>HYPERLINK("http://www.twitter.com/NathanBLawrence/status/987360834295910401", "987360834295910401")</f>
        <v/>
      </c>
      <c r="B719" s="2" t="n">
        <v>43210.66829861111</v>
      </c>
      <c r="C719" t="n">
        <v>0</v>
      </c>
      <c r="D719" t="n">
        <v>2</v>
      </c>
      <c r="E719" t="s">
        <v>725</v>
      </c>
      <c r="F719" t="s"/>
      <c r="G719" t="s"/>
      <c r="H719" t="s"/>
      <c r="I719" t="s"/>
      <c r="J719" t="n">
        <v>0</v>
      </c>
      <c r="K719" t="n">
        <v>0</v>
      </c>
      <c r="L719" t="n">
        <v>1</v>
      </c>
      <c r="M719" t="n">
        <v>0</v>
      </c>
    </row>
    <row r="720" spans="1:13">
      <c r="A720" s="1">
        <f>HYPERLINK("http://www.twitter.com/NathanBLawrence/status/987360817648685056", "987360817648685056")</f>
        <v/>
      </c>
      <c r="B720" s="2" t="n">
        <v>43210.66825231481</v>
      </c>
      <c r="C720" t="n">
        <v>0</v>
      </c>
      <c r="D720" t="n">
        <v>3</v>
      </c>
      <c r="E720" t="s">
        <v>726</v>
      </c>
      <c r="F720">
        <f>HYPERLINK("http://pbs.twimg.com/media/DbPPDkQW0AArqC_.jpg", "http://pbs.twimg.com/media/DbPPDkQW0AArqC_.jpg")</f>
        <v/>
      </c>
      <c r="G720" t="s"/>
      <c r="H720" t="s"/>
      <c r="I720" t="s"/>
      <c r="J720" t="n">
        <v>0.3595</v>
      </c>
      <c r="K720" t="n">
        <v>0</v>
      </c>
      <c r="L720" t="n">
        <v>0.878</v>
      </c>
      <c r="M720" t="n">
        <v>0.122</v>
      </c>
    </row>
    <row r="721" spans="1:13">
      <c r="A721" s="1">
        <f>HYPERLINK("http://www.twitter.com/NathanBLawrence/status/987360443055464449", "987360443055464449")</f>
        <v/>
      </c>
      <c r="B721" s="2" t="n">
        <v>43210.66722222222</v>
      </c>
      <c r="C721" t="n">
        <v>8</v>
      </c>
      <c r="D721" t="n">
        <v>3</v>
      </c>
      <c r="E721" t="s">
        <v>727</v>
      </c>
      <c r="F721">
        <f>HYPERLINK("http://pbs.twimg.com/media/DbPPDkQW0AArqC_.jpg", "http://pbs.twimg.com/media/DbPPDkQW0AArqC_.jpg")</f>
        <v/>
      </c>
      <c r="G721" t="s"/>
      <c r="H721" t="s"/>
      <c r="I721" t="s"/>
      <c r="J721" t="n">
        <v>0.3595</v>
      </c>
      <c r="K721" t="n">
        <v>0</v>
      </c>
      <c r="L721" t="n">
        <v>0.958</v>
      </c>
      <c r="M721" t="n">
        <v>0.042</v>
      </c>
    </row>
    <row r="722" spans="1:13">
      <c r="A722" s="1">
        <f>HYPERLINK("http://www.twitter.com/NathanBLawrence/status/987357381809098752", "987357381809098752")</f>
        <v/>
      </c>
      <c r="B722" s="2" t="n">
        <v>43210.65877314815</v>
      </c>
      <c r="C722" t="n">
        <v>0</v>
      </c>
      <c r="D722" t="n">
        <v>6</v>
      </c>
      <c r="E722" t="s">
        <v>728</v>
      </c>
      <c r="F722">
        <f>HYPERLINK("http://pbs.twimg.com/media/DbOaKXZV4AEd2Uk.jpg", "http://pbs.twimg.com/media/DbOaKXZV4AEd2Uk.jpg")</f>
        <v/>
      </c>
      <c r="G722" t="s"/>
      <c r="H722" t="s"/>
      <c r="I722" t="s"/>
      <c r="J722" t="n">
        <v>0.4019</v>
      </c>
      <c r="K722" t="n">
        <v>0</v>
      </c>
      <c r="L722" t="n">
        <v>0.87</v>
      </c>
      <c r="M722" t="n">
        <v>0.13</v>
      </c>
    </row>
    <row r="723" spans="1:13">
      <c r="A723" s="1">
        <f>HYPERLINK("http://www.twitter.com/NathanBLawrence/status/987353928399540224", "987353928399540224")</f>
        <v/>
      </c>
      <c r="B723" s="2" t="n">
        <v>43210.64924768519</v>
      </c>
      <c r="C723" t="n">
        <v>0</v>
      </c>
      <c r="D723" t="n">
        <v>1</v>
      </c>
      <c r="E723" t="s">
        <v>729</v>
      </c>
      <c r="F723" t="s"/>
      <c r="G723" t="s"/>
      <c r="H723" t="s"/>
      <c r="I723" t="s"/>
      <c r="J723" t="n">
        <v>0.4967</v>
      </c>
      <c r="K723" t="n">
        <v>0.077</v>
      </c>
      <c r="L723" t="n">
        <v>0.734</v>
      </c>
      <c r="M723" t="n">
        <v>0.189</v>
      </c>
    </row>
    <row r="724" spans="1:13">
      <c r="A724" s="1">
        <f>HYPERLINK("http://www.twitter.com/NathanBLawrence/status/987353380786982912", "987353380786982912")</f>
        <v/>
      </c>
      <c r="B724" s="2" t="n">
        <v>43210.64773148148</v>
      </c>
      <c r="C724" t="n">
        <v>0</v>
      </c>
      <c r="D724" t="n">
        <v>4</v>
      </c>
      <c r="E724" t="s">
        <v>730</v>
      </c>
      <c r="F724" t="s"/>
      <c r="G724" t="s"/>
      <c r="H724" t="s"/>
      <c r="I724" t="s"/>
      <c r="J724" t="n">
        <v>0</v>
      </c>
      <c r="K724" t="n">
        <v>0</v>
      </c>
      <c r="L724" t="n">
        <v>1</v>
      </c>
      <c r="M724" t="n">
        <v>0</v>
      </c>
    </row>
    <row r="725" spans="1:13">
      <c r="A725" s="1">
        <f>HYPERLINK("http://www.twitter.com/NathanBLawrence/status/987328739607490560", "987328739607490560")</f>
        <v/>
      </c>
      <c r="B725" s="2" t="n">
        <v>43210.57973379629</v>
      </c>
      <c r="C725" t="n">
        <v>0</v>
      </c>
      <c r="D725" t="n">
        <v>20</v>
      </c>
      <c r="E725" t="s">
        <v>731</v>
      </c>
      <c r="F725">
        <f>HYPERLINK("http://pbs.twimg.com/media/DbNxJxyX4AA-cUX.jpg", "http://pbs.twimg.com/media/DbNxJxyX4AA-cUX.jpg")</f>
        <v/>
      </c>
      <c r="G725" t="s"/>
      <c r="H725" t="s"/>
      <c r="I725" t="s"/>
      <c r="J725" t="n">
        <v>0.4215</v>
      </c>
      <c r="K725" t="n">
        <v>0</v>
      </c>
      <c r="L725" t="n">
        <v>0.84</v>
      </c>
      <c r="M725" t="n">
        <v>0.16</v>
      </c>
    </row>
    <row r="726" spans="1:13">
      <c r="A726" s="1">
        <f>HYPERLINK("http://www.twitter.com/NathanBLawrence/status/987251818727137280", "987251818727137280")</f>
        <v/>
      </c>
      <c r="B726" s="2" t="n">
        <v>43210.36747685185</v>
      </c>
      <c r="C726" t="n">
        <v>0</v>
      </c>
      <c r="D726" t="n">
        <v>218</v>
      </c>
      <c r="E726" t="s">
        <v>732</v>
      </c>
      <c r="F726">
        <f>HYPERLINK("http://pbs.twimg.com/media/DbNilgsVwAABDbx.jpg", "http://pbs.twimg.com/media/DbNilgsVwAABDbx.jpg")</f>
        <v/>
      </c>
      <c r="G726" t="s"/>
      <c r="H726" t="s"/>
      <c r="I726" t="s"/>
      <c r="J726" t="n">
        <v>0</v>
      </c>
      <c r="K726" t="n">
        <v>0</v>
      </c>
      <c r="L726" t="n">
        <v>1</v>
      </c>
      <c r="M726" t="n">
        <v>0</v>
      </c>
    </row>
    <row r="727" spans="1:13">
      <c r="A727" s="1">
        <f>HYPERLINK("http://www.twitter.com/NathanBLawrence/status/987250293128736770", "987250293128736770")</f>
        <v/>
      </c>
      <c r="B727" s="2" t="n">
        <v>43210.36326388889</v>
      </c>
      <c r="C727" t="n">
        <v>0</v>
      </c>
      <c r="D727" t="n">
        <v>47</v>
      </c>
      <c r="E727" t="s">
        <v>733</v>
      </c>
      <c r="F727" t="s"/>
      <c r="G727" t="s"/>
      <c r="H727" t="s"/>
      <c r="I727" t="s"/>
      <c r="J727" t="n">
        <v>0</v>
      </c>
      <c r="K727" t="n">
        <v>0</v>
      </c>
      <c r="L727" t="n">
        <v>1</v>
      </c>
      <c r="M727" t="n">
        <v>0</v>
      </c>
    </row>
    <row r="728" spans="1:13">
      <c r="A728" s="1">
        <f>HYPERLINK("http://www.twitter.com/NathanBLawrence/status/987249874193338368", "987249874193338368")</f>
        <v/>
      </c>
      <c r="B728" s="2" t="n">
        <v>43210.36210648148</v>
      </c>
      <c r="C728" t="n">
        <v>0</v>
      </c>
      <c r="D728" t="n">
        <v>181</v>
      </c>
      <c r="E728" t="s">
        <v>734</v>
      </c>
      <c r="F728" t="s"/>
      <c r="G728" t="s"/>
      <c r="H728" t="s"/>
      <c r="I728" t="s"/>
      <c r="J728" t="n">
        <v>0.8316</v>
      </c>
      <c r="K728" t="n">
        <v>0.074</v>
      </c>
      <c r="L728" t="n">
        <v>0.508</v>
      </c>
      <c r="M728" t="n">
        <v>0.418</v>
      </c>
    </row>
    <row r="729" spans="1:13">
      <c r="A729" s="1">
        <f>HYPERLINK("http://www.twitter.com/NathanBLawrence/status/987245959678779392", "987245959678779392")</f>
        <v/>
      </c>
      <c r="B729" s="2" t="n">
        <v>43210.35130787037</v>
      </c>
      <c r="C729" t="n">
        <v>0</v>
      </c>
      <c r="D729" t="n">
        <v>2</v>
      </c>
      <c r="E729" t="s">
        <v>735</v>
      </c>
      <c r="F729" t="s"/>
      <c r="G729" t="s"/>
      <c r="H729" t="s"/>
      <c r="I729" t="s"/>
      <c r="J729" t="n">
        <v>0</v>
      </c>
      <c r="K729" t="n">
        <v>0</v>
      </c>
      <c r="L729" t="n">
        <v>1</v>
      </c>
      <c r="M729" t="n">
        <v>0</v>
      </c>
    </row>
    <row r="730" spans="1:13">
      <c r="A730" s="1">
        <f>HYPERLINK("http://www.twitter.com/NathanBLawrence/status/987240848818622465", "987240848818622465")</f>
        <v/>
      </c>
      <c r="B730" s="2" t="n">
        <v>43210.33721064815</v>
      </c>
      <c r="C730" t="n">
        <v>0</v>
      </c>
      <c r="D730" t="n">
        <v>11237</v>
      </c>
      <c r="E730" t="s">
        <v>736</v>
      </c>
      <c r="F730">
        <f>HYPERLINK("http://pbs.twimg.com/media/DbL94QHVwAAHYcH.jpg", "http://pbs.twimg.com/media/DbL94QHVwAAHYcH.jpg")</f>
        <v/>
      </c>
      <c r="G730" t="s"/>
      <c r="H730" t="s"/>
      <c r="I730" t="s"/>
      <c r="J730" t="n">
        <v>0</v>
      </c>
      <c r="K730" t="n">
        <v>0</v>
      </c>
      <c r="L730" t="n">
        <v>1</v>
      </c>
      <c r="M730" t="n">
        <v>0</v>
      </c>
    </row>
    <row r="731" spans="1:13">
      <c r="A731" s="1">
        <f>HYPERLINK("http://www.twitter.com/NathanBLawrence/status/987239381802119168", "987239381802119168")</f>
        <v/>
      </c>
      <c r="B731" s="2" t="n">
        <v>43210.33315972222</v>
      </c>
      <c r="C731" t="n">
        <v>0</v>
      </c>
      <c r="D731" t="n">
        <v>5</v>
      </c>
      <c r="E731" t="s">
        <v>737</v>
      </c>
      <c r="F731" t="s"/>
      <c r="G731" t="s"/>
      <c r="H731" t="s"/>
      <c r="I731" t="s"/>
      <c r="J731" t="n">
        <v>0</v>
      </c>
      <c r="K731" t="n">
        <v>0</v>
      </c>
      <c r="L731" t="n">
        <v>1</v>
      </c>
      <c r="M731" t="n">
        <v>0</v>
      </c>
    </row>
    <row r="732" spans="1:13">
      <c r="A732" s="1">
        <f>HYPERLINK("http://www.twitter.com/NathanBLawrence/status/987238767693049856", "987238767693049856")</f>
        <v/>
      </c>
      <c r="B732" s="2" t="n">
        <v>43210.33145833333</v>
      </c>
      <c r="C732" t="n">
        <v>0</v>
      </c>
      <c r="D732" t="n">
        <v>220</v>
      </c>
      <c r="E732" t="s">
        <v>738</v>
      </c>
      <c r="F732">
        <f>HYPERLINK("https://video.twimg.com/ext_tw_video/984426530695761921/pu/vid/1280x720/ECAf9NfoXF-jy_jW.mp4?tag=2", "https://video.twimg.com/ext_tw_video/984426530695761921/pu/vid/1280x720/ECAf9NfoXF-jy_jW.mp4?tag=2")</f>
        <v/>
      </c>
      <c r="G732" t="s"/>
      <c r="H732" t="s"/>
      <c r="I732" t="s"/>
      <c r="J732" t="n">
        <v>0.5667</v>
      </c>
      <c r="K732" t="n">
        <v>0</v>
      </c>
      <c r="L732" t="n">
        <v>0.78</v>
      </c>
      <c r="M732" t="n">
        <v>0.22</v>
      </c>
    </row>
    <row r="733" spans="1:13">
      <c r="A733" s="1">
        <f>HYPERLINK("http://www.twitter.com/NathanBLawrence/status/987235497155158016", "987235497155158016")</f>
        <v/>
      </c>
      <c r="B733" s="2" t="n">
        <v>43210.32244212963</v>
      </c>
      <c r="C733" t="n">
        <v>18</v>
      </c>
      <c r="D733" t="n">
        <v>0</v>
      </c>
      <c r="E733" t="s">
        <v>739</v>
      </c>
      <c r="F733" t="s"/>
      <c r="G733" t="s"/>
      <c r="H733" t="s"/>
      <c r="I733" t="s"/>
      <c r="J733" t="n">
        <v>0</v>
      </c>
      <c r="K733" t="n">
        <v>0</v>
      </c>
      <c r="L733" t="n">
        <v>1</v>
      </c>
      <c r="M733" t="n">
        <v>0</v>
      </c>
    </row>
    <row r="734" spans="1:13">
      <c r="A734" s="1">
        <f>HYPERLINK("http://www.twitter.com/NathanBLawrence/status/987228716223881217", "987228716223881217")</f>
        <v/>
      </c>
      <c r="B734" s="2" t="n">
        <v>43210.30372685185</v>
      </c>
      <c r="C734" t="n">
        <v>0</v>
      </c>
      <c r="D734" t="n">
        <v>33</v>
      </c>
      <c r="E734" t="s">
        <v>740</v>
      </c>
      <c r="F734">
        <f>HYPERLINK("http://pbs.twimg.com/media/DafFVSQVMAA8RaO.jpg", "http://pbs.twimg.com/media/DafFVSQVMAA8RaO.jpg")</f>
        <v/>
      </c>
      <c r="G734">
        <f>HYPERLINK("http://pbs.twimg.com/media/DafFjWjVwAAepsJ.jpg", "http://pbs.twimg.com/media/DafFjWjVwAAepsJ.jpg")</f>
        <v/>
      </c>
      <c r="H734">
        <f>HYPERLINK("http://pbs.twimg.com/media/DafFwGzV4AALHe8.jpg", "http://pbs.twimg.com/media/DafFwGzV4AALHe8.jpg")</f>
        <v/>
      </c>
      <c r="I734">
        <f>HYPERLINK("http://pbs.twimg.com/media/DafFz2VUQAAhAo8.jpg", "http://pbs.twimg.com/media/DafFz2VUQAAhAo8.jpg")</f>
        <v/>
      </c>
      <c r="J734" t="n">
        <v>0.3182</v>
      </c>
      <c r="K734" t="n">
        <v>0</v>
      </c>
      <c r="L734" t="n">
        <v>0.909</v>
      </c>
      <c r="M734" t="n">
        <v>0.091</v>
      </c>
    </row>
    <row r="735" spans="1:13">
      <c r="A735" s="1">
        <f>HYPERLINK("http://www.twitter.com/NathanBLawrence/status/987228312144699392", "987228312144699392")</f>
        <v/>
      </c>
      <c r="B735" s="2" t="n">
        <v>43210.30261574074</v>
      </c>
      <c r="C735" t="n">
        <v>0</v>
      </c>
      <c r="D735" t="n">
        <v>1119</v>
      </c>
      <c r="E735" t="s">
        <v>741</v>
      </c>
      <c r="F735" t="s"/>
      <c r="G735" t="s"/>
      <c r="H735" t="s"/>
      <c r="I735" t="s"/>
      <c r="J735" t="n">
        <v>-0.862</v>
      </c>
      <c r="K735" t="n">
        <v>0.3</v>
      </c>
      <c r="L735" t="n">
        <v>0.7</v>
      </c>
      <c r="M735" t="n">
        <v>0</v>
      </c>
    </row>
    <row r="736" spans="1:13">
      <c r="A736" s="1">
        <f>HYPERLINK("http://www.twitter.com/NathanBLawrence/status/987225666423787520", "987225666423787520")</f>
        <v/>
      </c>
      <c r="B736" s="2" t="n">
        <v>43210.2953125</v>
      </c>
      <c r="C736" t="n">
        <v>0</v>
      </c>
      <c r="D736" t="n">
        <v>11</v>
      </c>
      <c r="E736" t="s">
        <v>742</v>
      </c>
      <c r="F736">
        <f>HYPERLINK("http://pbs.twimg.com/media/DbNO8RJW4AEXCcj.jpg", "http://pbs.twimg.com/media/DbNO8RJW4AEXCcj.jpg")</f>
        <v/>
      </c>
      <c r="G736" t="s"/>
      <c r="H736" t="s"/>
      <c r="I736" t="s"/>
      <c r="J736" t="n">
        <v>0.2382</v>
      </c>
      <c r="K736" t="n">
        <v>0</v>
      </c>
      <c r="L736" t="n">
        <v>0.907</v>
      </c>
      <c r="M736" t="n">
        <v>0.093</v>
      </c>
    </row>
    <row r="737" spans="1:13">
      <c r="A737" s="1">
        <f>HYPERLINK("http://www.twitter.com/NathanBLawrence/status/987223389151662080", "987223389151662080")</f>
        <v/>
      </c>
      <c r="B737" s="2" t="n">
        <v>43210.28902777778</v>
      </c>
      <c r="C737" t="n">
        <v>0</v>
      </c>
      <c r="D737" t="n">
        <v>25</v>
      </c>
      <c r="E737" t="s">
        <v>743</v>
      </c>
      <c r="F737">
        <f>HYPERLINK("http://pbs.twimg.com/media/DbEq08sX4AAfCiV.jpg", "http://pbs.twimg.com/media/DbEq08sX4AAfCiV.jpg")</f>
        <v/>
      </c>
      <c r="G737" t="s"/>
      <c r="H737" t="s"/>
      <c r="I737" t="s"/>
      <c r="J737" t="n">
        <v>0.4466</v>
      </c>
      <c r="K737" t="n">
        <v>0</v>
      </c>
      <c r="L737" t="n">
        <v>0.86</v>
      </c>
      <c r="M737" t="n">
        <v>0.14</v>
      </c>
    </row>
    <row r="738" spans="1:13">
      <c r="A738" s="1">
        <f>HYPERLINK("http://www.twitter.com/NathanBLawrence/status/987220014016139264", "987220014016139264")</f>
        <v/>
      </c>
      <c r="B738" s="2" t="n">
        <v>43210.27971064814</v>
      </c>
      <c r="C738" t="n">
        <v>0</v>
      </c>
      <c r="D738" t="n">
        <v>7</v>
      </c>
      <c r="E738" t="s">
        <v>744</v>
      </c>
      <c r="F738" t="s"/>
      <c r="G738" t="s"/>
      <c r="H738" t="s"/>
      <c r="I738" t="s"/>
      <c r="J738" t="n">
        <v>0.3612</v>
      </c>
      <c r="K738" t="n">
        <v>0</v>
      </c>
      <c r="L738" t="n">
        <v>0.902</v>
      </c>
      <c r="M738" t="n">
        <v>0.098</v>
      </c>
    </row>
    <row r="739" spans="1:13">
      <c r="A739" s="1">
        <f>HYPERLINK("http://www.twitter.com/NathanBLawrence/status/987217619836198913", "987217619836198913")</f>
        <v/>
      </c>
      <c r="B739" s="2" t="n">
        <v>43210.27310185185</v>
      </c>
      <c r="C739" t="n">
        <v>0</v>
      </c>
      <c r="D739" t="n">
        <v>33</v>
      </c>
      <c r="E739" t="s">
        <v>745</v>
      </c>
      <c r="F739" t="s"/>
      <c r="G739" t="s"/>
      <c r="H739" t="s"/>
      <c r="I739" t="s"/>
      <c r="J739" t="n">
        <v>0.7003</v>
      </c>
      <c r="K739" t="n">
        <v>0</v>
      </c>
      <c r="L739" t="n">
        <v>0.746</v>
      </c>
      <c r="M739" t="n">
        <v>0.254</v>
      </c>
    </row>
    <row r="740" spans="1:13">
      <c r="A740" s="1">
        <f>HYPERLINK("http://www.twitter.com/NathanBLawrence/status/987212307909480449", "987212307909480449")</f>
        <v/>
      </c>
      <c r="B740" s="2" t="n">
        <v>43210.25844907408</v>
      </c>
      <c r="C740" t="n">
        <v>0</v>
      </c>
      <c r="D740" t="n">
        <v>63</v>
      </c>
      <c r="E740" t="s">
        <v>746</v>
      </c>
      <c r="F740" t="s"/>
      <c r="G740" t="s"/>
      <c r="H740" t="s"/>
      <c r="I740" t="s"/>
      <c r="J740" t="n">
        <v>0.3802</v>
      </c>
      <c r="K740" t="n">
        <v>0</v>
      </c>
      <c r="L740" t="n">
        <v>0.834</v>
      </c>
      <c r="M740" t="n">
        <v>0.166</v>
      </c>
    </row>
    <row r="741" spans="1:13">
      <c r="A741" s="1">
        <f>HYPERLINK("http://www.twitter.com/NathanBLawrence/status/987211880497401856", "987211880497401856")</f>
        <v/>
      </c>
      <c r="B741" s="2" t="n">
        <v>43210.25726851852</v>
      </c>
      <c r="C741" t="n">
        <v>0</v>
      </c>
      <c r="D741" t="n">
        <v>21</v>
      </c>
      <c r="E741" t="s">
        <v>747</v>
      </c>
      <c r="F741" t="s"/>
      <c r="G741" t="s"/>
      <c r="H741" t="s"/>
      <c r="I741" t="s"/>
      <c r="J741" t="n">
        <v>0</v>
      </c>
      <c r="K741" t="n">
        <v>0</v>
      </c>
      <c r="L741" t="n">
        <v>1</v>
      </c>
      <c r="M741" t="n">
        <v>0</v>
      </c>
    </row>
    <row r="742" spans="1:13">
      <c r="A742" s="1">
        <f>HYPERLINK("http://www.twitter.com/NathanBLawrence/status/987210858345521152", "987210858345521152")</f>
        <v/>
      </c>
      <c r="B742" s="2" t="n">
        <v>43210.25444444444</v>
      </c>
      <c r="C742" t="n">
        <v>0</v>
      </c>
      <c r="D742" t="n">
        <v>2637</v>
      </c>
      <c r="E742" t="s">
        <v>748</v>
      </c>
      <c r="F742" t="s"/>
      <c r="G742" t="s"/>
      <c r="H742" t="s"/>
      <c r="I742" t="s"/>
      <c r="J742" t="n">
        <v>-0.5266999999999999</v>
      </c>
      <c r="K742" t="n">
        <v>0.145</v>
      </c>
      <c r="L742" t="n">
        <v>0.855</v>
      </c>
      <c r="M742" t="n">
        <v>0</v>
      </c>
    </row>
    <row r="743" spans="1:13">
      <c r="A743" s="1">
        <f>HYPERLINK("http://www.twitter.com/NathanBLawrence/status/987209551891099648", "987209551891099648")</f>
        <v/>
      </c>
      <c r="B743" s="2" t="n">
        <v>43210.25084490741</v>
      </c>
      <c r="C743" t="n">
        <v>0</v>
      </c>
      <c r="D743" t="n">
        <v>62</v>
      </c>
      <c r="E743" t="s">
        <v>749</v>
      </c>
      <c r="F743" t="s"/>
      <c r="G743" t="s"/>
      <c r="H743" t="s"/>
      <c r="I743" t="s"/>
      <c r="J743" t="n">
        <v>0</v>
      </c>
      <c r="K743" t="n">
        <v>0</v>
      </c>
      <c r="L743" t="n">
        <v>1</v>
      </c>
      <c r="M743" t="n">
        <v>0</v>
      </c>
    </row>
    <row r="744" spans="1:13">
      <c r="A744" s="1">
        <f>HYPERLINK("http://www.twitter.com/NathanBLawrence/status/987209295841374208", "987209295841374208")</f>
        <v/>
      </c>
      <c r="B744" s="2" t="n">
        <v>43210.25013888889</v>
      </c>
      <c r="C744" t="n">
        <v>0</v>
      </c>
      <c r="D744" t="n">
        <v>181</v>
      </c>
      <c r="E744" t="s">
        <v>750</v>
      </c>
      <c r="F744" t="s"/>
      <c r="G744" t="s"/>
      <c r="H744" t="s"/>
      <c r="I744" t="s"/>
      <c r="J744" t="n">
        <v>-0.4767</v>
      </c>
      <c r="K744" t="n">
        <v>0.162</v>
      </c>
      <c r="L744" t="n">
        <v>0.838</v>
      </c>
      <c r="M744" t="n">
        <v>0</v>
      </c>
    </row>
    <row r="745" spans="1:13">
      <c r="A745" s="1">
        <f>HYPERLINK("http://www.twitter.com/NathanBLawrence/status/987208737294299136", "987208737294299136")</f>
        <v/>
      </c>
      <c r="B745" s="2" t="n">
        <v>43210.24859953704</v>
      </c>
      <c r="C745" t="n">
        <v>0</v>
      </c>
      <c r="D745" t="n">
        <v>119</v>
      </c>
      <c r="E745" t="s">
        <v>751</v>
      </c>
      <c r="F745">
        <f>HYPERLINK("http://pbs.twimg.com/media/DbL2Fq9WkAAUe9s.jpg", "http://pbs.twimg.com/media/DbL2Fq9WkAAUe9s.jpg")</f>
        <v/>
      </c>
      <c r="G745" t="s"/>
      <c r="H745" t="s"/>
      <c r="I745" t="s"/>
      <c r="J745" t="n">
        <v>0</v>
      </c>
      <c r="K745" t="n">
        <v>0</v>
      </c>
      <c r="L745" t="n">
        <v>1</v>
      </c>
      <c r="M745" t="n">
        <v>0</v>
      </c>
    </row>
    <row r="746" spans="1:13">
      <c r="A746" s="1">
        <f>HYPERLINK("http://www.twitter.com/NathanBLawrence/status/987208464979189761", "987208464979189761")</f>
        <v/>
      </c>
      <c r="B746" s="2" t="n">
        <v>43210.24784722222</v>
      </c>
      <c r="C746" t="n">
        <v>0</v>
      </c>
      <c r="D746" t="n">
        <v>48</v>
      </c>
      <c r="E746" t="s">
        <v>752</v>
      </c>
      <c r="F746" t="s"/>
      <c r="G746" t="s"/>
      <c r="H746" t="s"/>
      <c r="I746" t="s"/>
      <c r="J746" t="n">
        <v>0.4215</v>
      </c>
      <c r="K746" t="n">
        <v>0</v>
      </c>
      <c r="L746" t="n">
        <v>0.8110000000000001</v>
      </c>
      <c r="M746" t="n">
        <v>0.189</v>
      </c>
    </row>
    <row r="747" spans="1:13">
      <c r="A747" s="1">
        <f>HYPERLINK("http://www.twitter.com/NathanBLawrence/status/987208265099632640", "987208265099632640")</f>
        <v/>
      </c>
      <c r="B747" s="2" t="n">
        <v>43210.24729166667</v>
      </c>
      <c r="C747" t="n">
        <v>0</v>
      </c>
      <c r="D747" t="n">
        <v>1439</v>
      </c>
      <c r="E747" t="s">
        <v>753</v>
      </c>
      <c r="F747">
        <f>HYPERLINK("http://pbs.twimg.com/media/DbLnl6KVMAACIEa.jpg", "http://pbs.twimg.com/media/DbLnl6KVMAACIEa.jpg")</f>
        <v/>
      </c>
      <c r="G747" t="s"/>
      <c r="H747" t="s"/>
      <c r="I747" t="s"/>
      <c r="J747" t="n">
        <v>0</v>
      </c>
      <c r="K747" t="n">
        <v>0</v>
      </c>
      <c r="L747" t="n">
        <v>1</v>
      </c>
      <c r="M747" t="n">
        <v>0</v>
      </c>
    </row>
    <row r="748" spans="1:13">
      <c r="A748" s="1">
        <f>HYPERLINK("http://www.twitter.com/NathanBLawrence/status/987198958157090816", "987198958157090816")</f>
        <v/>
      </c>
      <c r="B748" s="2" t="n">
        <v>43210.2216087963</v>
      </c>
      <c r="C748" t="n">
        <v>0</v>
      </c>
      <c r="D748" t="n">
        <v>6</v>
      </c>
      <c r="E748" t="s">
        <v>754</v>
      </c>
      <c r="F748" t="s"/>
      <c r="G748" t="s"/>
      <c r="H748" t="s"/>
      <c r="I748" t="s"/>
      <c r="J748" t="n">
        <v>0.6166</v>
      </c>
      <c r="K748" t="n">
        <v>0</v>
      </c>
      <c r="L748" t="n">
        <v>0.825</v>
      </c>
      <c r="M748" t="n">
        <v>0.175</v>
      </c>
    </row>
    <row r="749" spans="1:13">
      <c r="A749" s="1">
        <f>HYPERLINK("http://www.twitter.com/NathanBLawrence/status/987193666153467904", "987193666153467904")</f>
        <v/>
      </c>
      <c r="B749" s="2" t="n">
        <v>43210.20700231481</v>
      </c>
      <c r="C749" t="n">
        <v>0</v>
      </c>
      <c r="D749" t="n">
        <v>191</v>
      </c>
      <c r="E749" t="s">
        <v>755</v>
      </c>
      <c r="F749" t="s"/>
      <c r="G749" t="s"/>
      <c r="H749" t="s"/>
      <c r="I749" t="s"/>
      <c r="J749" t="n">
        <v>-0.8933</v>
      </c>
      <c r="K749" t="n">
        <v>0.471</v>
      </c>
      <c r="L749" t="n">
        <v>0.529</v>
      </c>
      <c r="M749" t="n">
        <v>0</v>
      </c>
    </row>
    <row r="750" spans="1:13">
      <c r="A750" s="1">
        <f>HYPERLINK("http://www.twitter.com/NathanBLawrence/status/987193411286552577", "987193411286552577")</f>
        <v/>
      </c>
      <c r="B750" s="2" t="n">
        <v>43210.20630787037</v>
      </c>
      <c r="C750" t="n">
        <v>0</v>
      </c>
      <c r="D750" t="n">
        <v>1</v>
      </c>
      <c r="E750" t="s">
        <v>756</v>
      </c>
      <c r="F750" t="s"/>
      <c r="G750" t="s"/>
      <c r="H750" t="s"/>
      <c r="I750" t="s"/>
      <c r="J750" t="n">
        <v>0</v>
      </c>
      <c r="K750" t="n">
        <v>0</v>
      </c>
      <c r="L750" t="n">
        <v>1</v>
      </c>
      <c r="M750" t="n">
        <v>0</v>
      </c>
    </row>
    <row r="751" spans="1:13">
      <c r="A751" s="1">
        <f>HYPERLINK("http://www.twitter.com/NathanBLawrence/status/987192914924179457", "987192914924179457")</f>
        <v/>
      </c>
      <c r="B751" s="2" t="n">
        <v>43210.20493055556</v>
      </c>
      <c r="C751" t="n">
        <v>0</v>
      </c>
      <c r="D751" t="n">
        <v>111</v>
      </c>
      <c r="E751" t="s">
        <v>757</v>
      </c>
      <c r="F751" t="s"/>
      <c r="G751" t="s"/>
      <c r="H751" t="s"/>
      <c r="I751" t="s"/>
      <c r="J751" t="n">
        <v>0.5266999999999999</v>
      </c>
      <c r="K751" t="n">
        <v>0</v>
      </c>
      <c r="L751" t="n">
        <v>0.871</v>
      </c>
      <c r="M751" t="n">
        <v>0.129</v>
      </c>
    </row>
    <row r="752" spans="1:13">
      <c r="A752" s="1">
        <f>HYPERLINK("http://www.twitter.com/NathanBLawrence/status/987180974256656384", "987180974256656384")</f>
        <v/>
      </c>
      <c r="B752" s="2" t="n">
        <v>43210.17197916667</v>
      </c>
      <c r="C752" t="n">
        <v>0</v>
      </c>
      <c r="D752" t="n">
        <v>2932</v>
      </c>
      <c r="E752" t="s">
        <v>758</v>
      </c>
      <c r="F752">
        <f>HYPERLINK("http://pbs.twimg.com/media/DbK7vJ-VMAAs9te.jpg", "http://pbs.twimg.com/media/DbK7vJ-VMAAs9te.jpg")</f>
        <v/>
      </c>
      <c r="G752" t="s"/>
      <c r="H752" t="s"/>
      <c r="I752" t="s"/>
      <c r="J752" t="n">
        <v>0.2023</v>
      </c>
      <c r="K752" t="n">
        <v>0</v>
      </c>
      <c r="L752" t="n">
        <v>0.917</v>
      </c>
      <c r="M752" t="n">
        <v>0.083</v>
      </c>
    </row>
    <row r="753" spans="1:13">
      <c r="A753" s="1">
        <f>HYPERLINK("http://www.twitter.com/NathanBLawrence/status/987171820699824129", "987171820699824129")</f>
        <v/>
      </c>
      <c r="B753" s="2" t="n">
        <v>43210.14672453704</v>
      </c>
      <c r="C753" t="n">
        <v>0</v>
      </c>
      <c r="D753" t="n">
        <v>59</v>
      </c>
      <c r="E753" t="s">
        <v>759</v>
      </c>
      <c r="F753" t="s"/>
      <c r="G753" t="s"/>
      <c r="H753" t="s"/>
      <c r="I753" t="s"/>
      <c r="J753" t="n">
        <v>0.3612</v>
      </c>
      <c r="K753" t="n">
        <v>0.101</v>
      </c>
      <c r="L753" t="n">
        <v>0.739</v>
      </c>
      <c r="M753" t="n">
        <v>0.16</v>
      </c>
    </row>
    <row r="754" spans="1:13">
      <c r="A754" s="1">
        <f>HYPERLINK("http://www.twitter.com/NathanBLawrence/status/987171513404215296", "987171513404215296")</f>
        <v/>
      </c>
      <c r="B754" s="2" t="n">
        <v>43210.14587962963</v>
      </c>
      <c r="C754" t="n">
        <v>0</v>
      </c>
      <c r="D754" t="n">
        <v>68</v>
      </c>
      <c r="E754" t="s">
        <v>760</v>
      </c>
      <c r="F754" t="s"/>
      <c r="G754" t="s"/>
      <c r="H754" t="s"/>
      <c r="I754" t="s"/>
      <c r="J754" t="n">
        <v>0.5719</v>
      </c>
      <c r="K754" t="n">
        <v>0</v>
      </c>
      <c r="L754" t="n">
        <v>0.829</v>
      </c>
      <c r="M754" t="n">
        <v>0.171</v>
      </c>
    </row>
    <row r="755" spans="1:13">
      <c r="A755" s="1">
        <f>HYPERLINK("http://www.twitter.com/NathanBLawrence/status/987166965851619328", "987166965851619328")</f>
        <v/>
      </c>
      <c r="B755" s="2" t="n">
        <v>43210.13332175926</v>
      </c>
      <c r="C755" t="n">
        <v>35</v>
      </c>
      <c r="D755" t="n">
        <v>30</v>
      </c>
      <c r="E755" t="s">
        <v>761</v>
      </c>
      <c r="F755" t="s"/>
      <c r="G755" t="s"/>
      <c r="H755" t="s"/>
      <c r="I755" t="s"/>
      <c r="J755" t="n">
        <v>-0.4574</v>
      </c>
      <c r="K755" t="n">
        <v>0.109</v>
      </c>
      <c r="L755" t="n">
        <v>0.84</v>
      </c>
      <c r="M755" t="n">
        <v>0.052</v>
      </c>
    </row>
    <row r="756" spans="1:13">
      <c r="A756" s="1">
        <f>HYPERLINK("http://www.twitter.com/NathanBLawrence/status/987158918815256578", "987158918815256578")</f>
        <v/>
      </c>
      <c r="B756" s="2" t="n">
        <v>43210.11112268519</v>
      </c>
      <c r="C756" t="n">
        <v>1</v>
      </c>
      <c r="D756" t="n">
        <v>0</v>
      </c>
      <c r="E756" t="s">
        <v>762</v>
      </c>
      <c r="F756" t="s"/>
      <c r="G756" t="s"/>
      <c r="H756" t="s"/>
      <c r="I756" t="s"/>
      <c r="J756" t="n">
        <v>-0.508</v>
      </c>
      <c r="K756" t="n">
        <v>0.116</v>
      </c>
      <c r="L756" t="n">
        <v>0.832</v>
      </c>
      <c r="M756" t="n">
        <v>0.052</v>
      </c>
    </row>
    <row r="757" spans="1:13">
      <c r="A757" s="1">
        <f>HYPERLINK("http://www.twitter.com/NathanBLawrence/status/987152364254695424", "987152364254695424")</f>
        <v/>
      </c>
      <c r="B757" s="2" t="n">
        <v>43210.09303240741</v>
      </c>
      <c r="C757" t="n">
        <v>0</v>
      </c>
      <c r="D757" t="n">
        <v>2</v>
      </c>
      <c r="E757" t="s">
        <v>763</v>
      </c>
      <c r="F757" t="s"/>
      <c r="G757" t="s"/>
      <c r="H757" t="s"/>
      <c r="I757" t="s"/>
      <c r="J757" t="n">
        <v>-0.6705</v>
      </c>
      <c r="K757" t="n">
        <v>0.234</v>
      </c>
      <c r="L757" t="n">
        <v>0.766</v>
      </c>
      <c r="M757" t="n">
        <v>0</v>
      </c>
    </row>
    <row r="758" spans="1:13">
      <c r="A758" s="1">
        <f>HYPERLINK("http://www.twitter.com/NathanBLawrence/status/987152286513225729", "987152286513225729")</f>
        <v/>
      </c>
      <c r="B758" s="2" t="n">
        <v>43210.09282407408</v>
      </c>
      <c r="C758" t="n">
        <v>0</v>
      </c>
      <c r="D758" t="n">
        <v>6</v>
      </c>
      <c r="E758" t="s">
        <v>764</v>
      </c>
      <c r="F758" t="s"/>
      <c r="G758" t="s"/>
      <c r="H758" t="s"/>
      <c r="I758" t="s"/>
      <c r="J758" t="n">
        <v>-0.7178</v>
      </c>
      <c r="K758" t="n">
        <v>0.231</v>
      </c>
      <c r="L758" t="n">
        <v>0.769</v>
      </c>
      <c r="M758" t="n">
        <v>0</v>
      </c>
    </row>
    <row r="759" spans="1:13">
      <c r="A759" s="1">
        <f>HYPERLINK("http://www.twitter.com/NathanBLawrence/status/987138750982578176", "987138750982578176")</f>
        <v/>
      </c>
      <c r="B759" s="2" t="n">
        <v>43210.05547453704</v>
      </c>
      <c r="C759" t="n">
        <v>0</v>
      </c>
      <c r="D759" t="n">
        <v>10</v>
      </c>
      <c r="E759" t="s">
        <v>765</v>
      </c>
      <c r="F759">
        <f>HYPERLINK("http://pbs.twimg.com/media/DbLlNliW4AEvU92.jpg", "http://pbs.twimg.com/media/DbLlNliW4AEvU92.jpg")</f>
        <v/>
      </c>
      <c r="G759">
        <f>HYPERLINK("http://pbs.twimg.com/media/DbLlOFkXkAAv0Aq.jpg", "http://pbs.twimg.com/media/DbLlOFkXkAAv0Aq.jpg")</f>
        <v/>
      </c>
      <c r="H759">
        <f>HYPERLINK("http://pbs.twimg.com/media/DbLlO2MX0AASxRX.jpg", "http://pbs.twimg.com/media/DbLlO2MX0AASxRX.jpg")</f>
        <v/>
      </c>
      <c r="I759">
        <f>HYPERLINK("http://pbs.twimg.com/media/DbLlPhaXUAEZJTw.jpg", "http://pbs.twimg.com/media/DbLlPhaXUAEZJTw.jpg")</f>
        <v/>
      </c>
      <c r="J759" t="n">
        <v>-0.5266999999999999</v>
      </c>
      <c r="K759" t="n">
        <v>0.227</v>
      </c>
      <c r="L759" t="n">
        <v>0.773</v>
      </c>
      <c r="M759" t="n">
        <v>0</v>
      </c>
    </row>
    <row r="760" spans="1:13">
      <c r="A760" s="1">
        <f>HYPERLINK("http://www.twitter.com/NathanBLawrence/status/987138368965414914", "987138368965414914")</f>
        <v/>
      </c>
      <c r="B760" s="2" t="n">
        <v>43210.05440972222</v>
      </c>
      <c r="C760" t="n">
        <v>0</v>
      </c>
      <c r="D760" t="n">
        <v>5</v>
      </c>
      <c r="E760" t="s">
        <v>766</v>
      </c>
      <c r="F760">
        <f>HYPERLINK("http://pbs.twimg.com/media/DbL9znLXcAAhrdG.jpg", "http://pbs.twimg.com/media/DbL9znLXcAAhrdG.jpg")</f>
        <v/>
      </c>
      <c r="G760" t="s"/>
      <c r="H760" t="s"/>
      <c r="I760" t="s"/>
      <c r="J760" t="n">
        <v>-0.5848</v>
      </c>
      <c r="K760" t="n">
        <v>0.153</v>
      </c>
      <c r="L760" t="n">
        <v>0.847</v>
      </c>
      <c r="M760" t="n">
        <v>0</v>
      </c>
    </row>
    <row r="761" spans="1:13">
      <c r="A761" s="1">
        <f>HYPERLINK("http://www.twitter.com/NathanBLawrence/status/987138177101193216", "987138177101193216")</f>
        <v/>
      </c>
      <c r="B761" s="2" t="n">
        <v>43210.05388888889</v>
      </c>
      <c r="C761" t="n">
        <v>0</v>
      </c>
      <c r="D761" t="n">
        <v>9</v>
      </c>
      <c r="E761" t="s">
        <v>767</v>
      </c>
      <c r="F761">
        <f>HYPERLINK("http://pbs.twimg.com/media/DbLuajgXcAEAOOF.jpg", "http://pbs.twimg.com/media/DbLuajgXcAEAOOF.jpg")</f>
        <v/>
      </c>
      <c r="G761" t="s"/>
      <c r="H761" t="s"/>
      <c r="I761" t="s"/>
      <c r="J761" t="n">
        <v>0.3506</v>
      </c>
      <c r="K761" t="n">
        <v>0.07199999999999999</v>
      </c>
      <c r="L761" t="n">
        <v>0.742</v>
      </c>
      <c r="M761" t="n">
        <v>0.186</v>
      </c>
    </row>
    <row r="762" spans="1:13">
      <c r="A762" s="1">
        <f>HYPERLINK("http://www.twitter.com/NathanBLawrence/status/987137801559867392", "987137801559867392")</f>
        <v/>
      </c>
      <c r="B762" s="2" t="n">
        <v>43210.05284722222</v>
      </c>
      <c r="C762" t="n">
        <v>0</v>
      </c>
      <c r="D762" t="n">
        <v>12</v>
      </c>
      <c r="E762" t="s">
        <v>768</v>
      </c>
      <c r="F762">
        <f>HYPERLINK("http://pbs.twimg.com/media/DbMCIh_UMAE8Xl4.jpg", "http://pbs.twimg.com/media/DbMCIh_UMAE8Xl4.jpg")</f>
        <v/>
      </c>
      <c r="G762" t="s"/>
      <c r="H762" t="s"/>
      <c r="I762" t="s"/>
      <c r="J762" t="n">
        <v>0.4391</v>
      </c>
      <c r="K762" t="n">
        <v>0</v>
      </c>
      <c r="L762" t="n">
        <v>0.888</v>
      </c>
      <c r="M762" t="n">
        <v>0.112</v>
      </c>
    </row>
    <row r="763" spans="1:13">
      <c r="A763" s="1">
        <f>HYPERLINK("http://www.twitter.com/NathanBLawrence/status/987136169979805696", "987136169979805696")</f>
        <v/>
      </c>
      <c r="B763" s="2" t="n">
        <v>43210.04834490741</v>
      </c>
      <c r="C763" t="n">
        <v>0</v>
      </c>
      <c r="D763" t="n">
        <v>6</v>
      </c>
      <c r="E763" t="s">
        <v>769</v>
      </c>
      <c r="F763" t="s"/>
      <c r="G763" t="s"/>
      <c r="H763" t="s"/>
      <c r="I763" t="s"/>
      <c r="J763" t="n">
        <v>0.5983000000000001</v>
      </c>
      <c r="K763" t="n">
        <v>0</v>
      </c>
      <c r="L763" t="n">
        <v>0.844</v>
      </c>
      <c r="M763" t="n">
        <v>0.156</v>
      </c>
    </row>
    <row r="764" spans="1:13">
      <c r="A764" s="1">
        <f>HYPERLINK("http://www.twitter.com/NathanBLawrence/status/987133809446531072", "987133809446531072")</f>
        <v/>
      </c>
      <c r="B764" s="2" t="n">
        <v>43210.0418287037</v>
      </c>
      <c r="C764" t="n">
        <v>16</v>
      </c>
      <c r="D764" t="n">
        <v>9</v>
      </c>
      <c r="E764" t="s">
        <v>770</v>
      </c>
      <c r="F764">
        <f>HYPERLINK("http://pbs.twimg.com/media/DbMA62sWsAAoO-a.jpg", "http://pbs.twimg.com/media/DbMA62sWsAAoO-a.jpg")</f>
        <v/>
      </c>
      <c r="G764" t="s"/>
      <c r="H764" t="s"/>
      <c r="I764" t="s"/>
      <c r="J764" t="n">
        <v>0.9097</v>
      </c>
      <c r="K764" t="n">
        <v>0</v>
      </c>
      <c r="L764" t="n">
        <v>0.781</v>
      </c>
      <c r="M764" t="n">
        <v>0.219</v>
      </c>
    </row>
    <row r="765" spans="1:13">
      <c r="A765" s="1">
        <f>HYPERLINK("http://www.twitter.com/NathanBLawrence/status/987127557853274114", "987127557853274114")</f>
        <v/>
      </c>
      <c r="B765" s="2" t="n">
        <v>43210.02458333333</v>
      </c>
      <c r="C765" t="n">
        <v>0</v>
      </c>
      <c r="D765" t="n">
        <v>53</v>
      </c>
      <c r="E765" t="s">
        <v>771</v>
      </c>
      <c r="F765" t="s"/>
      <c r="G765" t="s"/>
      <c r="H765" t="s"/>
      <c r="I765" t="s"/>
      <c r="J765" t="n">
        <v>-0.128</v>
      </c>
      <c r="K765" t="n">
        <v>0.158</v>
      </c>
      <c r="L765" t="n">
        <v>0.719</v>
      </c>
      <c r="M765" t="n">
        <v>0.122</v>
      </c>
    </row>
    <row r="766" spans="1:13">
      <c r="A766" s="1">
        <f>HYPERLINK("http://www.twitter.com/NathanBLawrence/status/987127543047376902", "987127543047376902")</f>
        <v/>
      </c>
      <c r="B766" s="2" t="n">
        <v>43210.02453703704</v>
      </c>
      <c r="C766" t="n">
        <v>0</v>
      </c>
      <c r="D766" t="n">
        <v>6</v>
      </c>
      <c r="E766" t="s">
        <v>772</v>
      </c>
      <c r="F766">
        <f>HYPERLINK("http://pbs.twimg.com/media/DbL665ZXcAEWmTZ.jpg", "http://pbs.twimg.com/media/DbL665ZXcAEWmTZ.jpg")</f>
        <v/>
      </c>
      <c r="G766" t="s"/>
      <c r="H766" t="s"/>
      <c r="I766" t="s"/>
      <c r="J766" t="n">
        <v>0.6166</v>
      </c>
      <c r="K766" t="n">
        <v>0</v>
      </c>
      <c r="L766" t="n">
        <v>0.788</v>
      </c>
      <c r="M766" t="n">
        <v>0.212</v>
      </c>
    </row>
    <row r="767" spans="1:13">
      <c r="A767" s="1">
        <f>HYPERLINK("http://www.twitter.com/NathanBLawrence/status/987127210199920640", "987127210199920640")</f>
        <v/>
      </c>
      <c r="B767" s="2" t="n">
        <v>43210.02362268518</v>
      </c>
      <c r="C767" t="n">
        <v>14</v>
      </c>
      <c r="D767" t="n">
        <v>6</v>
      </c>
      <c r="E767" t="s">
        <v>773</v>
      </c>
      <c r="F767">
        <f>HYPERLINK("http://pbs.twimg.com/media/DbL665ZXcAEWmTZ.jpg", "http://pbs.twimg.com/media/DbL665ZXcAEWmTZ.jpg")</f>
        <v/>
      </c>
      <c r="G767" t="s"/>
      <c r="H767" t="s"/>
      <c r="I767" t="s"/>
      <c r="J767" t="n">
        <v>0.9097</v>
      </c>
      <c r="K767" t="n">
        <v>0</v>
      </c>
      <c r="L767" t="n">
        <v>0.785</v>
      </c>
      <c r="M767" t="n">
        <v>0.215</v>
      </c>
    </row>
    <row r="768" spans="1:13">
      <c r="A768" s="1">
        <f>HYPERLINK("http://www.twitter.com/NathanBLawrence/status/987098432740392965", "987098432740392965")</f>
        <v/>
      </c>
      <c r="B768" s="2" t="n">
        <v>43209.94421296296</v>
      </c>
      <c r="C768" t="n">
        <v>0</v>
      </c>
      <c r="D768" t="n">
        <v>65</v>
      </c>
      <c r="E768" t="s">
        <v>774</v>
      </c>
      <c r="F768" t="s"/>
      <c r="G768" t="s"/>
      <c r="H768" t="s"/>
      <c r="I768" t="s"/>
      <c r="J768" t="n">
        <v>-0.2057</v>
      </c>
      <c r="K768" t="n">
        <v>0.07000000000000001</v>
      </c>
      <c r="L768" t="n">
        <v>0.93</v>
      </c>
      <c r="M768" t="n">
        <v>0</v>
      </c>
    </row>
    <row r="769" spans="1:13">
      <c r="A769" s="1">
        <f>HYPERLINK("http://www.twitter.com/NathanBLawrence/status/987097391827505153", "987097391827505153")</f>
        <v/>
      </c>
      <c r="B769" s="2" t="n">
        <v>43209.9413425926</v>
      </c>
      <c r="C769" t="n">
        <v>0</v>
      </c>
      <c r="D769" t="n">
        <v>4524</v>
      </c>
      <c r="E769" t="s">
        <v>775</v>
      </c>
      <c r="F769" t="s"/>
      <c r="G769" t="s"/>
      <c r="H769" t="s"/>
      <c r="I769" t="s"/>
      <c r="J769" t="n">
        <v>-0.4767</v>
      </c>
      <c r="K769" t="n">
        <v>0.454</v>
      </c>
      <c r="L769" t="n">
        <v>0.309</v>
      </c>
      <c r="M769" t="n">
        <v>0.237</v>
      </c>
    </row>
    <row r="770" spans="1:13">
      <c r="A770" s="1">
        <f>HYPERLINK("http://www.twitter.com/NathanBLawrence/status/987069516353036288", "987069516353036288")</f>
        <v/>
      </c>
      <c r="B770" s="2" t="n">
        <v>43209.8644212963</v>
      </c>
      <c r="C770" t="n">
        <v>0</v>
      </c>
      <c r="D770" t="n">
        <v>11</v>
      </c>
      <c r="E770" t="s">
        <v>776</v>
      </c>
      <c r="F770" t="s"/>
      <c r="G770" t="s"/>
      <c r="H770" t="s"/>
      <c r="I770" t="s"/>
      <c r="J770" t="n">
        <v>0.0772</v>
      </c>
      <c r="K770" t="n">
        <v>0.1</v>
      </c>
      <c r="L770" t="n">
        <v>0.788</v>
      </c>
      <c r="M770" t="n">
        <v>0.112</v>
      </c>
    </row>
    <row r="771" spans="1:13">
      <c r="A771" s="1">
        <f>HYPERLINK("http://www.twitter.com/NathanBLawrence/status/987060461781880833", "987060461781880833")</f>
        <v/>
      </c>
      <c r="B771" s="2" t="n">
        <v>43209.83943287037</v>
      </c>
      <c r="C771" t="n">
        <v>0</v>
      </c>
      <c r="D771" t="n">
        <v>3</v>
      </c>
      <c r="E771" t="s">
        <v>777</v>
      </c>
      <c r="F771" t="s"/>
      <c r="G771" t="s"/>
      <c r="H771" t="s"/>
      <c r="I771" t="s"/>
      <c r="J771" t="n">
        <v>0</v>
      </c>
      <c r="K771" t="n">
        <v>0</v>
      </c>
      <c r="L771" t="n">
        <v>1</v>
      </c>
      <c r="M771" t="n">
        <v>0</v>
      </c>
    </row>
    <row r="772" spans="1:13">
      <c r="A772" s="1">
        <f>HYPERLINK("http://www.twitter.com/NathanBLawrence/status/987060409583710208", "987060409583710208")</f>
        <v/>
      </c>
      <c r="B772" s="2" t="n">
        <v>43209.83928240741</v>
      </c>
      <c r="C772" t="n">
        <v>0</v>
      </c>
      <c r="D772" t="n">
        <v>15</v>
      </c>
      <c r="E772" t="s">
        <v>778</v>
      </c>
      <c r="F772" t="s"/>
      <c r="G772" t="s"/>
      <c r="H772" t="s"/>
      <c r="I772" t="s"/>
      <c r="J772" t="n">
        <v>0.875</v>
      </c>
      <c r="K772" t="n">
        <v>0</v>
      </c>
      <c r="L772" t="n">
        <v>0.655</v>
      </c>
      <c r="M772" t="n">
        <v>0.345</v>
      </c>
    </row>
    <row r="773" spans="1:13">
      <c r="A773" s="1">
        <f>HYPERLINK("http://www.twitter.com/NathanBLawrence/status/987059942300569600", "987059942300569600")</f>
        <v/>
      </c>
      <c r="B773" s="2" t="n">
        <v>43209.83799768519</v>
      </c>
      <c r="C773" t="n">
        <v>0</v>
      </c>
      <c r="D773" t="n">
        <v>8</v>
      </c>
      <c r="E773" t="s">
        <v>779</v>
      </c>
      <c r="F773" t="s"/>
      <c r="G773" t="s"/>
      <c r="H773" t="s"/>
      <c r="I773" t="s"/>
      <c r="J773" t="n">
        <v>-0.2887</v>
      </c>
      <c r="K773" t="n">
        <v>0.126</v>
      </c>
      <c r="L773" t="n">
        <v>0.79</v>
      </c>
      <c r="M773" t="n">
        <v>0.08400000000000001</v>
      </c>
    </row>
    <row r="774" spans="1:13">
      <c r="A774" s="1">
        <f>HYPERLINK("http://www.twitter.com/NathanBLawrence/status/987043403337732097", "987043403337732097")</f>
        <v/>
      </c>
      <c r="B774" s="2" t="n">
        <v>43209.79236111111</v>
      </c>
      <c r="C774" t="n">
        <v>0</v>
      </c>
      <c r="D774" t="n">
        <v>35</v>
      </c>
      <c r="E774" t="s">
        <v>780</v>
      </c>
      <c r="F774">
        <f>HYPERLINK("http://pbs.twimg.com/media/DayuTdGVwAEuMrF.jpg", "http://pbs.twimg.com/media/DayuTdGVwAEuMrF.jpg")</f>
        <v/>
      </c>
      <c r="G774" t="s"/>
      <c r="H774" t="s"/>
      <c r="I774" t="s"/>
      <c r="J774" t="n">
        <v>-0.9006</v>
      </c>
      <c r="K774" t="n">
        <v>0.393</v>
      </c>
      <c r="L774" t="n">
        <v>0.607</v>
      </c>
      <c r="M774" t="n">
        <v>0</v>
      </c>
    </row>
    <row r="775" spans="1:13">
      <c r="A775" s="1">
        <f>HYPERLINK("http://www.twitter.com/NathanBLawrence/status/987043127189008386", "987043127189008386")</f>
        <v/>
      </c>
      <c r="B775" s="2" t="n">
        <v>43209.79159722223</v>
      </c>
      <c r="C775" t="n">
        <v>0</v>
      </c>
      <c r="D775" t="n">
        <v>11</v>
      </c>
      <c r="E775" t="s">
        <v>765</v>
      </c>
      <c r="F775">
        <f>HYPERLINK("http://pbs.twimg.com/media/DbHt_nkWkAAanAo.jpg", "http://pbs.twimg.com/media/DbHt_nkWkAAanAo.jpg")</f>
        <v/>
      </c>
      <c r="G775">
        <f>HYPERLINK("http://pbs.twimg.com/media/DbHuANrXUAEPS-Y.jpg", "http://pbs.twimg.com/media/DbHuANrXUAEPS-Y.jpg")</f>
        <v/>
      </c>
      <c r="H775">
        <f>HYPERLINK("http://pbs.twimg.com/media/DbHuA42XcAAb4hf.jpg", "http://pbs.twimg.com/media/DbHuA42XcAAb4hf.jpg")</f>
        <v/>
      </c>
      <c r="I775">
        <f>HYPERLINK("http://pbs.twimg.com/media/DbHuBe7WkAESvgr.jpg", "http://pbs.twimg.com/media/DbHuBe7WkAESvgr.jpg")</f>
        <v/>
      </c>
      <c r="J775" t="n">
        <v>-0.5266999999999999</v>
      </c>
      <c r="K775" t="n">
        <v>0.227</v>
      </c>
      <c r="L775" t="n">
        <v>0.773</v>
      </c>
      <c r="M775" t="n">
        <v>0</v>
      </c>
    </row>
    <row r="776" spans="1:13">
      <c r="A776" s="1">
        <f>HYPERLINK("http://www.twitter.com/NathanBLawrence/status/987026933216145408", "987026933216145408")</f>
        <v/>
      </c>
      <c r="B776" s="2" t="n">
        <v>43209.74690972222</v>
      </c>
      <c r="C776" t="n">
        <v>0</v>
      </c>
      <c r="D776" t="n">
        <v>2</v>
      </c>
      <c r="E776" t="s">
        <v>781</v>
      </c>
      <c r="F776" t="s"/>
      <c r="G776" t="s"/>
      <c r="H776" t="s"/>
      <c r="I776" t="s"/>
      <c r="J776" t="n">
        <v>0.2023</v>
      </c>
      <c r="K776" t="n">
        <v>0</v>
      </c>
      <c r="L776" t="n">
        <v>0.904</v>
      </c>
      <c r="M776" t="n">
        <v>0.096</v>
      </c>
    </row>
    <row r="777" spans="1:13">
      <c r="A777" s="1">
        <f>HYPERLINK("http://www.twitter.com/NathanBLawrence/status/987026619717046272", "987026619717046272")</f>
        <v/>
      </c>
      <c r="B777" s="2" t="n">
        <v>43209.74604166667</v>
      </c>
      <c r="C777" t="n">
        <v>0</v>
      </c>
      <c r="D777" t="n">
        <v>14600</v>
      </c>
      <c r="E777" t="s">
        <v>782</v>
      </c>
      <c r="F777">
        <f>HYPERLINK("https://video.twimg.com/ext_tw_video/986799661355819009/pu/vid/1280x720/5FcPJl4jAEVkDKno.mp4?tag=3", "https://video.twimg.com/ext_tw_video/986799661355819009/pu/vid/1280x720/5FcPJl4jAEVkDKno.mp4?tag=3")</f>
        <v/>
      </c>
      <c r="G777" t="s"/>
      <c r="H777" t="s"/>
      <c r="I777" t="s"/>
      <c r="J777" t="n">
        <v>0.8885</v>
      </c>
      <c r="K777" t="n">
        <v>0</v>
      </c>
      <c r="L777" t="n">
        <v>0.667</v>
      </c>
      <c r="M777" t="n">
        <v>0.333</v>
      </c>
    </row>
    <row r="778" spans="1:13">
      <c r="A778" s="1">
        <f>HYPERLINK("http://www.twitter.com/NathanBLawrence/status/987026146347896832", "987026146347896832")</f>
        <v/>
      </c>
      <c r="B778" s="2" t="n">
        <v>43209.74474537037</v>
      </c>
      <c r="C778" t="n">
        <v>0</v>
      </c>
      <c r="D778" t="n">
        <v>1478</v>
      </c>
      <c r="E778" t="s">
        <v>783</v>
      </c>
      <c r="F778" t="s"/>
      <c r="G778" t="s"/>
      <c r="H778" t="s"/>
      <c r="I778" t="s"/>
      <c r="J778" t="n">
        <v>0.6369</v>
      </c>
      <c r="K778" t="n">
        <v>0</v>
      </c>
      <c r="L778" t="n">
        <v>0.84</v>
      </c>
      <c r="M778" t="n">
        <v>0.16</v>
      </c>
    </row>
    <row r="779" spans="1:13">
      <c r="A779" s="1">
        <f>HYPERLINK("http://www.twitter.com/NathanBLawrence/status/987025729186648067", "987025729186648067")</f>
        <v/>
      </c>
      <c r="B779" s="2" t="n">
        <v>43209.74358796296</v>
      </c>
      <c r="C779" t="n">
        <v>0</v>
      </c>
      <c r="D779" t="n">
        <v>6</v>
      </c>
      <c r="E779" t="s">
        <v>784</v>
      </c>
      <c r="F779" t="s"/>
      <c r="G779" t="s"/>
      <c r="H779" t="s"/>
      <c r="I779" t="s"/>
      <c r="J779" t="n">
        <v>-0.2732</v>
      </c>
      <c r="K779" t="n">
        <v>0.195</v>
      </c>
      <c r="L779" t="n">
        <v>0.6860000000000001</v>
      </c>
      <c r="M779" t="n">
        <v>0.119</v>
      </c>
    </row>
    <row r="780" spans="1:13">
      <c r="A780" s="1">
        <f>HYPERLINK("http://www.twitter.com/NathanBLawrence/status/987025549561344002", "987025549561344002")</f>
        <v/>
      </c>
      <c r="B780" s="2" t="n">
        <v>43209.74309027778</v>
      </c>
      <c r="C780" t="n">
        <v>0</v>
      </c>
      <c r="D780" t="n">
        <v>4941</v>
      </c>
      <c r="E780" t="s">
        <v>785</v>
      </c>
      <c r="F780">
        <f>HYPERLINK("https://video.twimg.com/amplify_video/854331782203719680/vid/720x720/P3hNjoKJaFa8jyBO.mp4", "https://video.twimg.com/amplify_video/854331782203719680/vid/720x720/P3hNjoKJaFa8jyBO.mp4")</f>
        <v/>
      </c>
      <c r="G780" t="s"/>
      <c r="H780" t="s"/>
      <c r="I780" t="s"/>
      <c r="J780" t="n">
        <v>0</v>
      </c>
      <c r="K780" t="n">
        <v>0</v>
      </c>
      <c r="L780" t="n">
        <v>1</v>
      </c>
      <c r="M780" t="n">
        <v>0</v>
      </c>
    </row>
    <row r="781" spans="1:13">
      <c r="A781" s="1">
        <f>HYPERLINK("http://www.twitter.com/NathanBLawrence/status/987025441688117250", "987025441688117250")</f>
        <v/>
      </c>
      <c r="B781" s="2" t="n">
        <v>43209.74280092592</v>
      </c>
      <c r="C781" t="n">
        <v>0</v>
      </c>
      <c r="D781" t="n">
        <v>565</v>
      </c>
      <c r="E781" t="s">
        <v>786</v>
      </c>
      <c r="F781" t="s"/>
      <c r="G781" t="s"/>
      <c r="H781" t="s"/>
      <c r="I781" t="s"/>
      <c r="J781" t="n">
        <v>0.2001</v>
      </c>
      <c r="K781" t="n">
        <v>0</v>
      </c>
      <c r="L781" t="n">
        <v>0.883</v>
      </c>
      <c r="M781" t="n">
        <v>0.117</v>
      </c>
    </row>
    <row r="782" spans="1:13">
      <c r="A782" s="1">
        <f>HYPERLINK("http://www.twitter.com/NathanBLawrence/status/987025397618487301", "987025397618487301")</f>
        <v/>
      </c>
      <c r="B782" s="2" t="n">
        <v>43209.74267361111</v>
      </c>
      <c r="C782" t="n">
        <v>0</v>
      </c>
      <c r="D782" t="n">
        <v>518</v>
      </c>
      <c r="E782" t="s">
        <v>787</v>
      </c>
      <c r="F782">
        <f>HYPERLINK("http://pbs.twimg.com/media/DanKGFIVQAAiYde.jpg", "http://pbs.twimg.com/media/DanKGFIVQAAiYde.jpg")</f>
        <v/>
      </c>
      <c r="G782" t="s"/>
      <c r="H782" t="s"/>
      <c r="I782" t="s"/>
      <c r="J782" t="n">
        <v>-0.4019</v>
      </c>
      <c r="K782" t="n">
        <v>0.163</v>
      </c>
      <c r="L782" t="n">
        <v>0.837</v>
      </c>
      <c r="M782" t="n">
        <v>0</v>
      </c>
    </row>
    <row r="783" spans="1:13">
      <c r="A783" s="1">
        <f>HYPERLINK("http://www.twitter.com/NathanBLawrence/status/987017343065907200", "987017343065907200")</f>
        <v/>
      </c>
      <c r="B783" s="2" t="n">
        <v>43209.72045138889</v>
      </c>
      <c r="C783" t="n">
        <v>0</v>
      </c>
      <c r="D783" t="n">
        <v>18</v>
      </c>
      <c r="E783" t="s">
        <v>788</v>
      </c>
      <c r="F783" t="s"/>
      <c r="G783" t="s"/>
      <c r="H783" t="s"/>
      <c r="I783" t="s"/>
      <c r="J783" t="n">
        <v>0</v>
      </c>
      <c r="K783" t="n">
        <v>0</v>
      </c>
      <c r="L783" t="n">
        <v>1</v>
      </c>
      <c r="M783" t="n">
        <v>0</v>
      </c>
    </row>
    <row r="784" spans="1:13">
      <c r="A784" s="1">
        <f>HYPERLINK("http://www.twitter.com/NathanBLawrence/status/987017194776252416", "987017194776252416")</f>
        <v/>
      </c>
      <c r="B784" s="2" t="n">
        <v>43209.72003472222</v>
      </c>
      <c r="C784" t="n">
        <v>0</v>
      </c>
      <c r="D784" t="n">
        <v>11</v>
      </c>
      <c r="E784" t="s">
        <v>789</v>
      </c>
      <c r="F784">
        <f>HYPERLINK("http://pbs.twimg.com/media/DbHCbK4X0AAHwhf.jpg", "http://pbs.twimg.com/media/DbHCbK4X0AAHwhf.jpg")</f>
        <v/>
      </c>
      <c r="G784" t="s"/>
      <c r="H784" t="s"/>
      <c r="I784" t="s"/>
      <c r="J784" t="n">
        <v>0.7739</v>
      </c>
      <c r="K784" t="n">
        <v>0</v>
      </c>
      <c r="L784" t="n">
        <v>0.728</v>
      </c>
      <c r="M784" t="n">
        <v>0.272</v>
      </c>
    </row>
    <row r="785" spans="1:13">
      <c r="A785" s="1">
        <f>HYPERLINK("http://www.twitter.com/NathanBLawrence/status/987016883617615872", "987016883617615872")</f>
        <v/>
      </c>
      <c r="B785" s="2" t="n">
        <v>43209.71917824074</v>
      </c>
      <c r="C785" t="n">
        <v>0</v>
      </c>
      <c r="D785" t="n">
        <v>8</v>
      </c>
      <c r="E785" t="s">
        <v>790</v>
      </c>
      <c r="F785" t="s"/>
      <c r="G785" t="s"/>
      <c r="H785" t="s"/>
      <c r="I785" t="s"/>
      <c r="J785" t="n">
        <v>0</v>
      </c>
      <c r="K785" t="n">
        <v>0</v>
      </c>
      <c r="L785" t="n">
        <v>1</v>
      </c>
      <c r="M785" t="n">
        <v>0</v>
      </c>
    </row>
    <row r="786" spans="1:13">
      <c r="A786" s="1">
        <f>HYPERLINK("http://www.twitter.com/NathanBLawrence/status/987016596781748225", "987016596781748225")</f>
        <v/>
      </c>
      <c r="B786" s="2" t="n">
        <v>43209.71839120371</v>
      </c>
      <c r="C786" t="n">
        <v>0</v>
      </c>
      <c r="D786" t="n">
        <v>5</v>
      </c>
      <c r="E786" t="s">
        <v>791</v>
      </c>
      <c r="F786" t="s"/>
      <c r="G786" t="s"/>
      <c r="H786" t="s"/>
      <c r="I786" t="s"/>
      <c r="J786" t="n">
        <v>0.296</v>
      </c>
      <c r="K786" t="n">
        <v>0</v>
      </c>
      <c r="L786" t="n">
        <v>0.896</v>
      </c>
      <c r="M786" t="n">
        <v>0.104</v>
      </c>
    </row>
    <row r="787" spans="1:13">
      <c r="A787" s="1">
        <f>HYPERLINK("http://www.twitter.com/NathanBLawrence/status/987007750843650048", "987007750843650048")</f>
        <v/>
      </c>
      <c r="B787" s="2" t="n">
        <v>43209.69398148148</v>
      </c>
      <c r="C787" t="n">
        <v>0</v>
      </c>
      <c r="D787" t="n">
        <v>992</v>
      </c>
      <c r="E787" t="s">
        <v>792</v>
      </c>
      <c r="F787">
        <f>HYPERLINK("https://video.twimg.com/amplify_video/986921296087994370/vid/1280x720/zXo3ClWYnvPgFiwF.mp4?tag=6", "https://video.twimg.com/amplify_video/986921296087994370/vid/1280x720/zXo3ClWYnvPgFiwF.mp4?tag=6")</f>
        <v/>
      </c>
      <c r="G787" t="s"/>
      <c r="H787" t="s"/>
      <c r="I787" t="s"/>
      <c r="J787" t="n">
        <v>-0.4003</v>
      </c>
      <c r="K787" t="n">
        <v>0.109</v>
      </c>
      <c r="L787" t="n">
        <v>0.891</v>
      </c>
      <c r="M787" t="n">
        <v>0</v>
      </c>
    </row>
    <row r="788" spans="1:13">
      <c r="A788" s="1">
        <f>HYPERLINK("http://www.twitter.com/NathanBLawrence/status/987006681971380225", "987006681971380225")</f>
        <v/>
      </c>
      <c r="B788" s="2" t="n">
        <v>43209.6910300926</v>
      </c>
      <c r="C788" t="n">
        <v>0</v>
      </c>
      <c r="D788" t="n">
        <v>1154</v>
      </c>
      <c r="E788" t="s">
        <v>793</v>
      </c>
      <c r="F788">
        <f>HYPERLINK("http://pbs.twimg.com/media/DbGB9WpUwAA7VBF.jpg", "http://pbs.twimg.com/media/DbGB9WpUwAA7VBF.jpg")</f>
        <v/>
      </c>
      <c r="G788" t="s"/>
      <c r="H788" t="s"/>
      <c r="I788" t="s"/>
      <c r="J788" t="n">
        <v>0.5423</v>
      </c>
      <c r="K788" t="n">
        <v>0.11</v>
      </c>
      <c r="L788" t="n">
        <v>0.608</v>
      </c>
      <c r="M788" t="n">
        <v>0.281</v>
      </c>
    </row>
    <row r="789" spans="1:13">
      <c r="A789" s="1">
        <f>HYPERLINK("http://www.twitter.com/NathanBLawrence/status/987002737601761283", "987002737601761283")</f>
        <v/>
      </c>
      <c r="B789" s="2" t="n">
        <v>43209.68013888889</v>
      </c>
      <c r="C789" t="n">
        <v>0</v>
      </c>
      <c r="D789" t="n">
        <v>1072</v>
      </c>
      <c r="E789" t="s">
        <v>794</v>
      </c>
      <c r="F789">
        <f>HYPERLINK("http://pbs.twimg.com/media/DbJjCewVMAAxz1S.jpg", "http://pbs.twimg.com/media/DbJjCewVMAAxz1S.jpg")</f>
        <v/>
      </c>
      <c r="G789" t="s"/>
      <c r="H789" t="s"/>
      <c r="I789" t="s"/>
      <c r="J789" t="n">
        <v>0.4588</v>
      </c>
      <c r="K789" t="n">
        <v>0.063</v>
      </c>
      <c r="L789" t="n">
        <v>0.794</v>
      </c>
      <c r="M789" t="n">
        <v>0.143</v>
      </c>
    </row>
    <row r="790" spans="1:13">
      <c r="A790" s="1">
        <f>HYPERLINK("http://www.twitter.com/NathanBLawrence/status/986996226271956993", "986996226271956993")</f>
        <v/>
      </c>
      <c r="B790" s="2" t="n">
        <v>43209.66217592593</v>
      </c>
      <c r="C790" t="n">
        <v>0</v>
      </c>
      <c r="D790" t="n">
        <v>9</v>
      </c>
      <c r="E790" t="s">
        <v>795</v>
      </c>
      <c r="F790" t="s"/>
      <c r="G790" t="s"/>
      <c r="H790" t="s"/>
      <c r="I790" t="s"/>
      <c r="J790" t="n">
        <v>-0.079</v>
      </c>
      <c r="K790" t="n">
        <v>0.213</v>
      </c>
      <c r="L790" t="n">
        <v>0.586</v>
      </c>
      <c r="M790" t="n">
        <v>0.201</v>
      </c>
    </row>
    <row r="791" spans="1:13">
      <c r="A791" s="1">
        <f>HYPERLINK("http://www.twitter.com/NathanBLawrence/status/986995348873908224", "986995348873908224")</f>
        <v/>
      </c>
      <c r="B791" s="2" t="n">
        <v>43209.65975694444</v>
      </c>
      <c r="C791" t="n">
        <v>0</v>
      </c>
      <c r="D791" t="n">
        <v>8</v>
      </c>
      <c r="E791" t="s">
        <v>796</v>
      </c>
      <c r="F791">
        <f>HYPERLINK("http://pbs.twimg.com/media/DbJu3DzVQAAYkRv.jpg", "http://pbs.twimg.com/media/DbJu3DzVQAAYkRv.jpg")</f>
        <v/>
      </c>
      <c r="G791" t="s"/>
      <c r="H791" t="s"/>
      <c r="I791" t="s"/>
      <c r="J791" t="n">
        <v>0</v>
      </c>
      <c r="K791" t="n">
        <v>0</v>
      </c>
      <c r="L791" t="n">
        <v>1</v>
      </c>
      <c r="M791" t="n">
        <v>0</v>
      </c>
    </row>
    <row r="792" spans="1:13">
      <c r="A792" s="1">
        <f>HYPERLINK("http://www.twitter.com/NathanBLawrence/status/986987564233052160", "986987564233052160")</f>
        <v/>
      </c>
      <c r="B792" s="2" t="n">
        <v>43209.63827546296</v>
      </c>
      <c r="C792" t="n">
        <v>0</v>
      </c>
      <c r="D792" t="n">
        <v>3</v>
      </c>
      <c r="E792" t="s">
        <v>797</v>
      </c>
      <c r="F792" t="s"/>
      <c r="G792" t="s"/>
      <c r="H792" t="s"/>
      <c r="I792" t="s"/>
      <c r="J792" t="n">
        <v>0.4588</v>
      </c>
      <c r="K792" t="n">
        <v>0.194</v>
      </c>
      <c r="L792" t="n">
        <v>0.516</v>
      </c>
      <c r="M792" t="n">
        <v>0.29</v>
      </c>
    </row>
    <row r="793" spans="1:13">
      <c r="A793" s="1">
        <f>HYPERLINK("http://www.twitter.com/NathanBLawrence/status/986857744895528960", "986857744895528960")</f>
        <v/>
      </c>
      <c r="B793" s="2" t="n">
        <v>43209.28003472222</v>
      </c>
      <c r="C793" t="n">
        <v>0</v>
      </c>
      <c r="D793" t="n">
        <v>674</v>
      </c>
      <c r="E793" t="s">
        <v>798</v>
      </c>
      <c r="F793">
        <f>HYPERLINK("http://pbs.twimg.com/media/DbHSyXZV4AAHLla.jpg", "http://pbs.twimg.com/media/DbHSyXZV4AAHLla.jpg")</f>
        <v/>
      </c>
      <c r="G793">
        <f>HYPERLINK("http://pbs.twimg.com/media/DbHSyf-UMAEaEnP.jpg", "http://pbs.twimg.com/media/DbHSyf-UMAEaEnP.jpg")</f>
        <v/>
      </c>
      <c r="H793" t="s"/>
      <c r="I793" t="s"/>
      <c r="J793" t="n">
        <v>-0.6908</v>
      </c>
      <c r="K793" t="n">
        <v>0.273</v>
      </c>
      <c r="L793" t="n">
        <v>0.627</v>
      </c>
      <c r="M793" t="n">
        <v>0.1</v>
      </c>
    </row>
    <row r="794" spans="1:13">
      <c r="A794" s="1">
        <f>HYPERLINK("http://www.twitter.com/NathanBLawrence/status/986848351734980609", "986848351734980609")</f>
        <v/>
      </c>
      <c r="B794" s="2" t="n">
        <v>43209.25412037037</v>
      </c>
      <c r="C794" t="n">
        <v>0</v>
      </c>
      <c r="D794" t="n">
        <v>55</v>
      </c>
      <c r="E794" t="s">
        <v>799</v>
      </c>
      <c r="F794" t="s"/>
      <c r="G794" t="s"/>
      <c r="H794" t="s"/>
      <c r="I794" t="s"/>
      <c r="J794" t="n">
        <v>0.8934</v>
      </c>
      <c r="K794" t="n">
        <v>0</v>
      </c>
      <c r="L794" t="n">
        <v>0.627</v>
      </c>
      <c r="M794" t="n">
        <v>0.373</v>
      </c>
    </row>
    <row r="795" spans="1:13">
      <c r="A795" s="1">
        <f>HYPERLINK("http://www.twitter.com/NathanBLawrence/status/986813519705276416", "986813519705276416")</f>
        <v/>
      </c>
      <c r="B795" s="2" t="n">
        <v>43209.15799768519</v>
      </c>
      <c r="C795" t="n">
        <v>1</v>
      </c>
      <c r="D795" t="n">
        <v>0</v>
      </c>
      <c r="E795" t="s">
        <v>800</v>
      </c>
      <c r="F795">
        <f>HYPERLINK("http://pbs.twimg.com/media/DbHdoc8W0AE3LML.jpg", "http://pbs.twimg.com/media/DbHdoc8W0AE3LML.jpg")</f>
        <v/>
      </c>
      <c r="G795" t="s"/>
      <c r="H795" t="s"/>
      <c r="I795" t="s"/>
      <c r="J795" t="n">
        <v>0.3802</v>
      </c>
      <c r="K795" t="n">
        <v>0</v>
      </c>
      <c r="L795" t="n">
        <v>0.9429999999999999</v>
      </c>
      <c r="M795" t="n">
        <v>0.057</v>
      </c>
    </row>
    <row r="796" spans="1:13">
      <c r="A796" s="1">
        <f>HYPERLINK("http://www.twitter.com/NathanBLawrence/status/986789165303025665", "986789165303025665")</f>
        <v/>
      </c>
      <c r="B796" s="2" t="n">
        <v>43209.09079861111</v>
      </c>
      <c r="C796" t="n">
        <v>0</v>
      </c>
      <c r="D796" t="n">
        <v>8</v>
      </c>
      <c r="E796" t="s">
        <v>801</v>
      </c>
      <c r="F796" t="s"/>
      <c r="G796" t="s"/>
      <c r="H796" t="s"/>
      <c r="I796" t="s"/>
      <c r="J796" t="n">
        <v>0</v>
      </c>
      <c r="K796" t="n">
        <v>0</v>
      </c>
      <c r="L796" t="n">
        <v>1</v>
      </c>
      <c r="M796" t="n">
        <v>0</v>
      </c>
    </row>
    <row r="797" spans="1:13">
      <c r="A797" s="1">
        <f>HYPERLINK("http://www.twitter.com/NathanBLawrence/status/986787164997472256", "986787164997472256")</f>
        <v/>
      </c>
      <c r="B797" s="2" t="n">
        <v>43209.08527777778</v>
      </c>
      <c r="C797" t="n">
        <v>0</v>
      </c>
      <c r="D797" t="n">
        <v>6</v>
      </c>
      <c r="E797" t="s">
        <v>802</v>
      </c>
      <c r="F797">
        <f>HYPERLINK("http://pbs.twimg.com/media/DbE8PMDV4AE_-vq.jpg", "http://pbs.twimg.com/media/DbE8PMDV4AE_-vq.jpg")</f>
        <v/>
      </c>
      <c r="G797" t="s"/>
      <c r="H797" t="s"/>
      <c r="I797" t="s"/>
      <c r="J797" t="n">
        <v>0</v>
      </c>
      <c r="K797" t="n">
        <v>0</v>
      </c>
      <c r="L797" t="n">
        <v>1</v>
      </c>
      <c r="M797" t="n">
        <v>0</v>
      </c>
    </row>
    <row r="798" spans="1:13">
      <c r="A798" s="1">
        <f>HYPERLINK("http://www.twitter.com/NathanBLawrence/status/986786362849456128", "986786362849456128")</f>
        <v/>
      </c>
      <c r="B798" s="2" t="n">
        <v>43209.08306712963</v>
      </c>
      <c r="C798" t="n">
        <v>0</v>
      </c>
      <c r="D798" t="n">
        <v>5</v>
      </c>
      <c r="E798" t="s">
        <v>803</v>
      </c>
      <c r="F798" t="s"/>
      <c r="G798" t="s"/>
      <c r="H798" t="s"/>
      <c r="I798" t="s"/>
      <c r="J798" t="n">
        <v>0.2584</v>
      </c>
      <c r="K798" t="n">
        <v>0</v>
      </c>
      <c r="L798" t="n">
        <v>0.711</v>
      </c>
      <c r="M798" t="n">
        <v>0.289</v>
      </c>
    </row>
    <row r="799" spans="1:13">
      <c r="A799" s="1">
        <f>HYPERLINK("http://www.twitter.com/NathanBLawrence/status/986785972028411904", "986785972028411904")</f>
        <v/>
      </c>
      <c r="B799" s="2" t="n">
        <v>43209.08197916667</v>
      </c>
      <c r="C799" t="n">
        <v>0</v>
      </c>
      <c r="D799" t="n">
        <v>14</v>
      </c>
      <c r="E799" t="s">
        <v>804</v>
      </c>
      <c r="F799" t="s"/>
      <c r="G799" t="s"/>
      <c r="H799" t="s"/>
      <c r="I799" t="s"/>
      <c r="J799" t="n">
        <v>-0.908</v>
      </c>
      <c r="K799" t="n">
        <v>0.443</v>
      </c>
      <c r="L799" t="n">
        <v>0.478</v>
      </c>
      <c r="M799" t="n">
        <v>0.08</v>
      </c>
    </row>
    <row r="800" spans="1:13">
      <c r="A800" s="1">
        <f>HYPERLINK("http://www.twitter.com/NathanBLawrence/status/986783625634025472", "986783625634025472")</f>
        <v/>
      </c>
      <c r="B800" s="2" t="n">
        <v>43209.07550925926</v>
      </c>
      <c r="C800" t="n">
        <v>14</v>
      </c>
      <c r="D800" t="n">
        <v>11</v>
      </c>
      <c r="E800" t="s">
        <v>805</v>
      </c>
      <c r="F800">
        <f>HYPERLINK("http://pbs.twimg.com/media/DbHCbK4X0AAHwhf.jpg", "http://pbs.twimg.com/media/DbHCbK4X0AAHwhf.jpg")</f>
        <v/>
      </c>
      <c r="G800" t="s"/>
      <c r="H800" t="s"/>
      <c r="I800" t="s"/>
      <c r="J800" t="n">
        <v>0.9347</v>
      </c>
      <c r="K800" t="n">
        <v>0</v>
      </c>
      <c r="L800" t="n">
        <v>0.738</v>
      </c>
      <c r="M800" t="n">
        <v>0.262</v>
      </c>
    </row>
    <row r="801" spans="1:13">
      <c r="A801" s="1">
        <f>HYPERLINK("http://www.twitter.com/NathanBLawrence/status/986782050710642689", "986782050710642689")</f>
        <v/>
      </c>
      <c r="B801" s="2" t="n">
        <v>43209.07116898148</v>
      </c>
      <c r="C801" t="n">
        <v>0</v>
      </c>
      <c r="D801" t="n">
        <v>7</v>
      </c>
      <c r="E801" t="s">
        <v>806</v>
      </c>
      <c r="F801" t="s"/>
      <c r="G801" t="s"/>
      <c r="H801" t="s"/>
      <c r="I801" t="s"/>
      <c r="J801" t="n">
        <v>0.34</v>
      </c>
      <c r="K801" t="n">
        <v>0</v>
      </c>
      <c r="L801" t="n">
        <v>0.906</v>
      </c>
      <c r="M801" t="n">
        <v>0.094</v>
      </c>
    </row>
    <row r="802" spans="1:13">
      <c r="A802" s="1">
        <f>HYPERLINK("http://www.twitter.com/NathanBLawrence/status/986779235850293250", "986779235850293250")</f>
        <v/>
      </c>
      <c r="B802" s="2" t="n">
        <v>43209.0633912037</v>
      </c>
      <c r="C802" t="n">
        <v>0</v>
      </c>
      <c r="D802" t="n">
        <v>585</v>
      </c>
      <c r="E802" t="s">
        <v>807</v>
      </c>
      <c r="F802">
        <f>HYPERLINK("http://pbs.twimg.com/media/DbGvUvNVMAAlgXm.jpg", "http://pbs.twimg.com/media/DbGvUvNVMAAlgXm.jpg")</f>
        <v/>
      </c>
      <c r="G802" t="s"/>
      <c r="H802" t="s"/>
      <c r="I802" t="s"/>
      <c r="J802" t="n">
        <v>0.8834</v>
      </c>
      <c r="K802" t="n">
        <v>0</v>
      </c>
      <c r="L802" t="n">
        <v>0.66</v>
      </c>
      <c r="M802" t="n">
        <v>0.34</v>
      </c>
    </row>
    <row r="803" spans="1:13">
      <c r="A803" s="1">
        <f>HYPERLINK("http://www.twitter.com/NathanBLawrence/status/986767935376109568", "986767935376109568")</f>
        <v/>
      </c>
      <c r="B803" s="2" t="n">
        <v>43209.03221064815</v>
      </c>
      <c r="C803" t="n">
        <v>0</v>
      </c>
      <c r="D803" t="n">
        <v>209</v>
      </c>
      <c r="E803" t="s">
        <v>808</v>
      </c>
      <c r="F803" t="s"/>
      <c r="G803" t="s"/>
      <c r="H803" t="s"/>
      <c r="I803" t="s"/>
      <c r="J803" t="n">
        <v>0</v>
      </c>
      <c r="K803" t="n">
        <v>0</v>
      </c>
      <c r="L803" t="n">
        <v>1</v>
      </c>
      <c r="M803" t="n">
        <v>0</v>
      </c>
    </row>
    <row r="804" spans="1:13">
      <c r="A804" s="1">
        <f>HYPERLINK("http://www.twitter.com/NathanBLawrence/status/986767240593895424", "986767240593895424")</f>
        <v/>
      </c>
      <c r="B804" s="2" t="n">
        <v>43209.03030092592</v>
      </c>
      <c r="C804" t="n">
        <v>0</v>
      </c>
      <c r="D804" t="n">
        <v>2949</v>
      </c>
      <c r="E804" t="s">
        <v>809</v>
      </c>
      <c r="F804">
        <f>HYPERLINK("http://pbs.twimg.com/media/DbFQX8BUwAEu_CE.jpg", "http://pbs.twimg.com/media/DbFQX8BUwAEu_CE.jpg")</f>
        <v/>
      </c>
      <c r="G804" t="s"/>
      <c r="H804" t="s"/>
      <c r="I804" t="s"/>
      <c r="J804" t="n">
        <v>0</v>
      </c>
      <c r="K804" t="n">
        <v>0</v>
      </c>
      <c r="L804" t="n">
        <v>1</v>
      </c>
      <c r="M804" t="n">
        <v>0</v>
      </c>
    </row>
    <row r="805" spans="1:13">
      <c r="A805" s="1">
        <f>HYPERLINK("http://www.twitter.com/NathanBLawrence/status/986764983752101888", "986764983752101888")</f>
        <v/>
      </c>
      <c r="B805" s="2" t="n">
        <v>43209.0240625</v>
      </c>
      <c r="C805" t="n">
        <v>0</v>
      </c>
      <c r="D805" t="n">
        <v>20</v>
      </c>
      <c r="E805" t="s">
        <v>810</v>
      </c>
      <c r="F805" t="s"/>
      <c r="G805" t="s"/>
      <c r="H805" t="s"/>
      <c r="I805" t="s"/>
      <c r="J805" t="n">
        <v>0</v>
      </c>
      <c r="K805" t="n">
        <v>0</v>
      </c>
      <c r="L805" t="n">
        <v>1</v>
      </c>
      <c r="M805" t="n">
        <v>0</v>
      </c>
    </row>
    <row r="806" spans="1:13">
      <c r="A806" s="1">
        <f>HYPERLINK("http://www.twitter.com/NathanBLawrence/status/986755681490472960", "986755681490472960")</f>
        <v/>
      </c>
      <c r="B806" s="2" t="n">
        <v>43208.99840277778</v>
      </c>
      <c r="C806" t="n">
        <v>0</v>
      </c>
      <c r="D806" t="n">
        <v>3</v>
      </c>
      <c r="E806" t="s">
        <v>811</v>
      </c>
      <c r="F806" t="s"/>
      <c r="G806" t="s"/>
      <c r="H806" t="s"/>
      <c r="I806" t="s"/>
      <c r="J806" t="n">
        <v>0</v>
      </c>
      <c r="K806" t="n">
        <v>0</v>
      </c>
      <c r="L806" t="n">
        <v>1</v>
      </c>
      <c r="M806" t="n">
        <v>0</v>
      </c>
    </row>
    <row r="807" spans="1:13">
      <c r="A807" s="1">
        <f>HYPERLINK("http://www.twitter.com/NathanBLawrence/status/986755670895661056", "986755670895661056")</f>
        <v/>
      </c>
      <c r="B807" s="2" t="n">
        <v>43208.99836805555</v>
      </c>
      <c r="C807" t="n">
        <v>0</v>
      </c>
      <c r="D807" t="n">
        <v>1</v>
      </c>
      <c r="E807" t="s">
        <v>812</v>
      </c>
      <c r="F807" t="s"/>
      <c r="G807" t="s"/>
      <c r="H807" t="s"/>
      <c r="I807" t="s"/>
      <c r="J807" t="n">
        <v>0</v>
      </c>
      <c r="K807" t="n">
        <v>0</v>
      </c>
      <c r="L807" t="n">
        <v>1</v>
      </c>
      <c r="M807" t="n">
        <v>0</v>
      </c>
    </row>
    <row r="808" spans="1:13">
      <c r="A808" s="1">
        <f>HYPERLINK("http://www.twitter.com/NathanBLawrence/status/986755572593807360", "986755572593807360")</f>
        <v/>
      </c>
      <c r="B808" s="2" t="n">
        <v>43208.99810185185</v>
      </c>
      <c r="C808" t="n">
        <v>1</v>
      </c>
      <c r="D808" t="n">
        <v>1</v>
      </c>
      <c r="E808" t="s">
        <v>813</v>
      </c>
      <c r="F808" t="s"/>
      <c r="G808" t="s"/>
      <c r="H808" t="s"/>
      <c r="I808" t="s"/>
      <c r="J808" t="n">
        <v>0.2008</v>
      </c>
      <c r="K808" t="n">
        <v>0.043</v>
      </c>
      <c r="L808" t="n">
        <v>0.886</v>
      </c>
      <c r="M808" t="n">
        <v>0.07099999999999999</v>
      </c>
    </row>
    <row r="809" spans="1:13">
      <c r="A809" s="1">
        <f>HYPERLINK("http://www.twitter.com/NathanBLawrence/status/986754286213369856", "986754286213369856")</f>
        <v/>
      </c>
      <c r="B809" s="2" t="n">
        <v>43208.99454861111</v>
      </c>
      <c r="C809" t="n">
        <v>0</v>
      </c>
      <c r="D809" t="n">
        <v>0</v>
      </c>
      <c r="E809" t="s">
        <v>814</v>
      </c>
      <c r="F809" t="s"/>
      <c r="G809" t="s"/>
      <c r="H809" t="s"/>
      <c r="I809" t="s"/>
      <c r="J809" t="n">
        <v>0.3612</v>
      </c>
      <c r="K809" t="n">
        <v>0</v>
      </c>
      <c r="L809" t="n">
        <v>0.923</v>
      </c>
      <c r="M809" t="n">
        <v>0.077</v>
      </c>
    </row>
    <row r="810" spans="1:13">
      <c r="A810" s="1">
        <f>HYPERLINK("http://www.twitter.com/NathanBLawrence/status/986748474757648385", "986748474757648385")</f>
        <v/>
      </c>
      <c r="B810" s="2" t="n">
        <v>43208.97850694445</v>
      </c>
      <c r="C810" t="n">
        <v>3</v>
      </c>
      <c r="D810" t="n">
        <v>1</v>
      </c>
      <c r="E810" t="s">
        <v>815</v>
      </c>
      <c r="F810">
        <f>HYPERLINK("http://pbs.twimg.com/media/DbGiedxX0AAHSF3.jpg", "http://pbs.twimg.com/media/DbGiedxX0AAHSF3.jpg")</f>
        <v/>
      </c>
      <c r="G810" t="s"/>
      <c r="H810" t="s"/>
      <c r="I810" t="s"/>
      <c r="J810" t="n">
        <v>0.8962</v>
      </c>
      <c r="K810" t="n">
        <v>0</v>
      </c>
      <c r="L810" t="n">
        <v>0.728</v>
      </c>
      <c r="M810" t="n">
        <v>0.272</v>
      </c>
    </row>
    <row r="811" spans="1:13">
      <c r="A811" s="1">
        <f>HYPERLINK("http://www.twitter.com/NathanBLawrence/status/986745580910268416", "986745580910268416")</f>
        <v/>
      </c>
      <c r="B811" s="2" t="n">
        <v>43208.97052083333</v>
      </c>
      <c r="C811" t="n">
        <v>0</v>
      </c>
      <c r="D811" t="n">
        <v>1</v>
      </c>
      <c r="E811" t="s">
        <v>816</v>
      </c>
      <c r="F811">
        <f>HYPERLINK("http://pbs.twimg.com/media/DbGf1_gWkAEnjLp.jpg", "http://pbs.twimg.com/media/DbGf1_gWkAEnjLp.jpg")</f>
        <v/>
      </c>
      <c r="G811" t="s"/>
      <c r="H811" t="s"/>
      <c r="I811" t="s"/>
      <c r="J811" t="n">
        <v>-0.8708</v>
      </c>
      <c r="K811" t="n">
        <v>0.203</v>
      </c>
      <c r="L811" t="n">
        <v>0.731</v>
      </c>
      <c r="M811" t="n">
        <v>0.066</v>
      </c>
    </row>
    <row r="812" spans="1:13">
      <c r="A812" s="1">
        <f>HYPERLINK("http://www.twitter.com/NathanBLawrence/status/986744997058883584", "986744997058883584")</f>
        <v/>
      </c>
      <c r="B812" s="2" t="n">
        <v>43208.96891203704</v>
      </c>
      <c r="C812" t="n">
        <v>3</v>
      </c>
      <c r="D812" t="n">
        <v>1</v>
      </c>
      <c r="E812" t="s">
        <v>817</v>
      </c>
      <c r="F812" t="s"/>
      <c r="G812" t="s"/>
      <c r="H812" t="s"/>
      <c r="I812" t="s"/>
      <c r="J812" t="n">
        <v>0</v>
      </c>
      <c r="K812" t="n">
        <v>0</v>
      </c>
      <c r="L812" t="n">
        <v>1</v>
      </c>
      <c r="M812" t="n">
        <v>0</v>
      </c>
    </row>
    <row r="813" spans="1:13">
      <c r="A813" s="1">
        <f>HYPERLINK("http://www.twitter.com/NathanBLawrence/status/986744322321199105", "986744322321199105")</f>
        <v/>
      </c>
      <c r="B813" s="2" t="n">
        <v>43208.96704861111</v>
      </c>
      <c r="C813" t="n">
        <v>0</v>
      </c>
      <c r="D813" t="n">
        <v>1</v>
      </c>
      <c r="E813" t="s">
        <v>818</v>
      </c>
      <c r="F813">
        <f>HYPERLINK("http://pbs.twimg.com/media/DbGY0pvUQAA8ybY.jpg", "http://pbs.twimg.com/media/DbGY0pvUQAA8ybY.jpg")</f>
        <v/>
      </c>
      <c r="G813" t="s"/>
      <c r="H813" t="s"/>
      <c r="I813" t="s"/>
      <c r="J813" t="n">
        <v>-0.4753</v>
      </c>
      <c r="K813" t="n">
        <v>0.163</v>
      </c>
      <c r="L813" t="n">
        <v>0.837</v>
      </c>
      <c r="M813" t="n">
        <v>0</v>
      </c>
    </row>
    <row r="814" spans="1:13">
      <c r="A814" s="1">
        <f>HYPERLINK("http://www.twitter.com/NathanBLawrence/status/986741699673247744", "986741699673247744")</f>
        <v/>
      </c>
      <c r="B814" s="2" t="n">
        <v>43208.95981481481</v>
      </c>
      <c r="C814" t="n">
        <v>1</v>
      </c>
      <c r="D814" t="n">
        <v>1</v>
      </c>
      <c r="E814" t="s">
        <v>819</v>
      </c>
      <c r="F814">
        <f>HYPERLINK("http://pbs.twimg.com/media/DbGcUxDXUAAxs3K.jpg", "http://pbs.twimg.com/media/DbGcUxDXUAAxs3K.jpg")</f>
        <v/>
      </c>
      <c r="G814" t="s"/>
      <c r="H814" t="s"/>
      <c r="I814" t="s"/>
      <c r="J814" t="n">
        <v>-0.0343</v>
      </c>
      <c r="K814" t="n">
        <v>0.049</v>
      </c>
      <c r="L814" t="n">
        <v>0.904</v>
      </c>
      <c r="M814" t="n">
        <v>0.047</v>
      </c>
    </row>
    <row r="815" spans="1:13">
      <c r="A815" s="1">
        <f>HYPERLINK("http://www.twitter.com/NathanBLawrence/status/986732680632061955", "986732680632061955")</f>
        <v/>
      </c>
      <c r="B815" s="2" t="n">
        <v>43208.93493055556</v>
      </c>
      <c r="C815" t="n">
        <v>2</v>
      </c>
      <c r="D815" t="n">
        <v>0</v>
      </c>
      <c r="E815" t="s">
        <v>820</v>
      </c>
      <c r="F815" t="s"/>
      <c r="G815" t="s"/>
      <c r="H815" t="s"/>
      <c r="I815" t="s"/>
      <c r="J815" t="n">
        <v>-0.2942</v>
      </c>
      <c r="K815" t="n">
        <v>0.16</v>
      </c>
      <c r="L815" t="n">
        <v>0.708</v>
      </c>
      <c r="M815" t="n">
        <v>0.132</v>
      </c>
    </row>
    <row r="816" spans="1:13">
      <c r="A816" s="1">
        <f>HYPERLINK("http://www.twitter.com/NathanBLawrence/status/986731242224791552", "986731242224791552")</f>
        <v/>
      </c>
      <c r="B816" s="2" t="n">
        <v>43208.93096064815</v>
      </c>
      <c r="C816" t="n">
        <v>0</v>
      </c>
      <c r="D816" t="n">
        <v>0</v>
      </c>
      <c r="E816" t="s">
        <v>821</v>
      </c>
      <c r="F816" t="s"/>
      <c r="G816" t="s"/>
      <c r="H816" t="s"/>
      <c r="I816" t="s"/>
      <c r="J816" t="n">
        <v>0</v>
      </c>
      <c r="K816" t="n">
        <v>0</v>
      </c>
      <c r="L816" t="n">
        <v>1</v>
      </c>
      <c r="M816" t="n">
        <v>0</v>
      </c>
    </row>
    <row r="817" spans="1:13">
      <c r="A817" s="1">
        <f>HYPERLINK("http://www.twitter.com/NathanBLawrence/status/986731089782861824", "986731089782861824")</f>
        <v/>
      </c>
      <c r="B817" s="2" t="n">
        <v>43208.93054398148</v>
      </c>
      <c r="C817" t="n">
        <v>0</v>
      </c>
      <c r="D817" t="n">
        <v>2</v>
      </c>
      <c r="E817" t="s">
        <v>822</v>
      </c>
      <c r="F817" t="s"/>
      <c r="G817" t="s"/>
      <c r="H817" t="s"/>
      <c r="I817" t="s"/>
      <c r="J817" t="n">
        <v>0</v>
      </c>
      <c r="K817" t="n">
        <v>0</v>
      </c>
      <c r="L817" t="n">
        <v>1</v>
      </c>
      <c r="M817" t="n">
        <v>0</v>
      </c>
    </row>
    <row r="818" spans="1:13">
      <c r="A818" s="1">
        <f>HYPERLINK("http://www.twitter.com/NathanBLawrence/status/986730947986018304", "986730947986018304")</f>
        <v/>
      </c>
      <c r="B818" s="2" t="n">
        <v>43208.93015046296</v>
      </c>
      <c r="C818" t="n">
        <v>0</v>
      </c>
      <c r="D818" t="n">
        <v>12</v>
      </c>
      <c r="E818" t="s">
        <v>823</v>
      </c>
      <c r="F818">
        <f>HYPERLINK("http://pbs.twimg.com/media/DbEs7ByX4AAUq5K.jpg", "http://pbs.twimg.com/media/DbEs7ByX4AAUq5K.jpg")</f>
        <v/>
      </c>
      <c r="G818" t="s"/>
      <c r="H818" t="s"/>
      <c r="I818" t="s"/>
      <c r="J818" t="n">
        <v>-0.7717000000000001</v>
      </c>
      <c r="K818" t="n">
        <v>0.332</v>
      </c>
      <c r="L818" t="n">
        <v>0.504</v>
      </c>
      <c r="M818" t="n">
        <v>0.163</v>
      </c>
    </row>
    <row r="819" spans="1:13">
      <c r="A819" s="1">
        <f>HYPERLINK("http://www.twitter.com/NathanBLawrence/status/986730922388131842", "986730922388131842")</f>
        <v/>
      </c>
      <c r="B819" s="2" t="n">
        <v>43208.93008101852</v>
      </c>
      <c r="C819" t="n">
        <v>0</v>
      </c>
      <c r="D819" t="n">
        <v>3</v>
      </c>
      <c r="E819" t="s">
        <v>824</v>
      </c>
      <c r="F819" t="s"/>
      <c r="G819" t="s"/>
      <c r="H819" t="s"/>
      <c r="I819" t="s"/>
      <c r="J819" t="n">
        <v>0</v>
      </c>
      <c r="K819" t="n">
        <v>0</v>
      </c>
      <c r="L819" t="n">
        <v>1</v>
      </c>
      <c r="M819" t="n">
        <v>0</v>
      </c>
    </row>
    <row r="820" spans="1:13">
      <c r="A820" s="1">
        <f>HYPERLINK("http://www.twitter.com/NathanBLawrence/status/986730616535306240", "986730616535306240")</f>
        <v/>
      </c>
      <c r="B820" s="2" t="n">
        <v>43208.92923611111</v>
      </c>
      <c r="C820" t="n">
        <v>0</v>
      </c>
      <c r="D820" t="n">
        <v>47</v>
      </c>
      <c r="E820" t="s">
        <v>825</v>
      </c>
      <c r="F820">
        <f>HYPERLINK("http://pbs.twimg.com/media/DbGRJkDUMAAg8Oh.jpg", "http://pbs.twimg.com/media/DbGRJkDUMAAg8Oh.jpg")</f>
        <v/>
      </c>
      <c r="G820" t="s"/>
      <c r="H820" t="s"/>
      <c r="I820" t="s"/>
      <c r="J820" t="n">
        <v>0.6249</v>
      </c>
      <c r="K820" t="n">
        <v>0</v>
      </c>
      <c r="L820" t="n">
        <v>0.823</v>
      </c>
      <c r="M820" t="n">
        <v>0.177</v>
      </c>
    </row>
    <row r="821" spans="1:13">
      <c r="A821" s="1">
        <f>HYPERLINK("http://www.twitter.com/NathanBLawrence/status/986730532628287493", "986730532628287493")</f>
        <v/>
      </c>
      <c r="B821" s="2" t="n">
        <v>43208.92900462963</v>
      </c>
      <c r="C821" t="n">
        <v>0</v>
      </c>
      <c r="D821" t="n">
        <v>3</v>
      </c>
      <c r="E821" t="s">
        <v>826</v>
      </c>
      <c r="F821" t="s"/>
      <c r="G821" t="s"/>
      <c r="H821" t="s"/>
      <c r="I821" t="s"/>
      <c r="J821" t="n">
        <v>-0.3818</v>
      </c>
      <c r="K821" t="n">
        <v>0.115</v>
      </c>
      <c r="L821" t="n">
        <v>0.885</v>
      </c>
      <c r="M821" t="n">
        <v>0</v>
      </c>
    </row>
    <row r="822" spans="1:13">
      <c r="A822" s="1">
        <f>HYPERLINK("http://www.twitter.com/NathanBLawrence/status/986730320824295427", "986730320824295427")</f>
        <v/>
      </c>
      <c r="B822" s="2" t="n">
        <v>43208.92841435185</v>
      </c>
      <c r="C822" t="n">
        <v>0</v>
      </c>
      <c r="D822" t="n">
        <v>1</v>
      </c>
      <c r="E822" t="s">
        <v>827</v>
      </c>
      <c r="F822">
        <f>HYPERLINK("http://pbs.twimg.com/media/DbFPjdpUMAUT41-.jpg", "http://pbs.twimg.com/media/DbFPjdpUMAUT41-.jpg")</f>
        <v/>
      </c>
      <c r="G822" t="s"/>
      <c r="H822" t="s"/>
      <c r="I822" t="s"/>
      <c r="J822" t="n">
        <v>0.4466</v>
      </c>
      <c r="K822" t="n">
        <v>0</v>
      </c>
      <c r="L822" t="n">
        <v>0.866</v>
      </c>
      <c r="M822" t="n">
        <v>0.134</v>
      </c>
    </row>
    <row r="823" spans="1:13">
      <c r="A823" s="1">
        <f>HYPERLINK("http://www.twitter.com/NathanBLawrence/status/986729805482807298", "986729805482807298")</f>
        <v/>
      </c>
      <c r="B823" s="2" t="n">
        <v>43208.92699074074</v>
      </c>
      <c r="C823" t="n">
        <v>0</v>
      </c>
      <c r="D823" t="n">
        <v>3</v>
      </c>
      <c r="E823" t="s">
        <v>828</v>
      </c>
      <c r="F823" t="s"/>
      <c r="G823" t="s"/>
      <c r="H823" t="s"/>
      <c r="I823" t="s"/>
      <c r="J823" t="n">
        <v>0</v>
      </c>
      <c r="K823" t="n">
        <v>0</v>
      </c>
      <c r="L823" t="n">
        <v>1</v>
      </c>
      <c r="M823" t="n">
        <v>0</v>
      </c>
    </row>
    <row r="824" spans="1:13">
      <c r="A824" s="1">
        <f>HYPERLINK("http://www.twitter.com/NathanBLawrence/status/986719896234090497", "986719896234090497")</f>
        <v/>
      </c>
      <c r="B824" s="2" t="n">
        <v>43208.89965277778</v>
      </c>
      <c r="C824" t="n">
        <v>0</v>
      </c>
      <c r="D824" t="n">
        <v>303</v>
      </c>
      <c r="E824" t="s">
        <v>829</v>
      </c>
      <c r="F824">
        <f>HYPERLINK("http://pbs.twimg.com/media/DbGD8H2UwAAj4qX.jpg", "http://pbs.twimg.com/media/DbGD8H2UwAAj4qX.jpg")</f>
        <v/>
      </c>
      <c r="G824">
        <f>HYPERLINK("http://pbs.twimg.com/media/DbGD8H1U0AAjKO3.jpg", "http://pbs.twimg.com/media/DbGD8H1U0AAjKO3.jpg")</f>
        <v/>
      </c>
      <c r="H824">
        <f>HYPERLINK("http://pbs.twimg.com/media/DbGD8H2UQAAd1Z-.jpg", "http://pbs.twimg.com/media/DbGD8H2UQAAd1Z-.jpg")</f>
        <v/>
      </c>
      <c r="I824">
        <f>HYPERLINK("http://pbs.twimg.com/media/DbGD8H1VwAAGKys.jpg", "http://pbs.twimg.com/media/DbGD8H1VwAAGKys.jpg")</f>
        <v/>
      </c>
      <c r="J824" t="n">
        <v>0.3612</v>
      </c>
      <c r="K824" t="n">
        <v>0</v>
      </c>
      <c r="L824" t="n">
        <v>0.872</v>
      </c>
      <c r="M824" t="n">
        <v>0.128</v>
      </c>
    </row>
    <row r="825" spans="1:13">
      <c r="A825" s="1">
        <f>HYPERLINK("http://www.twitter.com/NathanBLawrence/status/986716815073185792", "986716815073185792")</f>
        <v/>
      </c>
      <c r="B825" s="2" t="n">
        <v>43208.89114583333</v>
      </c>
      <c r="C825" t="n">
        <v>0</v>
      </c>
      <c r="D825" t="n">
        <v>12</v>
      </c>
      <c r="E825" t="s">
        <v>810</v>
      </c>
      <c r="F825" t="s"/>
      <c r="G825" t="s"/>
      <c r="H825" t="s"/>
      <c r="I825" t="s"/>
      <c r="J825" t="n">
        <v>0</v>
      </c>
      <c r="K825" t="n">
        <v>0</v>
      </c>
      <c r="L825" t="n">
        <v>1</v>
      </c>
      <c r="M825" t="n">
        <v>0</v>
      </c>
    </row>
    <row r="826" spans="1:13">
      <c r="A826" s="1">
        <f>HYPERLINK("http://www.twitter.com/NathanBLawrence/status/986714718017638400", "986714718017638400")</f>
        <v/>
      </c>
      <c r="B826" s="2" t="n">
        <v>43208.88535879629</v>
      </c>
      <c r="C826" t="n">
        <v>0</v>
      </c>
      <c r="D826" t="n">
        <v>1</v>
      </c>
      <c r="E826" t="s">
        <v>830</v>
      </c>
      <c r="F826" t="s"/>
      <c r="G826" t="s"/>
      <c r="H826" t="s"/>
      <c r="I826" t="s"/>
      <c r="J826" t="n">
        <v>0</v>
      </c>
      <c r="K826" t="n">
        <v>0</v>
      </c>
      <c r="L826" t="n">
        <v>1</v>
      </c>
      <c r="M826" t="n">
        <v>0</v>
      </c>
    </row>
    <row r="827" spans="1:13">
      <c r="A827" s="1">
        <f>HYPERLINK("http://www.twitter.com/NathanBLawrence/status/986714625440960513", "986714625440960513")</f>
        <v/>
      </c>
      <c r="B827" s="2" t="n">
        <v>43208.88510416666</v>
      </c>
      <c r="C827" t="n">
        <v>0</v>
      </c>
      <c r="D827" t="n">
        <v>1</v>
      </c>
      <c r="E827" t="s">
        <v>831</v>
      </c>
      <c r="F827" t="s"/>
      <c r="G827" t="s"/>
      <c r="H827" t="s"/>
      <c r="I827" t="s"/>
      <c r="J827" t="n">
        <v>0</v>
      </c>
      <c r="K827" t="n">
        <v>0</v>
      </c>
      <c r="L827" t="n">
        <v>1</v>
      </c>
      <c r="M827" t="n">
        <v>0</v>
      </c>
    </row>
    <row r="828" spans="1:13">
      <c r="A828" s="1">
        <f>HYPERLINK("http://www.twitter.com/NathanBLawrence/status/986714343990616066", "986714343990616066")</f>
        <v/>
      </c>
      <c r="B828" s="2" t="n">
        <v>43208.8843287037</v>
      </c>
      <c r="C828" t="n">
        <v>4</v>
      </c>
      <c r="D828" t="n">
        <v>1</v>
      </c>
      <c r="E828" t="s">
        <v>832</v>
      </c>
      <c r="F828" t="s"/>
      <c r="G828" t="s"/>
      <c r="H828" t="s"/>
      <c r="I828" t="s"/>
      <c r="J828" t="n">
        <v>-0.5106000000000001</v>
      </c>
      <c r="K828" t="n">
        <v>0.118</v>
      </c>
      <c r="L828" t="n">
        <v>0.8139999999999999</v>
      </c>
      <c r="M828" t="n">
        <v>0.068</v>
      </c>
    </row>
    <row r="829" spans="1:13">
      <c r="A829" s="1">
        <f>HYPERLINK("http://www.twitter.com/NathanBLawrence/status/986710580785569792", "986710580785569792")</f>
        <v/>
      </c>
      <c r="B829" s="2" t="n">
        <v>43208.87394675926</v>
      </c>
      <c r="C829" t="n">
        <v>1</v>
      </c>
      <c r="D829" t="n">
        <v>0</v>
      </c>
      <c r="E829" t="s">
        <v>833</v>
      </c>
      <c r="F829" t="s"/>
      <c r="G829" t="s"/>
      <c r="H829" t="s"/>
      <c r="I829" t="s"/>
      <c r="J829" t="n">
        <v>0</v>
      </c>
      <c r="K829" t="n">
        <v>0</v>
      </c>
      <c r="L829" t="n">
        <v>1</v>
      </c>
      <c r="M829" t="n">
        <v>0</v>
      </c>
    </row>
    <row r="830" spans="1:13">
      <c r="A830" s="1">
        <f>HYPERLINK("http://www.twitter.com/NathanBLawrence/status/986710194733404160", "986710194733404160")</f>
        <v/>
      </c>
      <c r="B830" s="2" t="n">
        <v>43208.87288194444</v>
      </c>
      <c r="C830" t="n">
        <v>2</v>
      </c>
      <c r="D830" t="n">
        <v>0</v>
      </c>
      <c r="E830" t="s">
        <v>834</v>
      </c>
      <c r="F830" t="s"/>
      <c r="G830" t="s"/>
      <c r="H830" t="s"/>
      <c r="I830" t="s"/>
      <c r="J830" t="n">
        <v>0.8758</v>
      </c>
      <c r="K830" t="n">
        <v>0.08</v>
      </c>
      <c r="L830" t="n">
        <v>0.44</v>
      </c>
      <c r="M830" t="n">
        <v>0.481</v>
      </c>
    </row>
    <row r="831" spans="1:13">
      <c r="A831" s="1">
        <f>HYPERLINK("http://www.twitter.com/NathanBLawrence/status/986708898215284738", "986708898215284738")</f>
        <v/>
      </c>
      <c r="B831" s="2" t="n">
        <v>43208.86930555556</v>
      </c>
      <c r="C831" t="n">
        <v>5</v>
      </c>
      <c r="D831" t="n">
        <v>5</v>
      </c>
      <c r="E831" t="s">
        <v>835</v>
      </c>
      <c r="F831" t="s"/>
      <c r="G831" t="s"/>
      <c r="H831" t="s"/>
      <c r="I831" t="s"/>
      <c r="J831" t="n">
        <v>-0.3802</v>
      </c>
      <c r="K831" t="n">
        <v>0.181</v>
      </c>
      <c r="L831" t="n">
        <v>0.653</v>
      </c>
      <c r="M831" t="n">
        <v>0.166</v>
      </c>
    </row>
    <row r="832" spans="1:13">
      <c r="A832" s="1">
        <f>HYPERLINK("http://www.twitter.com/NathanBLawrence/status/986702824460488704", "986702824460488704")</f>
        <v/>
      </c>
      <c r="B832" s="2" t="n">
        <v>43208.85254629629</v>
      </c>
      <c r="C832" t="n">
        <v>0</v>
      </c>
      <c r="D832" t="n">
        <v>40</v>
      </c>
      <c r="E832" t="s">
        <v>836</v>
      </c>
      <c r="F832">
        <f>HYPERLINK("http://pbs.twimg.com/media/DbFwgMsUMAAdOQ2.jpg", "http://pbs.twimg.com/media/DbFwgMsUMAAdOQ2.jpg")</f>
        <v/>
      </c>
      <c r="G832">
        <f>HYPERLINK("http://pbs.twimg.com/media/DbFwgMtV4AAeuu2.jpg", "http://pbs.twimg.com/media/DbFwgMtV4AAeuu2.jpg")</f>
        <v/>
      </c>
      <c r="H832">
        <f>HYPERLINK("http://pbs.twimg.com/media/DbFwgMsVMAA_lUT.jpg", "http://pbs.twimg.com/media/DbFwgMsVMAA_lUT.jpg")</f>
        <v/>
      </c>
      <c r="I832">
        <f>HYPERLINK("http://pbs.twimg.com/media/DbFwgMsVAAA_q4L.jpg", "http://pbs.twimg.com/media/DbFwgMsVAAA_q4L.jpg")</f>
        <v/>
      </c>
      <c r="J832" t="n">
        <v>0.6249</v>
      </c>
      <c r="K832" t="n">
        <v>0</v>
      </c>
      <c r="L832" t="n">
        <v>0.837</v>
      </c>
      <c r="M832" t="n">
        <v>0.163</v>
      </c>
    </row>
    <row r="833" spans="1:13">
      <c r="A833" s="1">
        <f>HYPERLINK("http://www.twitter.com/NathanBLawrence/status/986702629865709568", "986702629865709568")</f>
        <v/>
      </c>
      <c r="B833" s="2" t="n">
        <v>43208.85200231482</v>
      </c>
      <c r="C833" t="n">
        <v>74</v>
      </c>
      <c r="D833" t="n">
        <v>48</v>
      </c>
      <c r="E833" t="s">
        <v>837</v>
      </c>
      <c r="F833">
        <f>HYPERLINK("http://pbs.twimg.com/media/DbF4wD3WAAUaO-r.jpg", "http://pbs.twimg.com/media/DbF4wD3WAAUaO-r.jpg")</f>
        <v/>
      </c>
      <c r="G833" t="s"/>
      <c r="H833" t="s"/>
      <c r="I833" t="s"/>
      <c r="J833" t="n">
        <v>0.9347</v>
      </c>
      <c r="K833" t="n">
        <v>0</v>
      </c>
      <c r="L833" t="n">
        <v>0.733</v>
      </c>
      <c r="M833" t="n">
        <v>0.267</v>
      </c>
    </row>
    <row r="834" spans="1:13">
      <c r="A834" s="1">
        <f>HYPERLINK("http://www.twitter.com/NathanBLawrence/status/986697184983834624", "986697184983834624")</f>
        <v/>
      </c>
      <c r="B834" s="2" t="n">
        <v>43208.83697916667</v>
      </c>
      <c r="C834" t="n">
        <v>1</v>
      </c>
      <c r="D834" t="n">
        <v>0</v>
      </c>
      <c r="E834" t="s">
        <v>838</v>
      </c>
      <c r="F834">
        <f>HYPERLINK("http://pbs.twimg.com/media/DbFz2uVXkAA7y7V.jpg", "http://pbs.twimg.com/media/DbFz2uVXkAA7y7V.jpg")</f>
        <v/>
      </c>
      <c r="G834" t="s"/>
      <c r="H834" t="s"/>
      <c r="I834" t="s"/>
      <c r="J834" t="n">
        <v>-0.8587</v>
      </c>
      <c r="K834" t="n">
        <v>0.196</v>
      </c>
      <c r="L834" t="n">
        <v>0.804</v>
      </c>
      <c r="M834" t="n">
        <v>0</v>
      </c>
    </row>
    <row r="835" spans="1:13">
      <c r="A835" s="1">
        <f>HYPERLINK("http://www.twitter.com/NathanBLawrence/status/986691432009388032", "986691432009388032")</f>
        <v/>
      </c>
      <c r="B835" s="2" t="n">
        <v>43208.82109953704</v>
      </c>
      <c r="C835" t="n">
        <v>0</v>
      </c>
      <c r="D835" t="n">
        <v>0</v>
      </c>
      <c r="E835" t="s">
        <v>839</v>
      </c>
      <c r="F835">
        <f>HYPERLINK("http://pbs.twimg.com/media/DbFumJDWAAEUrHl.jpg", "http://pbs.twimg.com/media/DbFumJDWAAEUrHl.jpg")</f>
        <v/>
      </c>
      <c r="G835" t="s"/>
      <c r="H835" t="s"/>
      <c r="I835" t="s"/>
      <c r="J835" t="n">
        <v>-0.8591</v>
      </c>
      <c r="K835" t="n">
        <v>0.191</v>
      </c>
      <c r="L835" t="n">
        <v>0.745</v>
      </c>
      <c r="M835" t="n">
        <v>0.064</v>
      </c>
    </row>
    <row r="836" spans="1:13">
      <c r="A836" s="1">
        <f>HYPERLINK("http://www.twitter.com/NathanBLawrence/status/986688092215173127", "986688092215173127")</f>
        <v/>
      </c>
      <c r="B836" s="2" t="n">
        <v>43208.81188657408</v>
      </c>
      <c r="C836" t="n">
        <v>0</v>
      </c>
      <c r="D836" t="n">
        <v>0</v>
      </c>
      <c r="E836" t="s">
        <v>840</v>
      </c>
      <c r="F836" t="s"/>
      <c r="G836" t="s"/>
      <c r="H836" t="s"/>
      <c r="I836" t="s"/>
      <c r="J836" t="n">
        <v>0</v>
      </c>
      <c r="K836" t="n">
        <v>0</v>
      </c>
      <c r="L836" t="n">
        <v>1</v>
      </c>
      <c r="M836" t="n">
        <v>0</v>
      </c>
    </row>
    <row r="837" spans="1:13">
      <c r="A837" s="1">
        <f>HYPERLINK("http://www.twitter.com/NathanBLawrence/status/986687782423814145", "986687782423814145")</f>
        <v/>
      </c>
      <c r="B837" s="2" t="n">
        <v>43208.81103009259</v>
      </c>
      <c r="C837" t="n">
        <v>0</v>
      </c>
      <c r="D837" t="n">
        <v>0</v>
      </c>
      <c r="E837" t="s">
        <v>841</v>
      </c>
      <c r="F837">
        <f>HYPERLINK("http://pbs.twimg.com/media/DbFrRt2W0AEKlHf.jpg", "http://pbs.twimg.com/media/DbFrRt2W0AEKlHf.jpg")</f>
        <v/>
      </c>
      <c r="G837" t="s"/>
      <c r="H837" t="s"/>
      <c r="I837" t="s"/>
      <c r="J837" t="n">
        <v>-0.8708</v>
      </c>
      <c r="K837" t="n">
        <v>0.203</v>
      </c>
      <c r="L837" t="n">
        <v>0.731</v>
      </c>
      <c r="M837" t="n">
        <v>0.066</v>
      </c>
    </row>
    <row r="838" spans="1:13">
      <c r="A838" s="1">
        <f>HYPERLINK("http://www.twitter.com/NathanBLawrence/status/986686729590583303", "986686729590583303")</f>
        <v/>
      </c>
      <c r="B838" s="2" t="n">
        <v>43208.808125</v>
      </c>
      <c r="C838" t="n">
        <v>0</v>
      </c>
      <c r="D838" t="n">
        <v>0</v>
      </c>
      <c r="E838" t="s">
        <v>842</v>
      </c>
      <c r="F838" t="s"/>
      <c r="G838" t="s"/>
      <c r="H838" t="s"/>
      <c r="I838" t="s"/>
      <c r="J838" t="n">
        <v>0.7269</v>
      </c>
      <c r="K838" t="n">
        <v>0</v>
      </c>
      <c r="L838" t="n">
        <v>0.711</v>
      </c>
      <c r="M838" t="n">
        <v>0.289</v>
      </c>
    </row>
    <row r="839" spans="1:13">
      <c r="A839" s="1">
        <f>HYPERLINK("http://www.twitter.com/NathanBLawrence/status/986682259804770304", "986682259804770304")</f>
        <v/>
      </c>
      <c r="B839" s="2" t="n">
        <v>43208.79579861111</v>
      </c>
      <c r="C839" t="n">
        <v>0</v>
      </c>
      <c r="D839" t="n">
        <v>5</v>
      </c>
      <c r="E839" t="s">
        <v>843</v>
      </c>
      <c r="F839" t="s"/>
      <c r="G839" t="s"/>
      <c r="H839" t="s"/>
      <c r="I839" t="s"/>
      <c r="J839" t="n">
        <v>0.1779</v>
      </c>
      <c r="K839" t="n">
        <v>0.08400000000000001</v>
      </c>
      <c r="L839" t="n">
        <v>0.803</v>
      </c>
      <c r="M839" t="n">
        <v>0.112</v>
      </c>
    </row>
    <row r="840" spans="1:13">
      <c r="A840" s="1">
        <f>HYPERLINK("http://www.twitter.com/NathanBLawrence/status/986676803514388480", "986676803514388480")</f>
        <v/>
      </c>
      <c r="B840" s="2" t="n">
        <v>43208.78074074074</v>
      </c>
      <c r="C840" t="n">
        <v>0</v>
      </c>
      <c r="D840" t="n">
        <v>3</v>
      </c>
      <c r="E840" t="s">
        <v>844</v>
      </c>
      <c r="F840" t="s"/>
      <c r="G840" t="s"/>
      <c r="H840" t="s"/>
      <c r="I840" t="s"/>
      <c r="J840" t="n">
        <v>0</v>
      </c>
      <c r="K840" t="n">
        <v>0</v>
      </c>
      <c r="L840" t="n">
        <v>1</v>
      </c>
      <c r="M840" t="n">
        <v>0</v>
      </c>
    </row>
    <row r="841" spans="1:13">
      <c r="A841" s="1">
        <f>HYPERLINK("http://www.twitter.com/NathanBLawrence/status/986666920551297025", "986666920551297025")</f>
        <v/>
      </c>
      <c r="B841" s="2" t="n">
        <v>43208.75346064815</v>
      </c>
      <c r="C841" t="n">
        <v>0</v>
      </c>
      <c r="D841" t="n">
        <v>3</v>
      </c>
      <c r="E841" t="s">
        <v>845</v>
      </c>
      <c r="F841" t="s"/>
      <c r="G841" t="s"/>
      <c r="H841" t="s"/>
      <c r="I841" t="s"/>
      <c r="J841" t="n">
        <v>0.7605</v>
      </c>
      <c r="K841" t="n">
        <v>0</v>
      </c>
      <c r="L841" t="n">
        <v>0.716</v>
      </c>
      <c r="M841" t="n">
        <v>0.284</v>
      </c>
    </row>
    <row r="842" spans="1:13">
      <c r="A842" s="1">
        <f>HYPERLINK("http://www.twitter.com/NathanBLawrence/status/986657302370553856", "986657302370553856")</f>
        <v/>
      </c>
      <c r="B842" s="2" t="n">
        <v>43208.72692129629</v>
      </c>
      <c r="C842" t="n">
        <v>2</v>
      </c>
      <c r="D842" t="n">
        <v>1</v>
      </c>
      <c r="E842" t="s">
        <v>846</v>
      </c>
      <c r="F842">
        <f>HYPERLINK("http://pbs.twimg.com/media/DbFPjdpUMAUT41-.jpg", "http://pbs.twimg.com/media/DbFPjdpUMAUT41-.jpg")</f>
        <v/>
      </c>
      <c r="G842" t="s"/>
      <c r="H842" t="s"/>
      <c r="I842" t="s"/>
      <c r="J842" t="n">
        <v>0.8682</v>
      </c>
      <c r="K842" t="n">
        <v>0</v>
      </c>
      <c r="L842" t="n">
        <v>0.8</v>
      </c>
      <c r="M842" t="n">
        <v>0.2</v>
      </c>
    </row>
    <row r="843" spans="1:13">
      <c r="A843" s="1">
        <f>HYPERLINK("http://www.twitter.com/NathanBLawrence/status/986655765233635328", "986655765233635328")</f>
        <v/>
      </c>
      <c r="B843" s="2" t="n">
        <v>43208.72268518519</v>
      </c>
      <c r="C843" t="n">
        <v>0</v>
      </c>
      <c r="D843" t="n">
        <v>0</v>
      </c>
      <c r="E843" t="s">
        <v>847</v>
      </c>
      <c r="F843">
        <f>HYPERLINK("http://pbs.twimg.com/media/DbFOJ8mV4AE9FLM.jpg", "http://pbs.twimg.com/media/DbFOJ8mV4AE9FLM.jpg")</f>
        <v/>
      </c>
      <c r="G843" t="s"/>
      <c r="H843" t="s"/>
      <c r="I843" t="s"/>
      <c r="J843" t="n">
        <v>0.8682</v>
      </c>
      <c r="K843" t="n">
        <v>0</v>
      </c>
      <c r="L843" t="n">
        <v>0.8149999999999999</v>
      </c>
      <c r="M843" t="n">
        <v>0.185</v>
      </c>
    </row>
    <row r="844" spans="1:13">
      <c r="A844" s="1">
        <f>HYPERLINK("http://www.twitter.com/NathanBLawrence/status/986655048150249472", "986655048150249472")</f>
        <v/>
      </c>
      <c r="B844" s="2" t="n">
        <v>43208.72070601852</v>
      </c>
      <c r="C844" t="n">
        <v>0</v>
      </c>
      <c r="D844" t="n">
        <v>0</v>
      </c>
      <c r="E844" t="s">
        <v>848</v>
      </c>
      <c r="F844">
        <f>HYPERLINK("http://pbs.twimg.com/media/DbFNgJRXcAAZlSP.jpg", "http://pbs.twimg.com/media/DbFNgJRXcAAZlSP.jpg")</f>
        <v/>
      </c>
      <c r="G844" t="s"/>
      <c r="H844" t="s"/>
      <c r="I844" t="s"/>
      <c r="J844" t="n">
        <v>0.8682</v>
      </c>
      <c r="K844" t="n">
        <v>0</v>
      </c>
      <c r="L844" t="n">
        <v>0.8070000000000001</v>
      </c>
      <c r="M844" t="n">
        <v>0.193</v>
      </c>
    </row>
    <row r="845" spans="1:13">
      <c r="A845" s="1">
        <f>HYPERLINK("http://www.twitter.com/NathanBLawrence/status/986649750664511494", "986649750664511494")</f>
        <v/>
      </c>
      <c r="B845" s="2" t="n">
        <v>43208.70608796296</v>
      </c>
      <c r="C845" t="n">
        <v>1</v>
      </c>
      <c r="D845" t="n">
        <v>1</v>
      </c>
      <c r="E845" t="s">
        <v>849</v>
      </c>
      <c r="F845">
        <f>HYPERLINK("http://pbs.twimg.com/media/DbFIsrMX4AAtEFH.jpg", "http://pbs.twimg.com/media/DbFIsrMX4AAtEFH.jpg")</f>
        <v/>
      </c>
      <c r="G845" t="s"/>
      <c r="H845" t="s"/>
      <c r="I845" t="s"/>
      <c r="J845" t="n">
        <v>-0.6114000000000001</v>
      </c>
      <c r="K845" t="n">
        <v>0.123</v>
      </c>
      <c r="L845" t="n">
        <v>0.844</v>
      </c>
      <c r="M845" t="n">
        <v>0.033</v>
      </c>
    </row>
    <row r="846" spans="1:13">
      <c r="A846" s="1">
        <f>HYPERLINK("http://www.twitter.com/NathanBLawrence/status/986645138813440001", "986645138813440001")</f>
        <v/>
      </c>
      <c r="B846" s="2" t="n">
        <v>43208.69335648148</v>
      </c>
      <c r="C846" t="n">
        <v>2</v>
      </c>
      <c r="D846" t="n">
        <v>1</v>
      </c>
      <c r="E846" t="s">
        <v>850</v>
      </c>
      <c r="F846">
        <f>HYPERLINK("http://pbs.twimg.com/media/DbFEfnfXUAAGX4I.jpg", "http://pbs.twimg.com/media/DbFEfnfXUAAGX4I.jpg")</f>
        <v/>
      </c>
      <c r="G846" t="s"/>
      <c r="H846" t="s"/>
      <c r="I846" t="s"/>
      <c r="J846" t="n">
        <v>-0.8708</v>
      </c>
      <c r="K846" t="n">
        <v>0.203</v>
      </c>
      <c r="L846" t="n">
        <v>0.731</v>
      </c>
      <c r="M846" t="n">
        <v>0.066</v>
      </c>
    </row>
    <row r="847" spans="1:13">
      <c r="A847" s="1">
        <f>HYPERLINK("http://www.twitter.com/NathanBLawrence/status/986644693130862592", "986644693130862592")</f>
        <v/>
      </c>
      <c r="B847" s="2" t="n">
        <v>43208.69212962963</v>
      </c>
      <c r="C847" t="n">
        <v>0</v>
      </c>
      <c r="D847" t="n">
        <v>0</v>
      </c>
      <c r="E847" t="s">
        <v>851</v>
      </c>
      <c r="F847">
        <f>HYPERLINK("http://pbs.twimg.com/media/DbFEF6sW0AE590I.jpg", "http://pbs.twimg.com/media/DbFEF6sW0AE590I.jpg")</f>
        <v/>
      </c>
      <c r="G847" t="s"/>
      <c r="H847" t="s"/>
      <c r="I847" t="s"/>
      <c r="J847" t="n">
        <v>-0.8708</v>
      </c>
      <c r="K847" t="n">
        <v>0.203</v>
      </c>
      <c r="L847" t="n">
        <v>0.731</v>
      </c>
      <c r="M847" t="n">
        <v>0.066</v>
      </c>
    </row>
    <row r="848" spans="1:13">
      <c r="A848" s="1">
        <f>HYPERLINK("http://www.twitter.com/NathanBLawrence/status/986637301550759936", "986637301550759936")</f>
        <v/>
      </c>
      <c r="B848" s="2" t="n">
        <v>43208.67173611111</v>
      </c>
      <c r="C848" t="n">
        <v>0</v>
      </c>
      <c r="D848" t="n">
        <v>32</v>
      </c>
      <c r="E848" t="s">
        <v>852</v>
      </c>
      <c r="F848" t="s"/>
      <c r="G848" t="s"/>
      <c r="H848" t="s"/>
      <c r="I848" t="s"/>
      <c r="J848" t="n">
        <v>0.7096</v>
      </c>
      <c r="K848" t="n">
        <v>0</v>
      </c>
      <c r="L848" t="n">
        <v>0.67</v>
      </c>
      <c r="M848" t="n">
        <v>0.33</v>
      </c>
    </row>
    <row r="849" spans="1:13">
      <c r="A849" s="1">
        <f>HYPERLINK("http://www.twitter.com/NathanBLawrence/status/986637287596445696", "986637287596445696")</f>
        <v/>
      </c>
      <c r="B849" s="2" t="n">
        <v>43208.67168981482</v>
      </c>
      <c r="C849" t="n">
        <v>0</v>
      </c>
      <c r="D849" t="n">
        <v>21</v>
      </c>
      <c r="E849" t="s">
        <v>853</v>
      </c>
      <c r="F849" t="s"/>
      <c r="G849" t="s"/>
      <c r="H849" t="s"/>
      <c r="I849" t="s"/>
      <c r="J849" t="n">
        <v>0</v>
      </c>
      <c r="K849" t="n">
        <v>0</v>
      </c>
      <c r="L849" t="n">
        <v>1</v>
      </c>
      <c r="M849" t="n">
        <v>0</v>
      </c>
    </row>
    <row r="850" spans="1:13">
      <c r="A850" s="1">
        <f>HYPERLINK("http://www.twitter.com/NathanBLawrence/status/986636553438023685", "986636553438023685")</f>
        <v/>
      </c>
      <c r="B850" s="2" t="n">
        <v>43208.66966435185</v>
      </c>
      <c r="C850" t="n">
        <v>0</v>
      </c>
      <c r="D850" t="n">
        <v>11</v>
      </c>
      <c r="E850" t="s">
        <v>854</v>
      </c>
      <c r="F850" t="s"/>
      <c r="G850" t="s"/>
      <c r="H850" t="s"/>
      <c r="I850" t="s"/>
      <c r="J850" t="n">
        <v>0.4588</v>
      </c>
      <c r="K850" t="n">
        <v>0</v>
      </c>
      <c r="L850" t="n">
        <v>0.789</v>
      </c>
      <c r="M850" t="n">
        <v>0.211</v>
      </c>
    </row>
    <row r="851" spans="1:13">
      <c r="A851" s="1">
        <f>HYPERLINK("http://www.twitter.com/NathanBLawrence/status/986632423948652544", "986632423948652544")</f>
        <v/>
      </c>
      <c r="B851" s="2" t="n">
        <v>43208.65827546296</v>
      </c>
      <c r="C851" t="n">
        <v>0</v>
      </c>
      <c r="D851" t="n">
        <v>11</v>
      </c>
      <c r="E851" t="s">
        <v>855</v>
      </c>
      <c r="F851" t="s"/>
      <c r="G851" t="s"/>
      <c r="H851" t="s"/>
      <c r="I851" t="s"/>
      <c r="J851" t="n">
        <v>0.2263</v>
      </c>
      <c r="K851" t="n">
        <v>0</v>
      </c>
      <c r="L851" t="n">
        <v>0.899</v>
      </c>
      <c r="M851" t="n">
        <v>0.101</v>
      </c>
    </row>
    <row r="852" spans="1:13">
      <c r="A852" s="1">
        <f>HYPERLINK("http://www.twitter.com/NathanBLawrence/status/986632423663337473", "986632423663337473")</f>
        <v/>
      </c>
      <c r="B852" s="2" t="n">
        <v>43208.65827546296</v>
      </c>
      <c r="C852" t="n">
        <v>0</v>
      </c>
      <c r="D852" t="n">
        <v>3</v>
      </c>
      <c r="E852" t="s">
        <v>856</v>
      </c>
      <c r="F852" t="s"/>
      <c r="G852" t="s"/>
      <c r="H852" t="s"/>
      <c r="I852" t="s"/>
      <c r="J852" t="n">
        <v>-0.3016</v>
      </c>
      <c r="K852" t="n">
        <v>0.154</v>
      </c>
      <c r="L852" t="n">
        <v>0.743</v>
      </c>
      <c r="M852" t="n">
        <v>0.103</v>
      </c>
    </row>
    <row r="853" spans="1:13">
      <c r="A853" s="1">
        <f>HYPERLINK("http://www.twitter.com/NathanBLawrence/status/986631328463540224", "986631328463540224")</f>
        <v/>
      </c>
      <c r="B853" s="2" t="n">
        <v>43208.65525462963</v>
      </c>
      <c r="C853" t="n">
        <v>4</v>
      </c>
      <c r="D853" t="n">
        <v>3</v>
      </c>
      <c r="E853" t="s">
        <v>857</v>
      </c>
      <c r="F853" t="s"/>
      <c r="G853" t="s"/>
      <c r="H853" t="s"/>
      <c r="I853" t="s"/>
      <c r="J853" t="n">
        <v>0.8306</v>
      </c>
      <c r="K853" t="n">
        <v>0.174</v>
      </c>
      <c r="L853" t="n">
        <v>0.501</v>
      </c>
      <c r="M853" t="n">
        <v>0.325</v>
      </c>
    </row>
    <row r="854" spans="1:13">
      <c r="A854" s="1">
        <f>HYPERLINK("http://www.twitter.com/NathanBLawrence/status/986628288562024448", "986628288562024448")</f>
        <v/>
      </c>
      <c r="B854" s="2" t="n">
        <v>43208.64686342593</v>
      </c>
      <c r="C854" t="n">
        <v>5</v>
      </c>
      <c r="D854" t="n">
        <v>1</v>
      </c>
      <c r="E854" t="s">
        <v>858</v>
      </c>
      <c r="F854" t="s"/>
      <c r="G854" t="s"/>
      <c r="H854" t="s"/>
      <c r="I854" t="s"/>
      <c r="J854" t="n">
        <v>0</v>
      </c>
      <c r="K854" t="n">
        <v>0</v>
      </c>
      <c r="L854" t="n">
        <v>1</v>
      </c>
      <c r="M854" t="n">
        <v>0</v>
      </c>
    </row>
    <row r="855" spans="1:13">
      <c r="A855" s="1">
        <f>HYPERLINK("http://www.twitter.com/NathanBLawrence/status/986627759014367232", "986627759014367232")</f>
        <v/>
      </c>
      <c r="B855" s="2" t="n">
        <v>43208.64540509259</v>
      </c>
      <c r="C855" t="n">
        <v>2</v>
      </c>
      <c r="D855" t="n">
        <v>2</v>
      </c>
      <c r="E855" t="s">
        <v>859</v>
      </c>
      <c r="F855" t="s"/>
      <c r="G855" t="s"/>
      <c r="H855" t="s"/>
      <c r="I855" t="s"/>
      <c r="J855" t="n">
        <v>0</v>
      </c>
      <c r="K855" t="n">
        <v>0</v>
      </c>
      <c r="L855" t="n">
        <v>1</v>
      </c>
      <c r="M855" t="n">
        <v>0</v>
      </c>
    </row>
    <row r="856" spans="1:13">
      <c r="A856" s="1">
        <f>HYPERLINK("http://www.twitter.com/NathanBLawrence/status/986627365580230657", "986627365580230657")</f>
        <v/>
      </c>
      <c r="B856" s="2" t="n">
        <v>43208.64431712963</v>
      </c>
      <c r="C856" t="n">
        <v>0</v>
      </c>
      <c r="D856" t="n">
        <v>2</v>
      </c>
      <c r="E856" t="s">
        <v>860</v>
      </c>
      <c r="F856" t="s"/>
      <c r="G856" t="s"/>
      <c r="H856" t="s"/>
      <c r="I856" t="s"/>
      <c r="J856" t="n">
        <v>0.0258</v>
      </c>
      <c r="K856" t="n">
        <v>0</v>
      </c>
      <c r="L856" t="n">
        <v>0.9360000000000001</v>
      </c>
      <c r="M856" t="n">
        <v>0.064</v>
      </c>
    </row>
    <row r="857" spans="1:13">
      <c r="A857" s="1">
        <f>HYPERLINK("http://www.twitter.com/NathanBLawrence/status/986626892735401985", "986626892735401985")</f>
        <v/>
      </c>
      <c r="B857" s="2" t="n">
        <v>43208.64300925926</v>
      </c>
      <c r="C857" t="n">
        <v>2</v>
      </c>
      <c r="D857" t="n">
        <v>2</v>
      </c>
      <c r="E857" t="s">
        <v>861</v>
      </c>
      <c r="F857" t="s"/>
      <c r="G857" t="s"/>
      <c r="H857" t="s"/>
      <c r="I857" t="s"/>
      <c r="J857" t="n">
        <v>0.0258</v>
      </c>
      <c r="K857" t="n">
        <v>0</v>
      </c>
      <c r="L857" t="n">
        <v>0.962</v>
      </c>
      <c r="M857" t="n">
        <v>0.038</v>
      </c>
    </row>
    <row r="858" spans="1:13">
      <c r="A858" s="1">
        <f>HYPERLINK("http://www.twitter.com/NathanBLawrence/status/986624244074405890", "986624244074405890")</f>
        <v/>
      </c>
      <c r="B858" s="2" t="n">
        <v>43208.63570601852</v>
      </c>
      <c r="C858" t="n">
        <v>3</v>
      </c>
      <c r="D858" t="n">
        <v>1</v>
      </c>
      <c r="E858" t="s">
        <v>862</v>
      </c>
      <c r="F858" t="s"/>
      <c r="G858" t="s"/>
      <c r="H858" t="s"/>
      <c r="I858" t="s"/>
      <c r="J858" t="n">
        <v>0</v>
      </c>
      <c r="K858" t="n">
        <v>0</v>
      </c>
      <c r="L858" t="n">
        <v>1</v>
      </c>
      <c r="M858" t="n">
        <v>0</v>
      </c>
    </row>
    <row r="859" spans="1:13">
      <c r="A859" s="1">
        <f>HYPERLINK("http://www.twitter.com/NathanBLawrence/status/986616923613028357", "986616923613028357")</f>
        <v/>
      </c>
      <c r="B859" s="2" t="n">
        <v>43208.61549768518</v>
      </c>
      <c r="C859" t="n">
        <v>25</v>
      </c>
      <c r="D859" t="n">
        <v>25</v>
      </c>
      <c r="E859" t="s">
        <v>863</v>
      </c>
      <c r="F859">
        <f>HYPERLINK("http://pbs.twimg.com/media/DbEq08sX4AAfCiV.jpg", "http://pbs.twimg.com/media/DbEq08sX4AAfCiV.jpg")</f>
        <v/>
      </c>
      <c r="G859" t="s"/>
      <c r="H859" t="s"/>
      <c r="I859" t="s"/>
      <c r="J859" t="n">
        <v>0.9114</v>
      </c>
      <c r="K859" t="n">
        <v>0</v>
      </c>
      <c r="L859" t="n">
        <v>0.788</v>
      </c>
      <c r="M859" t="n">
        <v>0.212</v>
      </c>
    </row>
    <row r="860" spans="1:13">
      <c r="A860" s="1">
        <f>HYPERLINK("http://www.twitter.com/NathanBLawrence/status/986605950139281408", "986605950139281408")</f>
        <v/>
      </c>
      <c r="B860" s="2" t="n">
        <v>43208.58521990741</v>
      </c>
      <c r="C860" t="n">
        <v>0</v>
      </c>
      <c r="D860" t="n">
        <v>8</v>
      </c>
      <c r="E860" t="s">
        <v>864</v>
      </c>
      <c r="F860">
        <f>HYPERLINK("http://pbs.twimg.com/media/DbEaC_oUMAA81y7.jpg", "http://pbs.twimg.com/media/DbEaC_oUMAA81y7.jpg")</f>
        <v/>
      </c>
      <c r="G860" t="s"/>
      <c r="H860" t="s"/>
      <c r="I860" t="s"/>
      <c r="J860" t="n">
        <v>0.3182</v>
      </c>
      <c r="K860" t="n">
        <v>0</v>
      </c>
      <c r="L860" t="n">
        <v>0.901</v>
      </c>
      <c r="M860" t="n">
        <v>0.099</v>
      </c>
    </row>
    <row r="861" spans="1:13">
      <c r="A861" s="1">
        <f>HYPERLINK("http://www.twitter.com/NathanBLawrence/status/986605029829332992", "986605029829332992")</f>
        <v/>
      </c>
      <c r="B861" s="2" t="n">
        <v>43208.58268518518</v>
      </c>
      <c r="C861" t="n">
        <v>4</v>
      </c>
      <c r="D861" t="n">
        <v>1</v>
      </c>
      <c r="E861" t="s">
        <v>865</v>
      </c>
      <c r="F861" t="s"/>
      <c r="G861" t="s"/>
      <c r="H861" t="s"/>
      <c r="I861" t="s"/>
      <c r="J861" t="n">
        <v>-0.869</v>
      </c>
      <c r="K861" t="n">
        <v>0.22</v>
      </c>
      <c r="L861" t="n">
        <v>0.729</v>
      </c>
      <c r="M861" t="n">
        <v>0.05</v>
      </c>
    </row>
    <row r="862" spans="1:13">
      <c r="A862" s="1">
        <f>HYPERLINK("http://www.twitter.com/NathanBLawrence/status/986601519784001536", "986601519784001536")</f>
        <v/>
      </c>
      <c r="B862" s="2" t="n">
        <v>43208.57299768519</v>
      </c>
      <c r="C862" t="n">
        <v>0</v>
      </c>
      <c r="D862" t="n">
        <v>9</v>
      </c>
      <c r="E862" t="s">
        <v>866</v>
      </c>
      <c r="F862" t="s"/>
      <c r="G862" t="s"/>
      <c r="H862" t="s"/>
      <c r="I862" t="s"/>
      <c r="J862" t="n">
        <v>0</v>
      </c>
      <c r="K862" t="n">
        <v>0</v>
      </c>
      <c r="L862" t="n">
        <v>1</v>
      </c>
      <c r="M862" t="n">
        <v>0</v>
      </c>
    </row>
    <row r="863" spans="1:13">
      <c r="A863" s="1">
        <f>HYPERLINK("http://www.twitter.com/NathanBLawrence/status/986601436220936193", "986601436220936193")</f>
        <v/>
      </c>
      <c r="B863" s="2" t="n">
        <v>43208.5727662037</v>
      </c>
      <c r="C863" t="n">
        <v>0</v>
      </c>
      <c r="D863" t="n">
        <v>10</v>
      </c>
      <c r="E863" t="s">
        <v>866</v>
      </c>
      <c r="F863">
        <f>HYPERLINK("http://pbs.twimg.com/media/DbBxVBoV4AEdfvH.jpg", "http://pbs.twimg.com/media/DbBxVBoV4AEdfvH.jpg")</f>
        <v/>
      </c>
      <c r="G863" t="s"/>
      <c r="H863" t="s"/>
      <c r="I863" t="s"/>
      <c r="J863" t="n">
        <v>0</v>
      </c>
      <c r="K863" t="n">
        <v>0</v>
      </c>
      <c r="L863" t="n">
        <v>1</v>
      </c>
      <c r="M863" t="n">
        <v>0</v>
      </c>
    </row>
    <row r="864" spans="1:13">
      <c r="A864" s="1">
        <f>HYPERLINK("http://www.twitter.com/NathanBLawrence/status/986503821353472001", "986503821353472001")</f>
        <v/>
      </c>
      <c r="B864" s="2" t="n">
        <v>43208.30340277778</v>
      </c>
      <c r="C864" t="n">
        <v>1</v>
      </c>
      <c r="D864" t="n">
        <v>1</v>
      </c>
      <c r="E864" t="s">
        <v>867</v>
      </c>
      <c r="F864" t="s"/>
      <c r="G864" t="s"/>
      <c r="H864" t="s"/>
      <c r="I864" t="s"/>
      <c r="J864" t="n">
        <v>0</v>
      </c>
      <c r="K864" t="n">
        <v>0</v>
      </c>
      <c r="L864" t="n">
        <v>1</v>
      </c>
      <c r="M864" t="n">
        <v>0</v>
      </c>
    </row>
    <row r="865" spans="1:13">
      <c r="A865" s="1">
        <f>HYPERLINK("http://www.twitter.com/NathanBLawrence/status/986502351208017920", "986502351208017920")</f>
        <v/>
      </c>
      <c r="B865" s="2" t="n">
        <v>43208.29934027778</v>
      </c>
      <c r="C865" t="n">
        <v>0</v>
      </c>
      <c r="D865" t="n">
        <v>2</v>
      </c>
      <c r="E865" t="s">
        <v>868</v>
      </c>
      <c r="F865">
        <f>HYPERLINK("http://pbs.twimg.com/media/DbDB1O5XUAAlA5D.jpg", "http://pbs.twimg.com/media/DbDB1O5XUAAlA5D.jpg")</f>
        <v/>
      </c>
      <c r="G865" t="s"/>
      <c r="H865" t="s"/>
      <c r="I865" t="s"/>
      <c r="J865" t="n">
        <v>0.765</v>
      </c>
      <c r="K865" t="n">
        <v>0</v>
      </c>
      <c r="L865" t="n">
        <v>0.72</v>
      </c>
      <c r="M865" t="n">
        <v>0.28</v>
      </c>
    </row>
    <row r="866" spans="1:13">
      <c r="A866" s="1">
        <f>HYPERLINK("http://www.twitter.com/NathanBLawrence/status/986501461180866560", "986501461180866560")</f>
        <v/>
      </c>
      <c r="B866" s="2" t="n">
        <v>43208.29688657408</v>
      </c>
      <c r="C866" t="n">
        <v>4</v>
      </c>
      <c r="D866" t="n">
        <v>2</v>
      </c>
      <c r="E866" t="s">
        <v>869</v>
      </c>
      <c r="F866">
        <f>HYPERLINK("http://pbs.twimg.com/media/DbDB1O5XUAAlA5D.jpg", "http://pbs.twimg.com/media/DbDB1O5XUAAlA5D.jpg")</f>
        <v/>
      </c>
      <c r="G866" t="s"/>
      <c r="H866" t="s"/>
      <c r="I866" t="s"/>
      <c r="J866" t="n">
        <v>0.6369</v>
      </c>
      <c r="K866" t="n">
        <v>0</v>
      </c>
      <c r="L866" t="n">
        <v>0.881</v>
      </c>
      <c r="M866" t="n">
        <v>0.119</v>
      </c>
    </row>
    <row r="867" spans="1:13">
      <c r="A867" s="1">
        <f>HYPERLINK("http://www.twitter.com/NathanBLawrence/status/986475100378714112", "986475100378714112")</f>
        <v/>
      </c>
      <c r="B867" s="2" t="n">
        <v>43208.22414351852</v>
      </c>
      <c r="C867" t="n">
        <v>1</v>
      </c>
      <c r="D867" t="n">
        <v>1</v>
      </c>
      <c r="E867" t="s">
        <v>870</v>
      </c>
      <c r="F867">
        <f>HYPERLINK("http://pbs.twimg.com/media/DbCp1vYXcAAm52h.jpg", "http://pbs.twimg.com/media/DbCp1vYXcAAm52h.jpg")</f>
        <v/>
      </c>
      <c r="G867" t="s"/>
      <c r="H867" t="s"/>
      <c r="I867" t="s"/>
      <c r="J867" t="n">
        <v>-0.6203</v>
      </c>
      <c r="K867" t="n">
        <v>0.08400000000000001</v>
      </c>
      <c r="L867" t="n">
        <v>0.883</v>
      </c>
      <c r="M867" t="n">
        <v>0.033</v>
      </c>
    </row>
    <row r="868" spans="1:13">
      <c r="A868" s="1">
        <f>HYPERLINK("http://www.twitter.com/NathanBLawrence/status/986473281661423616", "986473281661423616")</f>
        <v/>
      </c>
      <c r="B868" s="2" t="n">
        <v>43208.21912037037</v>
      </c>
      <c r="C868" t="n">
        <v>2</v>
      </c>
      <c r="D868" t="n">
        <v>1</v>
      </c>
      <c r="E868" t="s">
        <v>871</v>
      </c>
      <c r="F868" t="s"/>
      <c r="G868" t="s"/>
      <c r="H868" t="s"/>
      <c r="I868" t="s"/>
      <c r="J868" t="n">
        <v>-0.6203</v>
      </c>
      <c r="K868" t="n">
        <v>0.08500000000000001</v>
      </c>
      <c r="L868" t="n">
        <v>0.882</v>
      </c>
      <c r="M868" t="n">
        <v>0.033</v>
      </c>
    </row>
    <row r="869" spans="1:13">
      <c r="A869" s="1">
        <f>HYPERLINK("http://www.twitter.com/NathanBLawrence/status/986462177988050944", "986462177988050944")</f>
        <v/>
      </c>
      <c r="B869" s="2" t="n">
        <v>43208.18848379629</v>
      </c>
      <c r="C869" t="n">
        <v>0</v>
      </c>
      <c r="D869" t="n">
        <v>0</v>
      </c>
      <c r="E869" t="s">
        <v>872</v>
      </c>
      <c r="F869" t="s"/>
      <c r="G869" t="s"/>
      <c r="H869" t="s"/>
      <c r="I869" t="s"/>
      <c r="J869" t="n">
        <v>0.5067</v>
      </c>
      <c r="K869" t="n">
        <v>0.1</v>
      </c>
      <c r="L869" t="n">
        <v>0.745</v>
      </c>
      <c r="M869" t="n">
        <v>0.155</v>
      </c>
    </row>
    <row r="870" spans="1:13">
      <c r="A870" s="1">
        <f>HYPERLINK("http://www.twitter.com/NathanBLawrence/status/986445689046650886", "986445689046650886")</f>
        <v/>
      </c>
      <c r="B870" s="2" t="n">
        <v>43208.14298611111</v>
      </c>
      <c r="C870" t="n">
        <v>0</v>
      </c>
      <c r="D870" t="n">
        <v>18</v>
      </c>
      <c r="E870" t="s">
        <v>873</v>
      </c>
      <c r="F870" t="s"/>
      <c r="G870" t="s"/>
      <c r="H870" t="s"/>
      <c r="I870" t="s"/>
      <c r="J870" t="n">
        <v>0</v>
      </c>
      <c r="K870" t="n">
        <v>0</v>
      </c>
      <c r="L870" t="n">
        <v>1</v>
      </c>
      <c r="M870" t="n">
        <v>0</v>
      </c>
    </row>
    <row r="871" spans="1:13">
      <c r="A871" s="1">
        <f>HYPERLINK("http://www.twitter.com/NathanBLawrence/status/986444379337478144", "986444379337478144")</f>
        <v/>
      </c>
      <c r="B871" s="2" t="n">
        <v>43208.13936342593</v>
      </c>
      <c r="C871" t="n">
        <v>31</v>
      </c>
      <c r="D871" t="n">
        <v>18</v>
      </c>
      <c r="E871" t="s">
        <v>874</v>
      </c>
      <c r="F871" t="s"/>
      <c r="G871" t="s"/>
      <c r="H871" t="s"/>
      <c r="I871" t="s"/>
      <c r="J871" t="n">
        <v>0</v>
      </c>
      <c r="K871" t="n">
        <v>0</v>
      </c>
      <c r="L871" t="n">
        <v>1</v>
      </c>
      <c r="M871" t="n">
        <v>0</v>
      </c>
    </row>
    <row r="872" spans="1:13">
      <c r="A872" s="1">
        <f>HYPERLINK("http://www.twitter.com/NathanBLawrence/status/986426013096685568", "986426013096685568")</f>
        <v/>
      </c>
      <c r="B872" s="2" t="n">
        <v>43208.08869212963</v>
      </c>
      <c r="C872" t="n">
        <v>0</v>
      </c>
      <c r="D872" t="n">
        <v>6</v>
      </c>
      <c r="E872" t="s">
        <v>875</v>
      </c>
      <c r="F872" t="s"/>
      <c r="G872" t="s"/>
      <c r="H872" t="s"/>
      <c r="I872" t="s"/>
      <c r="J872" t="n">
        <v>-0.2023</v>
      </c>
      <c r="K872" t="n">
        <v>0.125</v>
      </c>
      <c r="L872" t="n">
        <v>0.781</v>
      </c>
      <c r="M872" t="n">
        <v>0.094</v>
      </c>
    </row>
    <row r="873" spans="1:13">
      <c r="A873" s="1">
        <f>HYPERLINK("http://www.twitter.com/NathanBLawrence/status/986414228444762113", "986414228444762113")</f>
        <v/>
      </c>
      <c r="B873" s="2" t="n">
        <v>43208.05616898148</v>
      </c>
      <c r="C873" t="n">
        <v>0</v>
      </c>
      <c r="D873" t="n">
        <v>2</v>
      </c>
      <c r="E873" t="s">
        <v>876</v>
      </c>
      <c r="F873" t="s"/>
      <c r="G873" t="s"/>
      <c r="H873" t="s"/>
      <c r="I873" t="s"/>
      <c r="J873" t="n">
        <v>0</v>
      </c>
      <c r="K873" t="n">
        <v>0</v>
      </c>
      <c r="L873" t="n">
        <v>1</v>
      </c>
      <c r="M873" t="n">
        <v>0</v>
      </c>
    </row>
    <row r="874" spans="1:13">
      <c r="A874" s="1">
        <f>HYPERLINK("http://www.twitter.com/NathanBLawrence/status/986412498835386368", "986412498835386368")</f>
        <v/>
      </c>
      <c r="B874" s="2" t="n">
        <v>43208.05140046297</v>
      </c>
      <c r="C874" t="n">
        <v>9</v>
      </c>
      <c r="D874" t="n">
        <v>6</v>
      </c>
      <c r="E874" t="s">
        <v>877</v>
      </c>
      <c r="F874">
        <f>HYPERLINK("http://pbs.twimg.com/media/DbBw7mPW4AAScwf.jpg", "http://pbs.twimg.com/media/DbBw7mPW4AAScwf.jpg")</f>
        <v/>
      </c>
      <c r="G874" t="s"/>
      <c r="H874" t="s"/>
      <c r="I874" t="s"/>
      <c r="J874" t="n">
        <v>0.9637</v>
      </c>
      <c r="K874" t="n">
        <v>0.06900000000000001</v>
      </c>
      <c r="L874" t="n">
        <v>0.537</v>
      </c>
      <c r="M874" t="n">
        <v>0.394</v>
      </c>
    </row>
    <row r="875" spans="1:13">
      <c r="A875" s="1">
        <f>HYPERLINK("http://www.twitter.com/NathanBLawrence/status/986409302515732482", "986409302515732482")</f>
        <v/>
      </c>
      <c r="B875" s="2" t="n">
        <v>43208.04256944444</v>
      </c>
      <c r="C875" t="n">
        <v>0</v>
      </c>
      <c r="D875" t="n">
        <v>22</v>
      </c>
      <c r="E875" t="s">
        <v>878</v>
      </c>
      <c r="F875" t="s"/>
      <c r="G875" t="s"/>
      <c r="H875" t="s"/>
      <c r="I875" t="s"/>
      <c r="J875" t="n">
        <v>0.6037</v>
      </c>
      <c r="K875" t="n">
        <v>0</v>
      </c>
      <c r="L875" t="n">
        <v>0.859</v>
      </c>
      <c r="M875" t="n">
        <v>0.141</v>
      </c>
    </row>
    <row r="876" spans="1:13">
      <c r="A876" s="1">
        <f>HYPERLINK("http://www.twitter.com/NathanBLawrence/status/986408753938477057", "986408753938477057")</f>
        <v/>
      </c>
      <c r="B876" s="2" t="n">
        <v>43208.04106481482</v>
      </c>
      <c r="C876" t="n">
        <v>0</v>
      </c>
      <c r="D876" t="n">
        <v>8</v>
      </c>
      <c r="E876" t="s">
        <v>879</v>
      </c>
      <c r="F876" t="s"/>
      <c r="G876" t="s"/>
      <c r="H876" t="s"/>
      <c r="I876" t="s"/>
      <c r="J876" t="n">
        <v>0.9098000000000001</v>
      </c>
      <c r="K876" t="n">
        <v>0</v>
      </c>
      <c r="L876" t="n">
        <v>0.597</v>
      </c>
      <c r="M876" t="n">
        <v>0.403</v>
      </c>
    </row>
    <row r="877" spans="1:13">
      <c r="A877" s="1">
        <f>HYPERLINK("http://www.twitter.com/NathanBLawrence/status/986407988100567041", "986407988100567041")</f>
        <v/>
      </c>
      <c r="B877" s="2" t="n">
        <v>43208.03894675926</v>
      </c>
      <c r="C877" t="n">
        <v>11</v>
      </c>
      <c r="D877" t="n">
        <v>8</v>
      </c>
      <c r="E877" t="s">
        <v>880</v>
      </c>
      <c r="F877" t="s"/>
      <c r="G877" t="s"/>
      <c r="H877" t="s"/>
      <c r="I877" t="s"/>
      <c r="J877" t="n">
        <v>0.9637</v>
      </c>
      <c r="K877" t="n">
        <v>0.06900000000000001</v>
      </c>
      <c r="L877" t="n">
        <v>0.537</v>
      </c>
      <c r="M877" t="n">
        <v>0.394</v>
      </c>
    </row>
    <row r="878" spans="1:13">
      <c r="A878" s="1">
        <f>HYPERLINK("http://www.twitter.com/NathanBLawrence/status/986407478702346240", "986407478702346240")</f>
        <v/>
      </c>
      <c r="B878" s="2" t="n">
        <v>43208.0375462963</v>
      </c>
      <c r="C878" t="n">
        <v>1</v>
      </c>
      <c r="D878" t="n">
        <v>1</v>
      </c>
      <c r="E878" t="s">
        <v>881</v>
      </c>
      <c r="F878" t="s"/>
      <c r="G878" t="s"/>
      <c r="H878" t="s"/>
      <c r="I878" t="s"/>
      <c r="J878" t="n">
        <v>0.9637</v>
      </c>
      <c r="K878" t="n">
        <v>0.067</v>
      </c>
      <c r="L878" t="n">
        <v>0.552</v>
      </c>
      <c r="M878" t="n">
        <v>0.382</v>
      </c>
    </row>
    <row r="879" spans="1:13">
      <c r="A879" s="1">
        <f>HYPERLINK("http://www.twitter.com/NathanBLawrence/status/986404268465942528", "986404268465942528")</f>
        <v/>
      </c>
      <c r="B879" s="2" t="n">
        <v>43208.02868055556</v>
      </c>
      <c r="C879" t="n">
        <v>0</v>
      </c>
      <c r="D879" t="n">
        <v>9</v>
      </c>
      <c r="E879" t="s">
        <v>882</v>
      </c>
      <c r="F879" t="s"/>
      <c r="G879" t="s"/>
      <c r="H879" t="s"/>
      <c r="I879" t="s"/>
      <c r="J879" t="n">
        <v>0.1695</v>
      </c>
      <c r="K879" t="n">
        <v>0</v>
      </c>
      <c r="L879" t="n">
        <v>0.926</v>
      </c>
      <c r="M879" t="n">
        <v>0.074</v>
      </c>
    </row>
    <row r="880" spans="1:13">
      <c r="A880" s="1">
        <f>HYPERLINK("http://www.twitter.com/NathanBLawrence/status/986399342671081472", "986399342671081472")</f>
        <v/>
      </c>
      <c r="B880" s="2" t="n">
        <v>43208.01509259259</v>
      </c>
      <c r="C880" t="n">
        <v>0</v>
      </c>
      <c r="D880" t="n">
        <v>0</v>
      </c>
      <c r="E880" t="s">
        <v>883</v>
      </c>
      <c r="F880" t="s"/>
      <c r="G880" t="s"/>
      <c r="H880" t="s"/>
      <c r="I880" t="s"/>
      <c r="J880" t="n">
        <v>0.7308</v>
      </c>
      <c r="K880" t="n">
        <v>0</v>
      </c>
      <c r="L880" t="n">
        <v>0.755</v>
      </c>
      <c r="M880" t="n">
        <v>0.245</v>
      </c>
    </row>
    <row r="881" spans="1:13">
      <c r="A881" s="1">
        <f>HYPERLINK("http://www.twitter.com/NathanBLawrence/status/986381081589972992", "986381081589972992")</f>
        <v/>
      </c>
      <c r="B881" s="2" t="n">
        <v>43207.96469907407</v>
      </c>
      <c r="C881" t="n">
        <v>0</v>
      </c>
      <c r="D881" t="n">
        <v>17</v>
      </c>
      <c r="E881" t="s">
        <v>884</v>
      </c>
      <c r="F881">
        <f>HYPERLINK("https://video.twimg.com/ext_tw_video/986235469112532992/pu/vid/720x1280/giqgUq3TyLXG_aCA.mp4?tag=2", "https://video.twimg.com/ext_tw_video/986235469112532992/pu/vid/720x1280/giqgUq3TyLXG_aCA.mp4?tag=2")</f>
        <v/>
      </c>
      <c r="G881" t="s"/>
      <c r="H881" t="s"/>
      <c r="I881" t="s"/>
      <c r="J881" t="n">
        <v>-0.3818</v>
      </c>
      <c r="K881" t="n">
        <v>0.133</v>
      </c>
      <c r="L881" t="n">
        <v>0.867</v>
      </c>
      <c r="M881" t="n">
        <v>0</v>
      </c>
    </row>
    <row r="882" spans="1:13">
      <c r="A882" s="1">
        <f>HYPERLINK("http://www.twitter.com/NathanBLawrence/status/986379748405317635", "986379748405317635")</f>
        <v/>
      </c>
      <c r="B882" s="2" t="n">
        <v>43207.96101851852</v>
      </c>
      <c r="C882" t="n">
        <v>0</v>
      </c>
      <c r="D882" t="n">
        <v>5</v>
      </c>
      <c r="E882" t="s">
        <v>885</v>
      </c>
      <c r="F882" t="s"/>
      <c r="G882" t="s"/>
      <c r="H882" t="s"/>
      <c r="I882" t="s"/>
      <c r="J882" t="n">
        <v>0.2732</v>
      </c>
      <c r="K882" t="n">
        <v>0</v>
      </c>
      <c r="L882" t="n">
        <v>0.87</v>
      </c>
      <c r="M882" t="n">
        <v>0.13</v>
      </c>
    </row>
    <row r="883" spans="1:13">
      <c r="A883" s="1">
        <f>HYPERLINK("http://www.twitter.com/NathanBLawrence/status/986378284677115905", "986378284677115905")</f>
        <v/>
      </c>
      <c r="B883" s="2" t="n">
        <v>43207.95697916667</v>
      </c>
      <c r="C883" t="n">
        <v>0</v>
      </c>
      <c r="D883" t="n">
        <v>17</v>
      </c>
      <c r="E883" t="s">
        <v>886</v>
      </c>
      <c r="F883" t="s"/>
      <c r="G883" t="s"/>
      <c r="H883" t="s"/>
      <c r="I883" t="s"/>
      <c r="J883" t="n">
        <v>0</v>
      </c>
      <c r="K883" t="n">
        <v>0</v>
      </c>
      <c r="L883" t="n">
        <v>1</v>
      </c>
      <c r="M883" t="n">
        <v>0</v>
      </c>
    </row>
    <row r="884" spans="1:13">
      <c r="A884" s="1">
        <f>HYPERLINK("http://www.twitter.com/NathanBLawrence/status/986361599689621504", "986361599689621504")</f>
        <v/>
      </c>
      <c r="B884" s="2" t="n">
        <v>43207.9109375</v>
      </c>
      <c r="C884" t="n">
        <v>0</v>
      </c>
      <c r="D884" t="n">
        <v>2</v>
      </c>
      <c r="E884" t="s">
        <v>887</v>
      </c>
      <c r="F884" t="s"/>
      <c r="G884" t="s"/>
      <c r="H884" t="s"/>
      <c r="I884" t="s"/>
      <c r="J884" t="n">
        <v>0</v>
      </c>
      <c r="K884" t="n">
        <v>0</v>
      </c>
      <c r="L884" t="n">
        <v>1</v>
      </c>
      <c r="M884" t="n">
        <v>0</v>
      </c>
    </row>
    <row r="885" spans="1:13">
      <c r="A885" s="1">
        <f>HYPERLINK("http://www.twitter.com/NathanBLawrence/status/986359604069191680", "986359604069191680")</f>
        <v/>
      </c>
      <c r="B885" s="2" t="n">
        <v>43207.90542824074</v>
      </c>
      <c r="C885" t="n">
        <v>0</v>
      </c>
      <c r="D885" t="n">
        <v>9</v>
      </c>
      <c r="E885" t="s">
        <v>888</v>
      </c>
      <c r="F885" t="s"/>
      <c r="G885" t="s"/>
      <c r="H885" t="s"/>
      <c r="I885" t="s"/>
      <c r="J885" t="n">
        <v>0.3818</v>
      </c>
      <c r="K885" t="n">
        <v>0</v>
      </c>
      <c r="L885" t="n">
        <v>0.89</v>
      </c>
      <c r="M885" t="n">
        <v>0.11</v>
      </c>
    </row>
    <row r="886" spans="1:13">
      <c r="A886" s="1">
        <f>HYPERLINK("http://www.twitter.com/NathanBLawrence/status/986357902750478337", "986357902750478337")</f>
        <v/>
      </c>
      <c r="B886" s="2" t="n">
        <v>43207.90074074074</v>
      </c>
      <c r="C886" t="n">
        <v>1</v>
      </c>
      <c r="D886" t="n">
        <v>0</v>
      </c>
      <c r="E886" t="s">
        <v>889</v>
      </c>
      <c r="F886" t="s"/>
      <c r="G886" t="s"/>
      <c r="H886" t="s"/>
      <c r="I886" t="s"/>
      <c r="J886" t="n">
        <v>0</v>
      </c>
      <c r="K886" t="n">
        <v>0</v>
      </c>
      <c r="L886" t="n">
        <v>1</v>
      </c>
      <c r="M886" t="n">
        <v>0</v>
      </c>
    </row>
    <row r="887" spans="1:13">
      <c r="A887" s="1">
        <f>HYPERLINK("http://www.twitter.com/NathanBLawrence/status/986357189219639296", "986357189219639296")</f>
        <v/>
      </c>
      <c r="B887" s="2" t="n">
        <v>43207.89877314815</v>
      </c>
      <c r="C887" t="n">
        <v>0</v>
      </c>
      <c r="D887" t="n">
        <v>9</v>
      </c>
      <c r="E887" t="s">
        <v>890</v>
      </c>
      <c r="F887" t="s"/>
      <c r="G887" t="s"/>
      <c r="H887" t="s"/>
      <c r="I887" t="s"/>
      <c r="J887" t="n">
        <v>-0.8217</v>
      </c>
      <c r="K887" t="n">
        <v>0.292</v>
      </c>
      <c r="L887" t="n">
        <v>0.621</v>
      </c>
      <c r="M887" t="n">
        <v>0.08799999999999999</v>
      </c>
    </row>
    <row r="888" spans="1:13">
      <c r="A888" s="1">
        <f>HYPERLINK("http://www.twitter.com/NathanBLawrence/status/986357172928991233", "986357172928991233")</f>
        <v/>
      </c>
      <c r="B888" s="2" t="n">
        <v>43207.89872685185</v>
      </c>
      <c r="C888" t="n">
        <v>0</v>
      </c>
      <c r="D888" t="n">
        <v>8</v>
      </c>
      <c r="E888" t="s">
        <v>891</v>
      </c>
      <c r="F888">
        <f>HYPERLINK("https://video.twimg.com/ext_tw_video/986356654827622401/pu/vid/688x360/31JeG_qgoVjYT_-E.mp4?tag=2", "https://video.twimg.com/ext_tw_video/986356654827622401/pu/vid/688x360/31JeG_qgoVjYT_-E.mp4?tag=2")</f>
        <v/>
      </c>
      <c r="G888" t="s"/>
      <c r="H888" t="s"/>
      <c r="I888" t="s"/>
      <c r="J888" t="n">
        <v>0.4404</v>
      </c>
      <c r="K888" t="n">
        <v>0</v>
      </c>
      <c r="L888" t="n">
        <v>0.8179999999999999</v>
      </c>
      <c r="M888" t="n">
        <v>0.182</v>
      </c>
    </row>
    <row r="889" spans="1:13">
      <c r="A889" s="1">
        <f>HYPERLINK("http://www.twitter.com/NathanBLawrence/status/986356857479581701", "986356857479581701")</f>
        <v/>
      </c>
      <c r="B889" s="2" t="n">
        <v>43207.8978587963</v>
      </c>
      <c r="C889" t="n">
        <v>0</v>
      </c>
      <c r="D889" t="n">
        <v>11</v>
      </c>
      <c r="E889" t="s">
        <v>640</v>
      </c>
      <c r="F889">
        <f>HYPERLINK("http://pbs.twimg.com/media/DbA8EUHX0AYtv-T.jpg", "http://pbs.twimg.com/media/DbA8EUHX0AYtv-T.jpg")</f>
        <v/>
      </c>
      <c r="G889" t="s"/>
      <c r="H889" t="s"/>
      <c r="I889" t="s"/>
      <c r="J889" t="n">
        <v>0.8201000000000001</v>
      </c>
      <c r="K889" t="n">
        <v>0</v>
      </c>
      <c r="L889" t="n">
        <v>0.643</v>
      </c>
      <c r="M889" t="n">
        <v>0.357</v>
      </c>
    </row>
    <row r="890" spans="1:13">
      <c r="A890" s="1">
        <f>HYPERLINK("http://www.twitter.com/NathanBLawrence/status/986356176517509121", "986356176517509121")</f>
        <v/>
      </c>
      <c r="B890" s="2" t="n">
        <v>43207.89597222222</v>
      </c>
      <c r="C890" t="n">
        <v>2</v>
      </c>
      <c r="D890" t="n">
        <v>2</v>
      </c>
      <c r="E890" t="s">
        <v>892</v>
      </c>
      <c r="F890" t="s"/>
      <c r="G890" t="s"/>
      <c r="H890" t="s"/>
      <c r="I890" t="s"/>
      <c r="J890" t="n">
        <v>-0.5338000000000001</v>
      </c>
      <c r="K890" t="n">
        <v>0.052</v>
      </c>
      <c r="L890" t="n">
        <v>0.948</v>
      </c>
      <c r="M890" t="n">
        <v>0</v>
      </c>
    </row>
    <row r="891" spans="1:13">
      <c r="A891" s="1">
        <f>HYPERLINK("http://www.twitter.com/NathanBLawrence/status/986345908597149696", "986345908597149696")</f>
        <v/>
      </c>
      <c r="B891" s="2" t="n">
        <v>43207.86763888889</v>
      </c>
      <c r="C891" t="n">
        <v>0</v>
      </c>
      <c r="D891" t="n">
        <v>0</v>
      </c>
      <c r="E891" t="s">
        <v>893</v>
      </c>
      <c r="F891" t="s"/>
      <c r="G891" t="s"/>
      <c r="H891" t="s"/>
      <c r="I891" t="s"/>
      <c r="J891" t="n">
        <v>0</v>
      </c>
      <c r="K891" t="n">
        <v>0</v>
      </c>
      <c r="L891" t="n">
        <v>1</v>
      </c>
      <c r="M891" t="n">
        <v>0</v>
      </c>
    </row>
    <row r="892" spans="1:13">
      <c r="A892" s="1">
        <f>HYPERLINK("http://www.twitter.com/NathanBLawrence/status/986322311228903424", "986322311228903424")</f>
        <v/>
      </c>
      <c r="B892" s="2" t="n">
        <v>43207.80252314815</v>
      </c>
      <c r="C892" t="n">
        <v>0</v>
      </c>
      <c r="D892" t="n">
        <v>7</v>
      </c>
      <c r="E892" t="s">
        <v>894</v>
      </c>
      <c r="F892" t="s"/>
      <c r="G892" t="s"/>
      <c r="H892" t="s"/>
      <c r="I892" t="s"/>
      <c r="J892" t="n">
        <v>-0.4939</v>
      </c>
      <c r="K892" t="n">
        <v>0.122</v>
      </c>
      <c r="L892" t="n">
        <v>0.878</v>
      </c>
      <c r="M892" t="n">
        <v>0</v>
      </c>
    </row>
    <row r="893" spans="1:13">
      <c r="A893" s="1">
        <f>HYPERLINK("http://www.twitter.com/NathanBLawrence/status/986320904476155904", "986320904476155904")</f>
        <v/>
      </c>
      <c r="B893" s="2" t="n">
        <v>43207.79864583333</v>
      </c>
      <c r="C893" t="n">
        <v>0</v>
      </c>
      <c r="D893" t="n">
        <v>13</v>
      </c>
      <c r="E893" t="s">
        <v>895</v>
      </c>
      <c r="F893" t="s"/>
      <c r="G893" t="s"/>
      <c r="H893" t="s"/>
      <c r="I893" t="s"/>
      <c r="J893" t="n">
        <v>-0.6808</v>
      </c>
      <c r="K893" t="n">
        <v>0.213</v>
      </c>
      <c r="L893" t="n">
        <v>0.787</v>
      </c>
      <c r="M893" t="n">
        <v>0</v>
      </c>
    </row>
    <row r="894" spans="1:13">
      <c r="A894" s="1">
        <f>HYPERLINK("http://www.twitter.com/NathanBLawrence/status/986315109088858112", "986315109088858112")</f>
        <v/>
      </c>
      <c r="B894" s="2" t="n">
        <v>43207.78265046296</v>
      </c>
      <c r="C894" t="n">
        <v>0</v>
      </c>
      <c r="D894" t="n">
        <v>17</v>
      </c>
      <c r="E894" t="s">
        <v>896</v>
      </c>
      <c r="F894">
        <f>HYPERLINK("http://pbs.twimg.com/media/DbAWBSHWsAA6OEZ.jpg", "http://pbs.twimg.com/media/DbAWBSHWsAA6OEZ.jpg")</f>
        <v/>
      </c>
      <c r="G894" t="s"/>
      <c r="H894" t="s"/>
      <c r="I894" t="s"/>
      <c r="J894" t="n">
        <v>0</v>
      </c>
      <c r="K894" t="n">
        <v>0</v>
      </c>
      <c r="L894" t="n">
        <v>1</v>
      </c>
      <c r="M894" t="n">
        <v>0</v>
      </c>
    </row>
    <row r="895" spans="1:13">
      <c r="A895" s="1">
        <f>HYPERLINK("http://www.twitter.com/NathanBLawrence/status/986309202435026945", "986309202435026945")</f>
        <v/>
      </c>
      <c r="B895" s="2" t="n">
        <v>43207.76635416667</v>
      </c>
      <c r="C895" t="n">
        <v>0</v>
      </c>
      <c r="D895" t="n">
        <v>13</v>
      </c>
      <c r="E895" t="s">
        <v>897</v>
      </c>
      <c r="F895">
        <f>HYPERLINK("http://pbs.twimg.com/media/DbAPOqUV4AA8Ln5.jpg", "http://pbs.twimg.com/media/DbAPOqUV4AA8Ln5.jpg")</f>
        <v/>
      </c>
      <c r="G895" t="s"/>
      <c r="H895" t="s"/>
      <c r="I895" t="s"/>
      <c r="J895" t="n">
        <v>0.7281</v>
      </c>
      <c r="K895" t="n">
        <v>0</v>
      </c>
      <c r="L895" t="n">
        <v>0.757</v>
      </c>
      <c r="M895" t="n">
        <v>0.243</v>
      </c>
    </row>
    <row r="896" spans="1:13">
      <c r="A896" s="1">
        <f>HYPERLINK("http://www.twitter.com/NathanBLawrence/status/986265706860818433", "986265706860818433")</f>
        <v/>
      </c>
      <c r="B896" s="2" t="n">
        <v>43207.64633101852</v>
      </c>
      <c r="C896" t="n">
        <v>0</v>
      </c>
      <c r="D896" t="n">
        <v>22</v>
      </c>
      <c r="E896" t="s">
        <v>898</v>
      </c>
      <c r="F896" t="s"/>
      <c r="G896" t="s"/>
      <c r="H896" t="s"/>
      <c r="I896" t="s"/>
      <c r="J896" t="n">
        <v>-0.34</v>
      </c>
      <c r="K896" t="n">
        <v>0.098</v>
      </c>
      <c r="L896" t="n">
        <v>0.902</v>
      </c>
      <c r="M896" t="n">
        <v>0</v>
      </c>
    </row>
    <row r="897" spans="1:13">
      <c r="A897" s="1">
        <f>HYPERLINK("http://www.twitter.com/NathanBLawrence/status/986264658771431424", "986264658771431424")</f>
        <v/>
      </c>
      <c r="B897" s="2" t="n">
        <v>43207.6434375</v>
      </c>
      <c r="C897" t="n">
        <v>0</v>
      </c>
      <c r="D897" t="n">
        <v>36</v>
      </c>
      <c r="E897" t="s">
        <v>899</v>
      </c>
      <c r="F897">
        <f>HYPERLINK("http://pbs.twimg.com/media/Da_PD7vVwAAYA7f.jpg", "http://pbs.twimg.com/media/Da_PD7vVwAAYA7f.jpg")</f>
        <v/>
      </c>
      <c r="G897" t="s"/>
      <c r="H897" t="s"/>
      <c r="I897" t="s"/>
      <c r="J897" t="n">
        <v>-0.34</v>
      </c>
      <c r="K897" t="n">
        <v>0.107</v>
      </c>
      <c r="L897" t="n">
        <v>0.893</v>
      </c>
      <c r="M897" t="n">
        <v>0</v>
      </c>
    </row>
    <row r="898" spans="1:13">
      <c r="A898" s="1">
        <f>HYPERLINK("http://www.twitter.com/NathanBLawrence/status/986248917573623814", "986248917573623814")</f>
        <v/>
      </c>
      <c r="B898" s="2" t="n">
        <v>43207.6</v>
      </c>
      <c r="C898" t="n">
        <v>0</v>
      </c>
      <c r="D898" t="n">
        <v>1</v>
      </c>
      <c r="E898" t="s">
        <v>900</v>
      </c>
      <c r="F898" t="s"/>
      <c r="G898" t="s"/>
      <c r="H898" t="s"/>
      <c r="I898" t="s"/>
      <c r="J898" t="n">
        <v>-0.8502999999999999</v>
      </c>
      <c r="K898" t="n">
        <v>0.34</v>
      </c>
      <c r="L898" t="n">
        <v>0.66</v>
      </c>
      <c r="M898" t="n">
        <v>0</v>
      </c>
    </row>
    <row r="899" spans="1:13">
      <c r="A899" s="1">
        <f>HYPERLINK("http://www.twitter.com/NathanBLawrence/status/986248410964652032", "986248410964652032")</f>
        <v/>
      </c>
      <c r="B899" s="2" t="n">
        <v>43207.59859953704</v>
      </c>
      <c r="C899" t="n">
        <v>0</v>
      </c>
      <c r="D899" t="n">
        <v>40</v>
      </c>
      <c r="E899" t="s">
        <v>901</v>
      </c>
      <c r="F899">
        <f>HYPERLINK("http://pbs.twimg.com/media/Da6etYZXUAIlvCD.jpg", "http://pbs.twimg.com/media/Da6etYZXUAIlvCD.jpg")</f>
        <v/>
      </c>
      <c r="G899" t="s"/>
      <c r="H899" t="s"/>
      <c r="I899" t="s"/>
      <c r="J899" t="n">
        <v>0</v>
      </c>
      <c r="K899" t="n">
        <v>0</v>
      </c>
      <c r="L899" t="n">
        <v>1</v>
      </c>
      <c r="M899" t="n">
        <v>0</v>
      </c>
    </row>
    <row r="900" spans="1:13">
      <c r="A900" s="1">
        <f>HYPERLINK("http://www.twitter.com/NathanBLawrence/status/986247049107603458", "986247049107603458")</f>
        <v/>
      </c>
      <c r="B900" s="2" t="n">
        <v>43207.59483796296</v>
      </c>
      <c r="C900" t="n">
        <v>0</v>
      </c>
      <c r="D900" t="n">
        <v>51</v>
      </c>
      <c r="E900" t="s">
        <v>902</v>
      </c>
      <c r="F900" t="s"/>
      <c r="G900" t="s"/>
      <c r="H900" t="s"/>
      <c r="I900" t="s"/>
      <c r="J900" t="n">
        <v>-0.5610000000000001</v>
      </c>
      <c r="K900" t="n">
        <v>0.168</v>
      </c>
      <c r="L900" t="n">
        <v>0.832</v>
      </c>
      <c r="M900" t="n">
        <v>0</v>
      </c>
    </row>
    <row r="901" spans="1:13">
      <c r="A901" s="1">
        <f>HYPERLINK("http://www.twitter.com/NathanBLawrence/status/986227906186792965", "986227906186792965")</f>
        <v/>
      </c>
      <c r="B901" s="2" t="n">
        <v>43207.54201388889</v>
      </c>
      <c r="C901" t="n">
        <v>0</v>
      </c>
      <c r="D901" t="n">
        <v>0</v>
      </c>
      <c r="E901" t="s">
        <v>903</v>
      </c>
      <c r="F901" t="s"/>
      <c r="G901" t="s"/>
      <c r="H901" t="s"/>
      <c r="I901" t="s"/>
      <c r="J901" t="n">
        <v>-0.6343</v>
      </c>
      <c r="K901" t="n">
        <v>0.109</v>
      </c>
      <c r="L901" t="n">
        <v>0.858</v>
      </c>
      <c r="M901" t="n">
        <v>0.033</v>
      </c>
    </row>
    <row r="902" spans="1:13">
      <c r="A902" s="1">
        <f>HYPERLINK("http://www.twitter.com/NathanBLawrence/status/986224796055818240", "986224796055818240")</f>
        <v/>
      </c>
      <c r="B902" s="2" t="n">
        <v>43207.5334375</v>
      </c>
      <c r="C902" t="n">
        <v>0</v>
      </c>
      <c r="D902" t="n">
        <v>2</v>
      </c>
      <c r="E902" t="s">
        <v>904</v>
      </c>
      <c r="F902" t="s"/>
      <c r="G902" t="s"/>
      <c r="H902" t="s"/>
      <c r="I902" t="s"/>
      <c r="J902" t="n">
        <v>0.4019</v>
      </c>
      <c r="K902" t="n">
        <v>0</v>
      </c>
      <c r="L902" t="n">
        <v>0.863</v>
      </c>
      <c r="M902" t="n">
        <v>0.137</v>
      </c>
    </row>
    <row r="903" spans="1:13">
      <c r="A903" s="1">
        <f>HYPERLINK("http://www.twitter.com/NathanBLawrence/status/986222694839537664", "986222694839537664")</f>
        <v/>
      </c>
      <c r="B903" s="2" t="n">
        <v>43207.52763888889</v>
      </c>
      <c r="C903" t="n">
        <v>0</v>
      </c>
      <c r="D903" t="n">
        <v>384</v>
      </c>
      <c r="E903" t="s">
        <v>905</v>
      </c>
      <c r="F903" t="s"/>
      <c r="G903" t="s"/>
      <c r="H903" t="s"/>
      <c r="I903" t="s"/>
      <c r="J903" t="n">
        <v>0.6825</v>
      </c>
      <c r="K903" t="n">
        <v>0</v>
      </c>
      <c r="L903" t="n">
        <v>0.8120000000000001</v>
      </c>
      <c r="M903" t="n">
        <v>0.188</v>
      </c>
    </row>
    <row r="904" spans="1:13">
      <c r="A904" s="1">
        <f>HYPERLINK("http://www.twitter.com/NathanBLawrence/status/986222108555595777", "986222108555595777")</f>
        <v/>
      </c>
      <c r="B904" s="2" t="n">
        <v>43207.52601851852</v>
      </c>
      <c r="C904" t="n">
        <v>0</v>
      </c>
      <c r="D904" t="n">
        <v>124</v>
      </c>
      <c r="E904" t="s">
        <v>906</v>
      </c>
      <c r="F904" t="s"/>
      <c r="G904" t="s"/>
      <c r="H904" t="s"/>
      <c r="I904" t="s"/>
      <c r="J904" t="n">
        <v>0.2789</v>
      </c>
      <c r="K904" t="n">
        <v>0</v>
      </c>
      <c r="L904" t="n">
        <v>0.876</v>
      </c>
      <c r="M904" t="n">
        <v>0.124</v>
      </c>
    </row>
    <row r="905" spans="1:13">
      <c r="A905" s="1">
        <f>HYPERLINK("http://www.twitter.com/NathanBLawrence/status/986220962407469056", "986220962407469056")</f>
        <v/>
      </c>
      <c r="B905" s="2" t="n">
        <v>43207.5228587963</v>
      </c>
      <c r="C905" t="n">
        <v>0</v>
      </c>
      <c r="D905" t="n">
        <v>0</v>
      </c>
      <c r="E905" t="s">
        <v>907</v>
      </c>
      <c r="F905" t="s"/>
      <c r="G905" t="s"/>
      <c r="H905" t="s"/>
      <c r="I905" t="s"/>
      <c r="J905" t="n">
        <v>-0.5739</v>
      </c>
      <c r="K905" t="n">
        <v>0.096</v>
      </c>
      <c r="L905" t="n">
        <v>0.872</v>
      </c>
      <c r="M905" t="n">
        <v>0.032</v>
      </c>
    </row>
    <row r="906" spans="1:13">
      <c r="A906" s="1">
        <f>HYPERLINK("http://www.twitter.com/NathanBLawrence/status/986208975745056768", "986208975745056768")</f>
        <v/>
      </c>
      <c r="B906" s="2" t="n">
        <v>43207.48978009259</v>
      </c>
      <c r="C906" t="n">
        <v>2</v>
      </c>
      <c r="D906" t="n">
        <v>0</v>
      </c>
      <c r="E906" t="s">
        <v>908</v>
      </c>
      <c r="F906" t="s"/>
      <c r="G906" t="s"/>
      <c r="H906" t="s"/>
      <c r="I906" t="s"/>
      <c r="J906" t="n">
        <v>-0.924</v>
      </c>
      <c r="K906" t="n">
        <v>0.247</v>
      </c>
      <c r="L906" t="n">
        <v>0.6929999999999999</v>
      </c>
      <c r="M906" t="n">
        <v>0.061</v>
      </c>
    </row>
    <row r="907" spans="1:13">
      <c r="A907" s="1">
        <f>HYPERLINK("http://www.twitter.com/NathanBLawrence/status/986196215636295680", "986196215636295680")</f>
        <v/>
      </c>
      <c r="B907" s="2" t="n">
        <v>43207.45457175926</v>
      </c>
      <c r="C907" t="n">
        <v>0</v>
      </c>
      <c r="D907" t="n">
        <v>594</v>
      </c>
      <c r="E907" t="s">
        <v>909</v>
      </c>
      <c r="F907">
        <f>HYPERLINK("https://video.twimg.com/amplify_video/985970260112060416/vid/1280x720/ahmCFBm-M2B95Wxx.mp4?tag=6", "https://video.twimg.com/amplify_video/985970260112060416/vid/1280x720/ahmCFBm-M2B95Wxx.mp4?tag=6")</f>
        <v/>
      </c>
      <c r="G907" t="s"/>
      <c r="H907" t="s"/>
      <c r="I907" t="s"/>
      <c r="J907" t="n">
        <v>-0.6705</v>
      </c>
      <c r="K907" t="n">
        <v>0.193</v>
      </c>
      <c r="L907" t="n">
        <v>0.8070000000000001</v>
      </c>
      <c r="M907" t="n">
        <v>0</v>
      </c>
    </row>
    <row r="908" spans="1:13">
      <c r="A908" s="1">
        <f>HYPERLINK("http://www.twitter.com/NathanBLawrence/status/986193797406187522", "986193797406187522")</f>
        <v/>
      </c>
      <c r="B908" s="2" t="n">
        <v>43207.44789351852</v>
      </c>
      <c r="C908" t="n">
        <v>0</v>
      </c>
      <c r="D908" t="n">
        <v>1</v>
      </c>
      <c r="E908" t="s">
        <v>910</v>
      </c>
      <c r="F908" t="s"/>
      <c r="G908" t="s"/>
      <c r="H908" t="s"/>
      <c r="I908" t="s"/>
      <c r="J908" t="n">
        <v>0</v>
      </c>
      <c r="K908" t="n">
        <v>0</v>
      </c>
      <c r="L908" t="n">
        <v>1</v>
      </c>
      <c r="M908" t="n">
        <v>0</v>
      </c>
    </row>
    <row r="909" spans="1:13">
      <c r="A909" s="1">
        <f>HYPERLINK("http://www.twitter.com/NathanBLawrence/status/986193689843290113", "986193689843290113")</f>
        <v/>
      </c>
      <c r="B909" s="2" t="n">
        <v>43207.44759259259</v>
      </c>
      <c r="C909" t="n">
        <v>0</v>
      </c>
      <c r="D909" t="n">
        <v>0</v>
      </c>
      <c r="E909" t="s">
        <v>911</v>
      </c>
      <c r="F909">
        <f>HYPERLINK("http://pbs.twimg.com/media/Da-p7dDX0AAaLeU.jpg", "http://pbs.twimg.com/media/Da-p7dDX0AAaLeU.jpg")</f>
        <v/>
      </c>
      <c r="G909" t="s"/>
      <c r="H909" t="s"/>
      <c r="I909" t="s"/>
      <c r="J909" t="n">
        <v>0</v>
      </c>
      <c r="K909" t="n">
        <v>0</v>
      </c>
      <c r="L909" t="n">
        <v>1</v>
      </c>
      <c r="M909" t="n">
        <v>0</v>
      </c>
    </row>
    <row r="910" spans="1:13">
      <c r="A910" s="1">
        <f>HYPERLINK("http://www.twitter.com/NathanBLawrence/status/986184578179239936", "986184578179239936")</f>
        <v/>
      </c>
      <c r="B910" s="2" t="n">
        <v>43207.4224537037</v>
      </c>
      <c r="C910" t="n">
        <v>0</v>
      </c>
      <c r="D910" t="n">
        <v>5535</v>
      </c>
      <c r="E910" t="s">
        <v>912</v>
      </c>
      <c r="F910" t="s"/>
      <c r="G910" t="s"/>
      <c r="H910" t="s"/>
      <c r="I910" t="s"/>
      <c r="J910" t="n">
        <v>0</v>
      </c>
      <c r="K910" t="n">
        <v>0</v>
      </c>
      <c r="L910" t="n">
        <v>1</v>
      </c>
      <c r="M910" t="n">
        <v>0</v>
      </c>
    </row>
    <row r="911" spans="1:13">
      <c r="A911" s="1">
        <f>HYPERLINK("http://www.twitter.com/NathanBLawrence/status/986184397828304896", "986184397828304896")</f>
        <v/>
      </c>
      <c r="B911" s="2" t="n">
        <v>43207.42195601852</v>
      </c>
      <c r="C911" t="n">
        <v>0</v>
      </c>
      <c r="D911" t="n">
        <v>94</v>
      </c>
      <c r="E911" t="s">
        <v>913</v>
      </c>
      <c r="F911" t="s"/>
      <c r="G911" t="s"/>
      <c r="H911" t="s"/>
      <c r="I911" t="s"/>
      <c r="J911" t="n">
        <v>0.5106000000000001</v>
      </c>
      <c r="K911" t="n">
        <v>0</v>
      </c>
      <c r="L911" t="n">
        <v>0.864</v>
      </c>
      <c r="M911" t="n">
        <v>0.136</v>
      </c>
    </row>
    <row r="912" spans="1:13">
      <c r="A912" s="1">
        <f>HYPERLINK("http://www.twitter.com/NathanBLawrence/status/986139511209037824", "986139511209037824")</f>
        <v/>
      </c>
      <c r="B912" s="2" t="n">
        <v>43207.29809027778</v>
      </c>
      <c r="C912" t="n">
        <v>0</v>
      </c>
      <c r="D912" t="n">
        <v>0</v>
      </c>
      <c r="E912" t="s">
        <v>914</v>
      </c>
      <c r="F912" t="s"/>
      <c r="G912" t="s"/>
      <c r="H912" t="s"/>
      <c r="I912" t="s"/>
      <c r="J912" t="n">
        <v>0.8491</v>
      </c>
      <c r="K912" t="n">
        <v>0.079</v>
      </c>
      <c r="L912" t="n">
        <v>0.646</v>
      </c>
      <c r="M912" t="n">
        <v>0.276</v>
      </c>
    </row>
    <row r="913" spans="1:13">
      <c r="A913" s="1">
        <f>HYPERLINK("http://www.twitter.com/NathanBLawrence/status/986132316182413312", "986132316182413312")</f>
        <v/>
      </c>
      <c r="B913" s="2" t="n">
        <v>43207.27824074074</v>
      </c>
      <c r="C913" t="n">
        <v>0</v>
      </c>
      <c r="D913" t="n">
        <v>0</v>
      </c>
      <c r="E913" t="s">
        <v>915</v>
      </c>
      <c r="F913" t="s"/>
      <c r="G913" t="s"/>
      <c r="H913" t="s"/>
      <c r="I913" t="s"/>
      <c r="J913" t="n">
        <v>-0.5574</v>
      </c>
      <c r="K913" t="n">
        <v>0.247</v>
      </c>
      <c r="L913" t="n">
        <v>0.753</v>
      </c>
      <c r="M913" t="n">
        <v>0</v>
      </c>
    </row>
    <row r="914" spans="1:13">
      <c r="A914" s="1">
        <f>HYPERLINK("http://www.twitter.com/NathanBLawrence/status/986120607241650177", "986120607241650177")</f>
        <v/>
      </c>
      <c r="B914" s="2" t="n">
        <v>43207.24592592593</v>
      </c>
      <c r="C914" t="n">
        <v>0</v>
      </c>
      <c r="D914" t="n">
        <v>1</v>
      </c>
      <c r="E914" t="s">
        <v>916</v>
      </c>
      <c r="F914" t="s"/>
      <c r="G914" t="s"/>
      <c r="H914" t="s"/>
      <c r="I914" t="s"/>
      <c r="J914" t="n">
        <v>-0.508</v>
      </c>
      <c r="K914" t="n">
        <v>0.154</v>
      </c>
      <c r="L914" t="n">
        <v>0.846</v>
      </c>
      <c r="M914" t="n">
        <v>0</v>
      </c>
    </row>
    <row r="915" spans="1:13">
      <c r="A915" s="1">
        <f>HYPERLINK("http://www.twitter.com/NathanBLawrence/status/986119878435377154", "986119878435377154")</f>
        <v/>
      </c>
      <c r="B915" s="2" t="n">
        <v>43207.24391203704</v>
      </c>
      <c r="C915" t="n">
        <v>0</v>
      </c>
      <c r="D915" t="n">
        <v>1</v>
      </c>
      <c r="E915" t="s">
        <v>917</v>
      </c>
      <c r="F915" t="s"/>
      <c r="G915" t="s"/>
      <c r="H915" t="s"/>
      <c r="I915" t="s"/>
      <c r="J915" t="n">
        <v>-0.4767</v>
      </c>
      <c r="K915" t="n">
        <v>0.181</v>
      </c>
      <c r="L915" t="n">
        <v>0.819</v>
      </c>
      <c r="M915" t="n">
        <v>0</v>
      </c>
    </row>
    <row r="916" spans="1:13">
      <c r="A916" s="1">
        <f>HYPERLINK("http://www.twitter.com/NathanBLawrence/status/986119828774772738", "986119828774772738")</f>
        <v/>
      </c>
      <c r="B916" s="2" t="n">
        <v>43207.24378472222</v>
      </c>
      <c r="C916" t="n">
        <v>0</v>
      </c>
      <c r="D916" t="n">
        <v>56</v>
      </c>
      <c r="E916" t="s">
        <v>918</v>
      </c>
      <c r="F916">
        <f>HYPERLINK("http://pbs.twimg.com/media/DZ0HGMgU0AUR8Dr.jpg", "http://pbs.twimg.com/media/DZ0HGMgU0AUR8Dr.jpg")</f>
        <v/>
      </c>
      <c r="G916" t="s"/>
      <c r="H916" t="s"/>
      <c r="I916" t="s"/>
      <c r="J916" t="n">
        <v>0.5859</v>
      </c>
      <c r="K916" t="n">
        <v>0</v>
      </c>
      <c r="L916" t="n">
        <v>0.847</v>
      </c>
      <c r="M916" t="n">
        <v>0.153</v>
      </c>
    </row>
    <row r="917" spans="1:13">
      <c r="A917" s="1">
        <f>HYPERLINK("http://www.twitter.com/NathanBLawrence/status/986119502491504640", "986119502491504640")</f>
        <v/>
      </c>
      <c r="B917" s="2" t="n">
        <v>43207.24288194445</v>
      </c>
      <c r="C917" t="n">
        <v>0</v>
      </c>
      <c r="D917" t="n">
        <v>11</v>
      </c>
      <c r="E917" t="s">
        <v>919</v>
      </c>
      <c r="F917" t="s"/>
      <c r="G917" t="s"/>
      <c r="H917" t="s"/>
      <c r="I917" t="s"/>
      <c r="J917" t="n">
        <v>0</v>
      </c>
      <c r="K917" t="n">
        <v>0</v>
      </c>
      <c r="L917" t="n">
        <v>1</v>
      </c>
      <c r="M917" t="n">
        <v>0</v>
      </c>
    </row>
    <row r="918" spans="1:13">
      <c r="A918" s="1">
        <f>HYPERLINK("http://www.twitter.com/NathanBLawrence/status/986119377589342210", "986119377589342210")</f>
        <v/>
      </c>
      <c r="B918" s="2" t="n">
        <v>43207.24253472222</v>
      </c>
      <c r="C918" t="n">
        <v>0</v>
      </c>
      <c r="D918" t="n">
        <v>27284</v>
      </c>
      <c r="E918" t="s">
        <v>920</v>
      </c>
      <c r="F918" t="s"/>
      <c r="G918" t="s"/>
      <c r="H918" t="s"/>
      <c r="I918" t="s"/>
      <c r="J918" t="n">
        <v>0</v>
      </c>
      <c r="K918" t="n">
        <v>0</v>
      </c>
      <c r="L918" t="n">
        <v>1</v>
      </c>
      <c r="M918" t="n">
        <v>0</v>
      </c>
    </row>
    <row r="919" spans="1:13">
      <c r="A919" s="1">
        <f>HYPERLINK("http://www.twitter.com/NathanBLawrence/status/986119175159603200", "986119175159603200")</f>
        <v/>
      </c>
      <c r="B919" s="2" t="n">
        <v>43207.24197916667</v>
      </c>
      <c r="C919" t="n">
        <v>0</v>
      </c>
      <c r="D919" t="n">
        <v>287</v>
      </c>
      <c r="E919" t="s">
        <v>921</v>
      </c>
      <c r="F919">
        <f>HYPERLINK("http://pbs.twimg.com/media/Da3JTGNWkAARa5E.jpg", "http://pbs.twimg.com/media/Da3JTGNWkAARa5E.jpg")</f>
        <v/>
      </c>
      <c r="G919" t="s"/>
      <c r="H919" t="s"/>
      <c r="I919" t="s"/>
      <c r="J919" t="n">
        <v>0</v>
      </c>
      <c r="K919" t="n">
        <v>0</v>
      </c>
      <c r="L919" t="n">
        <v>1</v>
      </c>
      <c r="M919" t="n">
        <v>0</v>
      </c>
    </row>
    <row r="920" spans="1:13">
      <c r="A920" s="1">
        <f>HYPERLINK("http://www.twitter.com/NathanBLawrence/status/986112055420825601", "986112055420825601")</f>
        <v/>
      </c>
      <c r="B920" s="2" t="n">
        <v>43207.22232638889</v>
      </c>
      <c r="C920" t="n">
        <v>0</v>
      </c>
      <c r="D920" t="n">
        <v>410</v>
      </c>
      <c r="E920" t="s">
        <v>922</v>
      </c>
      <c r="F920" t="s"/>
      <c r="G920" t="s"/>
      <c r="H920" t="s"/>
      <c r="I920" t="s"/>
      <c r="J920" t="n">
        <v>0.4574</v>
      </c>
      <c r="K920" t="n">
        <v>0.124</v>
      </c>
      <c r="L920" t="n">
        <v>0.654</v>
      </c>
      <c r="M920" t="n">
        <v>0.222</v>
      </c>
    </row>
    <row r="921" spans="1:13">
      <c r="A921" s="1">
        <f>HYPERLINK("http://www.twitter.com/NathanBLawrence/status/986104106745032704", "986104106745032704")</f>
        <v/>
      </c>
      <c r="B921" s="2" t="n">
        <v>43207.20039351852</v>
      </c>
      <c r="C921" t="n">
        <v>0</v>
      </c>
      <c r="D921" t="n">
        <v>1779</v>
      </c>
      <c r="E921" t="s">
        <v>923</v>
      </c>
      <c r="F921" t="s"/>
      <c r="G921" t="s"/>
      <c r="H921" t="s"/>
      <c r="I921" t="s"/>
      <c r="J921" t="n">
        <v>-0.128</v>
      </c>
      <c r="K921" t="n">
        <v>0.07000000000000001</v>
      </c>
      <c r="L921" t="n">
        <v>0.93</v>
      </c>
      <c r="M921" t="n">
        <v>0</v>
      </c>
    </row>
    <row r="922" spans="1:13">
      <c r="A922" s="1">
        <f>HYPERLINK("http://www.twitter.com/NathanBLawrence/status/986103426156199937", "986103426156199937")</f>
        <v/>
      </c>
      <c r="B922" s="2" t="n">
        <v>43207.19851851852</v>
      </c>
      <c r="C922" t="n">
        <v>0</v>
      </c>
      <c r="D922" t="n">
        <v>5</v>
      </c>
      <c r="E922" t="s">
        <v>924</v>
      </c>
      <c r="F922" t="s"/>
      <c r="G922" t="s"/>
      <c r="H922" t="s"/>
      <c r="I922" t="s"/>
      <c r="J922" t="n">
        <v>-0.0423</v>
      </c>
      <c r="K922" t="n">
        <v>0.095</v>
      </c>
      <c r="L922" t="n">
        <v>0.8179999999999999</v>
      </c>
      <c r="M922" t="n">
        <v>0.08799999999999999</v>
      </c>
    </row>
    <row r="923" spans="1:13">
      <c r="A923" s="1">
        <f>HYPERLINK("http://www.twitter.com/NathanBLawrence/status/986102644333776897", "986102644333776897")</f>
        <v/>
      </c>
      <c r="B923" s="2" t="n">
        <v>43207.19635416667</v>
      </c>
      <c r="C923" t="n">
        <v>0</v>
      </c>
      <c r="D923" t="n">
        <v>37</v>
      </c>
      <c r="E923" t="s">
        <v>925</v>
      </c>
      <c r="F923" t="s"/>
      <c r="G923" t="s"/>
      <c r="H923" t="s"/>
      <c r="I923" t="s"/>
      <c r="J923" t="n">
        <v>-0.8288</v>
      </c>
      <c r="K923" t="n">
        <v>0.332</v>
      </c>
      <c r="L923" t="n">
        <v>0.589</v>
      </c>
      <c r="M923" t="n">
        <v>0.079</v>
      </c>
    </row>
    <row r="924" spans="1:13">
      <c r="A924" s="1">
        <f>HYPERLINK("http://www.twitter.com/NathanBLawrence/status/986095632254472193", "986095632254472193")</f>
        <v/>
      </c>
      <c r="B924" s="2" t="n">
        <v>43207.17701388889</v>
      </c>
      <c r="C924" t="n">
        <v>0</v>
      </c>
      <c r="D924" t="n">
        <v>12</v>
      </c>
      <c r="E924" t="s">
        <v>926</v>
      </c>
      <c r="F924" t="s"/>
      <c r="G924" t="s"/>
      <c r="H924" t="s"/>
      <c r="I924" t="s"/>
      <c r="J924" t="n">
        <v>0</v>
      </c>
      <c r="K924" t="n">
        <v>0</v>
      </c>
      <c r="L924" t="n">
        <v>1</v>
      </c>
      <c r="M924" t="n">
        <v>0</v>
      </c>
    </row>
    <row r="925" spans="1:13">
      <c r="A925" s="1">
        <f>HYPERLINK("http://www.twitter.com/NathanBLawrence/status/986087876982165504", "986087876982165504")</f>
        <v/>
      </c>
      <c r="B925" s="2" t="n">
        <v>43207.15561342592</v>
      </c>
      <c r="C925" t="n">
        <v>11</v>
      </c>
      <c r="D925" t="n">
        <v>4</v>
      </c>
      <c r="E925" t="s">
        <v>927</v>
      </c>
      <c r="F925" t="s"/>
      <c r="G925" t="s"/>
      <c r="H925" t="s"/>
      <c r="I925" t="s"/>
      <c r="J925" t="n">
        <v>0.5587</v>
      </c>
      <c r="K925" t="n">
        <v>0.078</v>
      </c>
      <c r="L925" t="n">
        <v>0.798</v>
      </c>
      <c r="M925" t="n">
        <v>0.124</v>
      </c>
    </row>
    <row r="926" spans="1:13">
      <c r="A926" s="1">
        <f>HYPERLINK("http://www.twitter.com/NathanBLawrence/status/986077708571545600", "986077708571545600")</f>
        <v/>
      </c>
      <c r="B926" s="2" t="n">
        <v>43207.12754629629</v>
      </c>
      <c r="C926" t="n">
        <v>0</v>
      </c>
      <c r="D926" t="n">
        <v>20</v>
      </c>
      <c r="E926" t="s">
        <v>928</v>
      </c>
      <c r="F926">
        <f>HYPERLINK("http://pbs.twimg.com/media/Da9ACY3W4AAluiq.jpg", "http://pbs.twimg.com/media/Da9ACY3W4AAluiq.jpg")</f>
        <v/>
      </c>
      <c r="G926" t="s"/>
      <c r="H926" t="s"/>
      <c r="I926" t="s"/>
      <c r="J926" t="n">
        <v>0</v>
      </c>
      <c r="K926" t="n">
        <v>0</v>
      </c>
      <c r="L926" t="n">
        <v>1</v>
      </c>
      <c r="M926" t="n">
        <v>0</v>
      </c>
    </row>
    <row r="927" spans="1:13">
      <c r="A927" s="1">
        <f>HYPERLINK("http://www.twitter.com/NathanBLawrence/status/986070842131075072", "986070842131075072")</f>
        <v/>
      </c>
      <c r="B927" s="2" t="n">
        <v>43207.10859953704</v>
      </c>
      <c r="C927" t="n">
        <v>0</v>
      </c>
      <c r="D927" t="n">
        <v>661</v>
      </c>
      <c r="E927" t="s">
        <v>929</v>
      </c>
      <c r="F927">
        <f>HYPERLINK("http://pbs.twimg.com/media/Da34CPXW4AA7y1R.jpg", "http://pbs.twimg.com/media/Da34CPXW4AA7y1R.jpg")</f>
        <v/>
      </c>
      <c r="G927" t="s"/>
      <c r="H927" t="s"/>
      <c r="I927" t="s"/>
      <c r="J927" t="n">
        <v>0.5248</v>
      </c>
      <c r="K927" t="n">
        <v>0</v>
      </c>
      <c r="L927" t="n">
        <v>0.827</v>
      </c>
      <c r="M927" t="n">
        <v>0.173</v>
      </c>
    </row>
    <row r="928" spans="1:13">
      <c r="A928" s="1">
        <f>HYPERLINK("http://www.twitter.com/NathanBLawrence/status/986067196853047299", "986067196853047299")</f>
        <v/>
      </c>
      <c r="B928" s="2" t="n">
        <v>43207.09854166667</v>
      </c>
      <c r="C928" t="n">
        <v>40</v>
      </c>
      <c r="D928" t="n">
        <v>51</v>
      </c>
      <c r="E928" t="s">
        <v>930</v>
      </c>
      <c r="F928" t="s"/>
      <c r="G928" t="s"/>
      <c r="H928" t="s"/>
      <c r="I928" t="s"/>
      <c r="J928" t="n">
        <v>-0.6652</v>
      </c>
      <c r="K928" t="n">
        <v>0.175</v>
      </c>
      <c r="L928" t="n">
        <v>0.744</v>
      </c>
      <c r="M928" t="n">
        <v>0.081</v>
      </c>
    </row>
    <row r="929" spans="1:13">
      <c r="A929" s="1">
        <f>HYPERLINK("http://www.twitter.com/NathanBLawrence/status/986046160723955713", "986046160723955713")</f>
        <v/>
      </c>
      <c r="B929" s="2" t="n">
        <v>43207.04049768519</v>
      </c>
      <c r="C929" t="n">
        <v>0</v>
      </c>
      <c r="D929" t="n">
        <v>8</v>
      </c>
      <c r="E929" t="s">
        <v>931</v>
      </c>
      <c r="F929" t="s"/>
      <c r="G929" t="s"/>
      <c r="H929" t="s"/>
      <c r="I929" t="s"/>
      <c r="J929" t="n">
        <v>0</v>
      </c>
      <c r="K929" t="n">
        <v>0</v>
      </c>
      <c r="L929" t="n">
        <v>1</v>
      </c>
      <c r="M929" t="n">
        <v>0</v>
      </c>
    </row>
    <row r="930" spans="1:13">
      <c r="A930" s="1">
        <f>HYPERLINK("http://www.twitter.com/NathanBLawrence/status/986045934831390720", "986045934831390720")</f>
        <v/>
      </c>
      <c r="B930" s="2" t="n">
        <v>43207.03987268519</v>
      </c>
      <c r="C930" t="n">
        <v>0</v>
      </c>
      <c r="D930" t="n">
        <v>11</v>
      </c>
      <c r="E930" t="s">
        <v>932</v>
      </c>
      <c r="F930">
        <f>HYPERLINK("http://pbs.twimg.com/media/Da8JNytVwAA5xfd.jpg", "http://pbs.twimg.com/media/Da8JNytVwAA5xfd.jpg")</f>
        <v/>
      </c>
      <c r="G930" t="s"/>
      <c r="H930" t="s"/>
      <c r="I930" t="s"/>
      <c r="J930" t="n">
        <v>0.3818</v>
      </c>
      <c r="K930" t="n">
        <v>0</v>
      </c>
      <c r="L930" t="n">
        <v>0.86</v>
      </c>
      <c r="M930" t="n">
        <v>0.14</v>
      </c>
    </row>
    <row r="931" spans="1:13">
      <c r="A931" s="1">
        <f>HYPERLINK("http://www.twitter.com/NathanBLawrence/status/986033899129229312", "986033899129229312")</f>
        <v/>
      </c>
      <c r="B931" s="2" t="n">
        <v>43207.00665509259</v>
      </c>
      <c r="C931" t="n">
        <v>0</v>
      </c>
      <c r="D931" t="n">
        <v>685</v>
      </c>
      <c r="E931" t="s">
        <v>933</v>
      </c>
      <c r="F931">
        <f>HYPERLINK("https://video.twimg.com/amplify_video/985995611597168642/vid/1280x720/RSEaNPNcLqfodPSr.mp4?tag=2", "https://video.twimg.com/amplify_video/985995611597168642/vid/1280x720/RSEaNPNcLqfodPSr.mp4?tag=2")</f>
        <v/>
      </c>
      <c r="G931" t="s"/>
      <c r="H931" t="s"/>
      <c r="I931" t="s"/>
      <c r="J931" t="n">
        <v>0.1027</v>
      </c>
      <c r="K931" t="n">
        <v>0</v>
      </c>
      <c r="L931" t="n">
        <v>0.915</v>
      </c>
      <c r="M931" t="n">
        <v>0.08500000000000001</v>
      </c>
    </row>
    <row r="932" spans="1:13">
      <c r="A932" s="1">
        <f>HYPERLINK("http://www.twitter.com/NathanBLawrence/status/986015182961946624", "986015182961946624")</f>
        <v/>
      </c>
      <c r="B932" s="2" t="n">
        <v>43206.95501157407</v>
      </c>
      <c r="C932" t="n">
        <v>13</v>
      </c>
      <c r="D932" t="n">
        <v>15</v>
      </c>
      <c r="E932" t="s">
        <v>934</v>
      </c>
      <c r="F932">
        <f>HYPERLINK("http://pbs.twimg.com/media/Da8HjpaW0AUKTgj.jpg", "http://pbs.twimg.com/media/Da8HjpaW0AUKTgj.jpg")</f>
        <v/>
      </c>
      <c r="G932" t="s"/>
      <c r="H932" t="s"/>
      <c r="I932" t="s"/>
      <c r="J932" t="n">
        <v>-0.6901</v>
      </c>
      <c r="K932" t="n">
        <v>0.11</v>
      </c>
      <c r="L932" t="n">
        <v>0.89</v>
      </c>
      <c r="M932" t="n">
        <v>0</v>
      </c>
    </row>
    <row r="933" spans="1:13">
      <c r="A933" s="1">
        <f>HYPERLINK("http://www.twitter.com/NathanBLawrence/status/986003076686536705", "986003076686536705")</f>
        <v/>
      </c>
      <c r="B933" s="2" t="n">
        <v>43206.9216087963</v>
      </c>
      <c r="C933" t="n">
        <v>0</v>
      </c>
      <c r="D933" t="n">
        <v>4</v>
      </c>
      <c r="E933" t="s">
        <v>935</v>
      </c>
      <c r="F933" t="s"/>
      <c r="G933" t="s"/>
      <c r="H933" t="s"/>
      <c r="I933" t="s"/>
      <c r="J933" t="n">
        <v>-0.34</v>
      </c>
      <c r="K933" t="n">
        <v>0.103</v>
      </c>
      <c r="L933" t="n">
        <v>0.897</v>
      </c>
      <c r="M933" t="n">
        <v>0</v>
      </c>
    </row>
    <row r="934" spans="1:13">
      <c r="A934" s="1">
        <f>HYPERLINK("http://www.twitter.com/NathanBLawrence/status/985991502231998466", "985991502231998466")</f>
        <v/>
      </c>
      <c r="B934" s="2" t="n">
        <v>43206.88966435185</v>
      </c>
      <c r="C934" t="n">
        <v>0</v>
      </c>
      <c r="D934" t="n">
        <v>35</v>
      </c>
      <c r="E934" t="s">
        <v>936</v>
      </c>
      <c r="F934" t="s"/>
      <c r="G934" t="s"/>
      <c r="H934" t="s"/>
      <c r="I934" t="s"/>
      <c r="J934" t="n">
        <v>0</v>
      </c>
      <c r="K934" t="n">
        <v>0</v>
      </c>
      <c r="L934" t="n">
        <v>1</v>
      </c>
      <c r="M934" t="n">
        <v>0</v>
      </c>
    </row>
    <row r="935" spans="1:13">
      <c r="A935" s="1">
        <f>HYPERLINK("http://www.twitter.com/NathanBLawrence/status/985981678026936321", "985981678026936321")</f>
        <v/>
      </c>
      <c r="B935" s="2" t="n">
        <v>43206.86255787037</v>
      </c>
      <c r="C935" t="n">
        <v>0</v>
      </c>
      <c r="D935" t="n">
        <v>5</v>
      </c>
      <c r="E935" t="s">
        <v>937</v>
      </c>
      <c r="F935" t="s"/>
      <c r="G935" t="s"/>
      <c r="H935" t="s"/>
      <c r="I935" t="s"/>
      <c r="J935" t="n">
        <v>0.2023</v>
      </c>
      <c r="K935" t="n">
        <v>0.066</v>
      </c>
      <c r="L935" t="n">
        <v>0.833</v>
      </c>
      <c r="M935" t="n">
        <v>0.101</v>
      </c>
    </row>
    <row r="936" spans="1:13">
      <c r="A936" s="1">
        <f>HYPERLINK("http://www.twitter.com/NathanBLawrence/status/985978622103244801", "985978622103244801")</f>
        <v/>
      </c>
      <c r="B936" s="2" t="n">
        <v>43206.85412037037</v>
      </c>
      <c r="C936" t="n">
        <v>0</v>
      </c>
      <c r="D936" t="n">
        <v>376</v>
      </c>
      <c r="E936" t="s">
        <v>938</v>
      </c>
      <c r="F936" t="s"/>
      <c r="G936" t="s"/>
      <c r="H936" t="s"/>
      <c r="I936" t="s"/>
      <c r="J936" t="n">
        <v>0.8469</v>
      </c>
      <c r="K936" t="n">
        <v>0</v>
      </c>
      <c r="L936" t="n">
        <v>0.621</v>
      </c>
      <c r="M936" t="n">
        <v>0.379</v>
      </c>
    </row>
    <row r="937" spans="1:13">
      <c r="A937" s="1">
        <f>HYPERLINK("http://www.twitter.com/NathanBLawrence/status/985967764983746561", "985967764983746561")</f>
        <v/>
      </c>
      <c r="B937" s="2" t="n">
        <v>43206.82416666667</v>
      </c>
      <c r="C937" t="n">
        <v>0</v>
      </c>
      <c r="D937" t="n">
        <v>2</v>
      </c>
      <c r="E937" t="s">
        <v>939</v>
      </c>
      <c r="F937">
        <f>HYPERLINK("http://pbs.twimg.com/media/Da38-d-VQAESveT.jpg", "http://pbs.twimg.com/media/Da38-d-VQAESveT.jpg")</f>
        <v/>
      </c>
      <c r="G937" t="s"/>
      <c r="H937" t="s"/>
      <c r="I937" t="s"/>
      <c r="J937" t="n">
        <v>0</v>
      </c>
      <c r="K937" t="n">
        <v>0</v>
      </c>
      <c r="L937" t="n">
        <v>1</v>
      </c>
      <c r="M937" t="n">
        <v>0</v>
      </c>
    </row>
    <row r="938" spans="1:13">
      <c r="A938" s="1">
        <f>HYPERLINK("http://www.twitter.com/NathanBLawrence/status/985967686365696000", "985967686365696000")</f>
        <v/>
      </c>
      <c r="B938" s="2" t="n">
        <v>43206.82394675926</v>
      </c>
      <c r="C938" t="n">
        <v>0</v>
      </c>
      <c r="D938" t="n">
        <v>2</v>
      </c>
      <c r="E938" t="s">
        <v>940</v>
      </c>
      <c r="F938" t="s"/>
      <c r="G938" t="s"/>
      <c r="H938" t="s"/>
      <c r="I938" t="s"/>
      <c r="J938" t="n">
        <v>0</v>
      </c>
      <c r="K938" t="n">
        <v>0</v>
      </c>
      <c r="L938" t="n">
        <v>1</v>
      </c>
      <c r="M938" t="n">
        <v>0</v>
      </c>
    </row>
    <row r="939" spans="1:13">
      <c r="A939" s="1">
        <f>HYPERLINK("http://www.twitter.com/NathanBLawrence/status/985967558733041664", "985967558733041664")</f>
        <v/>
      </c>
      <c r="B939" s="2" t="n">
        <v>43206.82359953703</v>
      </c>
      <c r="C939" t="n">
        <v>0</v>
      </c>
      <c r="D939" t="n">
        <v>9</v>
      </c>
      <c r="E939" t="s">
        <v>939</v>
      </c>
      <c r="F939" t="s"/>
      <c r="G939" t="s"/>
      <c r="H939" t="s"/>
      <c r="I939" t="s"/>
      <c r="J939" t="n">
        <v>0</v>
      </c>
      <c r="K939" t="n">
        <v>0</v>
      </c>
      <c r="L939" t="n">
        <v>1</v>
      </c>
      <c r="M939" t="n">
        <v>0</v>
      </c>
    </row>
    <row r="940" spans="1:13">
      <c r="A940" s="1">
        <f>HYPERLINK("http://www.twitter.com/NathanBLawrence/status/985949590242451458", "985949590242451458")</f>
        <v/>
      </c>
      <c r="B940" s="2" t="n">
        <v>43206.7740162037</v>
      </c>
      <c r="C940" t="n">
        <v>0</v>
      </c>
      <c r="D940" t="n">
        <v>32</v>
      </c>
      <c r="E940" t="s">
        <v>941</v>
      </c>
      <c r="F940">
        <f>HYPERLINK("http://pbs.twimg.com/media/Da6ll6QUQAEeT2-.jpg", "http://pbs.twimg.com/media/Da6ll6QUQAEeT2-.jpg")</f>
        <v/>
      </c>
      <c r="G940">
        <f>HYPERLINK("http://pbs.twimg.com/media/Da6ll6QUQAAOIFW.jpg", "http://pbs.twimg.com/media/Da6ll6QUQAAOIFW.jpg")</f>
        <v/>
      </c>
      <c r="H940">
        <f>HYPERLINK("http://pbs.twimg.com/media/Da6ll6PU8AAIdWq.jpg", "http://pbs.twimg.com/media/Da6ll6PU8AAIdWq.jpg")</f>
        <v/>
      </c>
      <c r="I940">
        <f>HYPERLINK("http://pbs.twimg.com/media/Da6ll6PUQAAAO-h.jpg", "http://pbs.twimg.com/media/Da6ll6PUQAAAO-h.jpg")</f>
        <v/>
      </c>
      <c r="J940" t="n">
        <v>0.2003</v>
      </c>
      <c r="K940" t="n">
        <v>0.144</v>
      </c>
      <c r="L940" t="n">
        <v>0.68</v>
      </c>
      <c r="M940" t="n">
        <v>0.176</v>
      </c>
    </row>
    <row r="941" spans="1:13">
      <c r="A941" s="1">
        <f>HYPERLINK("http://www.twitter.com/NathanBLawrence/status/985949485149949958", "985949485149949958")</f>
        <v/>
      </c>
      <c r="B941" s="2" t="n">
        <v>43206.77371527778</v>
      </c>
      <c r="C941" t="n">
        <v>0</v>
      </c>
      <c r="D941" t="n">
        <v>2</v>
      </c>
      <c r="E941" t="s">
        <v>942</v>
      </c>
      <c r="F941" t="s"/>
      <c r="G941" t="s"/>
      <c r="H941" t="s"/>
      <c r="I941" t="s"/>
      <c r="J941" t="n">
        <v>0</v>
      </c>
      <c r="K941" t="n">
        <v>0</v>
      </c>
      <c r="L941" t="n">
        <v>1</v>
      </c>
      <c r="M941" t="n">
        <v>0</v>
      </c>
    </row>
    <row r="942" spans="1:13">
      <c r="A942" s="1">
        <f>HYPERLINK("http://www.twitter.com/NathanBLawrence/status/985949167691485186", "985949167691485186")</f>
        <v/>
      </c>
      <c r="B942" s="2" t="n">
        <v>43206.77284722222</v>
      </c>
      <c r="C942" t="n">
        <v>0</v>
      </c>
      <c r="D942" t="n">
        <v>3</v>
      </c>
      <c r="E942" t="s">
        <v>943</v>
      </c>
      <c r="F942" t="s"/>
      <c r="G942" t="s"/>
      <c r="H942" t="s"/>
      <c r="I942" t="s"/>
      <c r="J942" t="n">
        <v>-0.296</v>
      </c>
      <c r="K942" t="n">
        <v>0.121</v>
      </c>
      <c r="L942" t="n">
        <v>0.879</v>
      </c>
      <c r="M942" t="n">
        <v>0</v>
      </c>
    </row>
    <row r="943" spans="1:13">
      <c r="A943" s="1">
        <f>HYPERLINK("http://www.twitter.com/NathanBLawrence/status/985949001634779136", "985949001634779136")</f>
        <v/>
      </c>
      <c r="B943" s="2" t="n">
        <v>43206.77238425926</v>
      </c>
      <c r="C943" t="n">
        <v>0</v>
      </c>
      <c r="D943" t="n">
        <v>8</v>
      </c>
      <c r="E943" t="s">
        <v>944</v>
      </c>
      <c r="F943" t="s"/>
      <c r="G943" t="s"/>
      <c r="H943" t="s"/>
      <c r="I943" t="s"/>
      <c r="J943" t="n">
        <v>-0.1027</v>
      </c>
      <c r="K943" t="n">
        <v>0.098</v>
      </c>
      <c r="L943" t="n">
        <v>0.82</v>
      </c>
      <c r="M943" t="n">
        <v>0.082</v>
      </c>
    </row>
    <row r="944" spans="1:13">
      <c r="A944" s="1">
        <f>HYPERLINK("http://www.twitter.com/NathanBLawrence/status/985948493494865921", "985948493494865921")</f>
        <v/>
      </c>
      <c r="B944" s="2" t="n">
        <v>43206.7709837963</v>
      </c>
      <c r="C944" t="n">
        <v>0</v>
      </c>
      <c r="D944" t="n">
        <v>2</v>
      </c>
      <c r="E944" t="s">
        <v>945</v>
      </c>
      <c r="F944" t="s"/>
      <c r="G944" t="s"/>
      <c r="H944" t="s"/>
      <c r="I944" t="s"/>
      <c r="J944" t="n">
        <v>0</v>
      </c>
      <c r="K944" t="n">
        <v>0</v>
      </c>
      <c r="L944" t="n">
        <v>1</v>
      </c>
      <c r="M944" t="n">
        <v>0</v>
      </c>
    </row>
    <row r="945" spans="1:13">
      <c r="A945" s="1">
        <f>HYPERLINK("http://www.twitter.com/NathanBLawrence/status/985945140127813632", "985945140127813632")</f>
        <v/>
      </c>
      <c r="B945" s="2" t="n">
        <v>43206.76173611111</v>
      </c>
      <c r="C945" t="n">
        <v>0</v>
      </c>
      <c r="D945" t="n">
        <v>0</v>
      </c>
      <c r="E945" t="s">
        <v>946</v>
      </c>
      <c r="F945">
        <f>HYPERLINK("http://pbs.twimg.com/media/Da7H3MqX0AAEJRJ.jpg", "http://pbs.twimg.com/media/Da7H3MqX0AAEJRJ.jpg")</f>
        <v/>
      </c>
      <c r="G945" t="s"/>
      <c r="H945" t="s"/>
      <c r="I945" t="s"/>
      <c r="J945" t="n">
        <v>-0.9219000000000001</v>
      </c>
      <c r="K945" t="n">
        <v>0.356</v>
      </c>
      <c r="L945" t="n">
        <v>0.5620000000000001</v>
      </c>
      <c r="M945" t="n">
        <v>0.081</v>
      </c>
    </row>
    <row r="946" spans="1:13">
      <c r="A946" s="1">
        <f>HYPERLINK("http://www.twitter.com/NathanBLawrence/status/985937969935773696", "985937969935773696")</f>
        <v/>
      </c>
      <c r="B946" s="2" t="n">
        <v>43206.74194444445</v>
      </c>
      <c r="C946" t="n">
        <v>0</v>
      </c>
      <c r="D946" t="n">
        <v>80</v>
      </c>
      <c r="E946" t="s">
        <v>947</v>
      </c>
      <c r="F946" t="s"/>
      <c r="G946" t="s"/>
      <c r="H946" t="s"/>
      <c r="I946" t="s"/>
      <c r="J946" t="n">
        <v>0.4753</v>
      </c>
      <c r="K946" t="n">
        <v>0.06</v>
      </c>
      <c r="L946" t="n">
        <v>0.757</v>
      </c>
      <c r="M946" t="n">
        <v>0.183</v>
      </c>
    </row>
    <row r="947" spans="1:13">
      <c r="A947" s="1">
        <f>HYPERLINK("http://www.twitter.com/NathanBLawrence/status/985934800958709760", "985934800958709760")</f>
        <v/>
      </c>
      <c r="B947" s="2" t="n">
        <v>43206.73319444444</v>
      </c>
      <c r="C947" t="n">
        <v>0</v>
      </c>
      <c r="D947" t="n">
        <v>0</v>
      </c>
      <c r="E947" t="s">
        <v>948</v>
      </c>
      <c r="F947" t="s"/>
      <c r="G947" t="s"/>
      <c r="H947" t="s"/>
      <c r="I947" t="s"/>
      <c r="J947" t="n">
        <v>-0.7562</v>
      </c>
      <c r="K947" t="n">
        <v>0.16</v>
      </c>
      <c r="L947" t="n">
        <v>0.84</v>
      </c>
      <c r="M947" t="n">
        <v>0</v>
      </c>
    </row>
    <row r="948" spans="1:13">
      <c r="A948" s="1">
        <f>HYPERLINK("http://www.twitter.com/NathanBLawrence/status/985933827062321152", "985933827062321152")</f>
        <v/>
      </c>
      <c r="B948" s="2" t="n">
        <v>43206.73050925926</v>
      </c>
      <c r="C948" t="n">
        <v>0</v>
      </c>
      <c r="D948" t="n">
        <v>26</v>
      </c>
      <c r="E948" t="s">
        <v>949</v>
      </c>
      <c r="F948">
        <f>HYPERLINK("http://pbs.twimg.com/media/Da16xU8X0AAb7JT.jpg", "http://pbs.twimg.com/media/Da16xU8X0AAb7JT.jpg")</f>
        <v/>
      </c>
      <c r="G948" t="s"/>
      <c r="H948" t="s"/>
      <c r="I948" t="s"/>
      <c r="J948" t="n">
        <v>-0.3612</v>
      </c>
      <c r="K948" t="n">
        <v>0.128</v>
      </c>
      <c r="L948" t="n">
        <v>0.872</v>
      </c>
      <c r="M948" t="n">
        <v>0</v>
      </c>
    </row>
    <row r="949" spans="1:13">
      <c r="A949" s="1">
        <f>HYPERLINK("http://www.twitter.com/NathanBLawrence/status/985931429711409152", "985931429711409152")</f>
        <v/>
      </c>
      <c r="B949" s="2" t="n">
        <v>43206.72390046297</v>
      </c>
      <c r="C949" t="n">
        <v>0</v>
      </c>
      <c r="D949" t="n">
        <v>0</v>
      </c>
      <c r="E949" t="s">
        <v>950</v>
      </c>
      <c r="F949" t="s"/>
      <c r="G949" t="s"/>
      <c r="H949" t="s"/>
      <c r="I949" t="s"/>
      <c r="J949" t="n">
        <v>0</v>
      </c>
      <c r="K949" t="n">
        <v>0</v>
      </c>
      <c r="L949" t="n">
        <v>1</v>
      </c>
      <c r="M949" t="n">
        <v>0</v>
      </c>
    </row>
    <row r="950" spans="1:13">
      <c r="A950" s="1">
        <f>HYPERLINK("http://www.twitter.com/NathanBLawrence/status/985928018475585536", "985928018475585536")</f>
        <v/>
      </c>
      <c r="B950" s="2" t="n">
        <v>43206.71447916667</v>
      </c>
      <c r="C950" t="n">
        <v>0</v>
      </c>
      <c r="D950" t="n">
        <v>4</v>
      </c>
      <c r="E950" t="s">
        <v>951</v>
      </c>
      <c r="F950">
        <f>HYPERLINK("http://pbs.twimg.com/media/Da6bbI8UwAAyNOY.jpg", "http://pbs.twimg.com/media/Da6bbI8UwAAyNOY.jpg")</f>
        <v/>
      </c>
      <c r="G950" t="s"/>
      <c r="H950" t="s"/>
      <c r="I950" t="s"/>
      <c r="J950" t="n">
        <v>0.2263</v>
      </c>
      <c r="K950" t="n">
        <v>0</v>
      </c>
      <c r="L950" t="n">
        <v>0.909</v>
      </c>
      <c r="M950" t="n">
        <v>0.091</v>
      </c>
    </row>
    <row r="951" spans="1:13">
      <c r="A951" s="1">
        <f>HYPERLINK("http://www.twitter.com/NathanBLawrence/status/985928002327412736", "985928002327412736")</f>
        <v/>
      </c>
      <c r="B951" s="2" t="n">
        <v>43206.71444444444</v>
      </c>
      <c r="C951" t="n">
        <v>0</v>
      </c>
      <c r="D951" t="n">
        <v>1</v>
      </c>
      <c r="E951" t="s">
        <v>952</v>
      </c>
      <c r="F951" t="s"/>
      <c r="G951" t="s"/>
      <c r="H951" t="s"/>
      <c r="I951" t="s"/>
      <c r="J951" t="n">
        <v>0</v>
      </c>
      <c r="K951" t="n">
        <v>0</v>
      </c>
      <c r="L951" t="n">
        <v>1</v>
      </c>
      <c r="M951" t="n">
        <v>0</v>
      </c>
    </row>
    <row r="952" spans="1:13">
      <c r="A952" s="1">
        <f>HYPERLINK("http://www.twitter.com/NathanBLawrence/status/985925047880732672", "985925047880732672")</f>
        <v/>
      </c>
      <c r="B952" s="2" t="n">
        <v>43206.70628472222</v>
      </c>
      <c r="C952" t="n">
        <v>0</v>
      </c>
      <c r="D952" t="n">
        <v>15</v>
      </c>
      <c r="E952" t="s">
        <v>953</v>
      </c>
      <c r="F952" t="s"/>
      <c r="G952" t="s"/>
      <c r="H952" t="s"/>
      <c r="I952" t="s"/>
      <c r="J952" t="n">
        <v>-0.0423</v>
      </c>
      <c r="K952" t="n">
        <v>0.095</v>
      </c>
      <c r="L952" t="n">
        <v>0.8179999999999999</v>
      </c>
      <c r="M952" t="n">
        <v>0.08799999999999999</v>
      </c>
    </row>
    <row r="953" spans="1:13">
      <c r="A953" s="1">
        <f>HYPERLINK("http://www.twitter.com/NathanBLawrence/status/985920154784681985", "985920154784681985")</f>
        <v/>
      </c>
      <c r="B953" s="2" t="n">
        <v>43206.69278935185</v>
      </c>
      <c r="C953" t="n">
        <v>0</v>
      </c>
      <c r="D953" t="n">
        <v>47</v>
      </c>
      <c r="E953" t="s">
        <v>954</v>
      </c>
      <c r="F953" t="s"/>
      <c r="G953" t="s"/>
      <c r="H953" t="s"/>
      <c r="I953" t="s"/>
      <c r="J953" t="n">
        <v>-0.5859</v>
      </c>
      <c r="K953" t="n">
        <v>0.252</v>
      </c>
      <c r="L953" t="n">
        <v>0.65</v>
      </c>
      <c r="M953" t="n">
        <v>0.098</v>
      </c>
    </row>
    <row r="954" spans="1:13">
      <c r="A954" s="1">
        <f>HYPERLINK("http://www.twitter.com/NathanBLawrence/status/985919509012852736", "985919509012852736")</f>
        <v/>
      </c>
      <c r="B954" s="2" t="n">
        <v>43206.69100694444</v>
      </c>
      <c r="C954" t="n">
        <v>1</v>
      </c>
      <c r="D954" t="n">
        <v>0</v>
      </c>
      <c r="E954" t="s">
        <v>955</v>
      </c>
      <c r="F954" t="s"/>
      <c r="G954" t="s"/>
      <c r="H954" t="s"/>
      <c r="I954" t="s"/>
      <c r="J954" t="n">
        <v>0</v>
      </c>
      <c r="K954" t="n">
        <v>0</v>
      </c>
      <c r="L954" t="n">
        <v>1</v>
      </c>
      <c r="M954" t="n">
        <v>0</v>
      </c>
    </row>
    <row r="955" spans="1:13">
      <c r="A955" s="1">
        <f>HYPERLINK("http://www.twitter.com/NathanBLawrence/status/985918009339531264", "985918009339531264")</f>
        <v/>
      </c>
      <c r="B955" s="2" t="n">
        <v>43206.68686342592</v>
      </c>
      <c r="C955" t="n">
        <v>2</v>
      </c>
      <c r="D955" t="n">
        <v>1</v>
      </c>
      <c r="E955" t="s">
        <v>956</v>
      </c>
      <c r="F955" t="s"/>
      <c r="G955" t="s"/>
      <c r="H955" t="s"/>
      <c r="I955" t="s"/>
      <c r="J955" t="n">
        <v>0</v>
      </c>
      <c r="K955" t="n">
        <v>0</v>
      </c>
      <c r="L955" t="n">
        <v>1</v>
      </c>
      <c r="M955" t="n">
        <v>0</v>
      </c>
    </row>
    <row r="956" spans="1:13">
      <c r="A956" s="1">
        <f>HYPERLINK("http://www.twitter.com/NathanBLawrence/status/985911771008512001", "985911771008512001")</f>
        <v/>
      </c>
      <c r="B956" s="2" t="n">
        <v>43206.66965277777</v>
      </c>
      <c r="C956" t="n">
        <v>9</v>
      </c>
      <c r="D956" t="n">
        <v>12</v>
      </c>
      <c r="E956" t="s">
        <v>957</v>
      </c>
      <c r="F956" t="s"/>
      <c r="G956" t="s"/>
      <c r="H956" t="s"/>
      <c r="I956" t="s"/>
      <c r="J956" t="n">
        <v>-0.9022</v>
      </c>
      <c r="K956" t="n">
        <v>0.327</v>
      </c>
      <c r="L956" t="n">
        <v>0.673</v>
      </c>
      <c r="M956" t="n">
        <v>0</v>
      </c>
    </row>
    <row r="957" spans="1:13">
      <c r="A957" s="1">
        <f>HYPERLINK("http://www.twitter.com/NathanBLawrence/status/985908123104956416", "985908123104956416")</f>
        <v/>
      </c>
      <c r="B957" s="2" t="n">
        <v>43206.65958333333</v>
      </c>
      <c r="C957" t="n">
        <v>0</v>
      </c>
      <c r="D957" t="n">
        <v>2</v>
      </c>
      <c r="E957" t="s">
        <v>958</v>
      </c>
      <c r="F957" t="s"/>
      <c r="G957" t="s"/>
      <c r="H957" t="s"/>
      <c r="I957" t="s"/>
      <c r="J957" t="n">
        <v>0.4939</v>
      </c>
      <c r="K957" t="n">
        <v>0</v>
      </c>
      <c r="L957" t="n">
        <v>0.556</v>
      </c>
      <c r="M957" t="n">
        <v>0.444</v>
      </c>
    </row>
    <row r="958" spans="1:13">
      <c r="A958" s="1">
        <f>HYPERLINK("http://www.twitter.com/NathanBLawrence/status/985908064032260096", "985908064032260096")</f>
        <v/>
      </c>
      <c r="B958" s="2" t="n">
        <v>43206.6594212963</v>
      </c>
      <c r="C958" t="n">
        <v>0</v>
      </c>
      <c r="D958" t="n">
        <v>0</v>
      </c>
      <c r="E958" t="s">
        <v>959</v>
      </c>
      <c r="F958" t="s"/>
      <c r="G958" t="s"/>
      <c r="H958" t="s"/>
      <c r="I958" t="s"/>
      <c r="J958" t="n">
        <v>0.4199</v>
      </c>
      <c r="K958" t="n">
        <v>0</v>
      </c>
      <c r="L958" t="n">
        <v>0.518</v>
      </c>
      <c r="M958" t="n">
        <v>0.482</v>
      </c>
    </row>
    <row r="959" spans="1:13">
      <c r="A959" s="1">
        <f>HYPERLINK("http://www.twitter.com/NathanBLawrence/status/985907598229753857", "985907598229753857")</f>
        <v/>
      </c>
      <c r="B959" s="2" t="n">
        <v>43206.65813657407</v>
      </c>
      <c r="C959" t="n">
        <v>0</v>
      </c>
      <c r="D959" t="n">
        <v>0</v>
      </c>
      <c r="E959" t="s">
        <v>960</v>
      </c>
      <c r="F959" t="s"/>
      <c r="G959" t="s"/>
      <c r="H959" t="s"/>
      <c r="I959" t="s"/>
      <c r="J959" t="n">
        <v>0</v>
      </c>
      <c r="K959" t="n">
        <v>0</v>
      </c>
      <c r="L959" t="n">
        <v>1</v>
      </c>
      <c r="M959" t="n">
        <v>0</v>
      </c>
    </row>
    <row r="960" spans="1:13">
      <c r="A960" s="1">
        <f>HYPERLINK("http://www.twitter.com/NathanBLawrence/status/985903494736613376", "985903494736613376")</f>
        <v/>
      </c>
      <c r="B960" s="2" t="n">
        <v>43206.64681712963</v>
      </c>
      <c r="C960" t="n">
        <v>0</v>
      </c>
      <c r="D960" t="n">
        <v>6</v>
      </c>
      <c r="E960" t="s">
        <v>961</v>
      </c>
      <c r="F960" t="s"/>
      <c r="G960" t="s"/>
      <c r="H960" t="s"/>
      <c r="I960" t="s"/>
      <c r="J960" t="n">
        <v>0</v>
      </c>
      <c r="K960" t="n">
        <v>0</v>
      </c>
      <c r="L960" t="n">
        <v>1</v>
      </c>
      <c r="M960" t="n">
        <v>0</v>
      </c>
    </row>
    <row r="961" spans="1:13">
      <c r="A961" s="1">
        <f>HYPERLINK("http://www.twitter.com/NathanBLawrence/status/985903432929284096", "985903432929284096")</f>
        <v/>
      </c>
      <c r="B961" s="2" t="n">
        <v>43206.64664351852</v>
      </c>
      <c r="C961" t="n">
        <v>2</v>
      </c>
      <c r="D961" t="n">
        <v>0</v>
      </c>
      <c r="E961" t="s">
        <v>962</v>
      </c>
      <c r="F961" t="s"/>
      <c r="G961" t="s"/>
      <c r="H961" t="s"/>
      <c r="I961" t="s"/>
      <c r="J961" t="n">
        <v>0</v>
      </c>
      <c r="K961" t="n">
        <v>0</v>
      </c>
      <c r="L961" t="n">
        <v>1</v>
      </c>
      <c r="M961" t="n">
        <v>0</v>
      </c>
    </row>
    <row r="962" spans="1:13">
      <c r="A962" s="1">
        <f>HYPERLINK("http://www.twitter.com/NathanBLawrence/status/985903143283253249", "985903143283253249")</f>
        <v/>
      </c>
      <c r="B962" s="2" t="n">
        <v>43206.64584490741</v>
      </c>
      <c r="C962" t="n">
        <v>0</v>
      </c>
      <c r="D962" t="n">
        <v>0</v>
      </c>
      <c r="E962" t="s">
        <v>963</v>
      </c>
      <c r="F962" t="s"/>
      <c r="G962" t="s"/>
      <c r="H962" t="s"/>
      <c r="I962" t="s"/>
      <c r="J962" t="n">
        <v>0</v>
      </c>
      <c r="K962" t="n">
        <v>0</v>
      </c>
      <c r="L962" t="n">
        <v>1</v>
      </c>
      <c r="M962" t="n">
        <v>0</v>
      </c>
    </row>
    <row r="963" spans="1:13">
      <c r="A963" s="1">
        <f>HYPERLINK("http://www.twitter.com/NathanBLawrence/status/985902960512307200", "985902960512307200")</f>
        <v/>
      </c>
      <c r="B963" s="2" t="n">
        <v>43206.64533564815</v>
      </c>
      <c r="C963" t="n">
        <v>0</v>
      </c>
      <c r="D963" t="n">
        <v>0</v>
      </c>
      <c r="E963" t="s">
        <v>964</v>
      </c>
      <c r="F963" t="s"/>
      <c r="G963" t="s"/>
      <c r="H963" t="s"/>
      <c r="I963" t="s"/>
      <c r="J963" t="n">
        <v>0</v>
      </c>
      <c r="K963" t="n">
        <v>0</v>
      </c>
      <c r="L963" t="n">
        <v>1</v>
      </c>
      <c r="M963" t="n">
        <v>0</v>
      </c>
    </row>
    <row r="964" spans="1:13">
      <c r="A964" s="1">
        <f>HYPERLINK("http://www.twitter.com/NathanBLawrence/status/985902753456230401", "985902753456230401")</f>
        <v/>
      </c>
      <c r="B964" s="2" t="n">
        <v>43206.64476851852</v>
      </c>
      <c r="C964" t="n">
        <v>1</v>
      </c>
      <c r="D964" t="n">
        <v>0</v>
      </c>
      <c r="E964" t="s">
        <v>965</v>
      </c>
      <c r="F964" t="s"/>
      <c r="G964" t="s"/>
      <c r="H964" t="s"/>
      <c r="I964" t="s"/>
      <c r="J964" t="n">
        <v>0</v>
      </c>
      <c r="K964" t="n">
        <v>0</v>
      </c>
      <c r="L964" t="n">
        <v>1</v>
      </c>
      <c r="M964" t="n">
        <v>0</v>
      </c>
    </row>
    <row r="965" spans="1:13">
      <c r="A965" s="1">
        <f>HYPERLINK("http://www.twitter.com/NathanBLawrence/status/985899906383695875", "985899906383695875")</f>
        <v/>
      </c>
      <c r="B965" s="2" t="n">
        <v>43206.63690972222</v>
      </c>
      <c r="C965" t="n">
        <v>46</v>
      </c>
      <c r="D965" t="n">
        <v>40</v>
      </c>
      <c r="E965" t="s">
        <v>966</v>
      </c>
      <c r="F965">
        <f>HYPERLINK("http://pbs.twimg.com/media/Da6etYZXUAIlvCD.jpg", "http://pbs.twimg.com/media/Da6etYZXUAIlvCD.jpg")</f>
        <v/>
      </c>
      <c r="G965" t="s"/>
      <c r="H965" t="s"/>
      <c r="I965" t="s"/>
      <c r="J965" t="n">
        <v>-0.89</v>
      </c>
      <c r="K965" t="n">
        <v>0.219</v>
      </c>
      <c r="L965" t="n">
        <v>0.733</v>
      </c>
      <c r="M965" t="n">
        <v>0.048</v>
      </c>
    </row>
    <row r="966" spans="1:13">
      <c r="A966" s="1">
        <f>HYPERLINK("http://www.twitter.com/NathanBLawrence/status/985896517230845952", "985896517230845952")</f>
        <v/>
      </c>
      <c r="B966" s="2" t="n">
        <v>43206.62755787037</v>
      </c>
      <c r="C966" t="n">
        <v>0</v>
      </c>
      <c r="D966" t="n">
        <v>7</v>
      </c>
      <c r="E966" t="s">
        <v>967</v>
      </c>
      <c r="F966">
        <f>HYPERLINK("http://pbs.twimg.com/media/Da6RHIhUwAENx9n.jpg", "http://pbs.twimg.com/media/Da6RHIhUwAENx9n.jpg")</f>
        <v/>
      </c>
      <c r="G966" t="s"/>
      <c r="H966" t="s"/>
      <c r="I966" t="s"/>
      <c r="J966" t="n">
        <v>-0.3612</v>
      </c>
      <c r="K966" t="n">
        <v>0.161</v>
      </c>
      <c r="L966" t="n">
        <v>0.839</v>
      </c>
      <c r="M966" t="n">
        <v>0</v>
      </c>
    </row>
    <row r="967" spans="1:13">
      <c r="A967" s="1">
        <f>HYPERLINK("http://www.twitter.com/NathanBLawrence/status/985896465326333953", "985896465326333953")</f>
        <v/>
      </c>
      <c r="B967" s="2" t="n">
        <v>43206.62741898148</v>
      </c>
      <c r="C967" t="n">
        <v>0</v>
      </c>
      <c r="D967" t="n">
        <v>7</v>
      </c>
      <c r="E967" t="s">
        <v>968</v>
      </c>
      <c r="F967" t="s"/>
      <c r="G967" t="s"/>
      <c r="H967" t="s"/>
      <c r="I967" t="s"/>
      <c r="J967" t="n">
        <v>0</v>
      </c>
      <c r="K967" t="n">
        <v>0</v>
      </c>
      <c r="L967" t="n">
        <v>1</v>
      </c>
      <c r="M967" t="n">
        <v>0</v>
      </c>
    </row>
    <row r="968" spans="1:13">
      <c r="A968" s="1">
        <f>HYPERLINK("http://www.twitter.com/NathanBLawrence/status/985896349555150848", "985896349555150848")</f>
        <v/>
      </c>
      <c r="B968" s="2" t="n">
        <v>43206.62709490741</v>
      </c>
      <c r="C968" t="n">
        <v>3</v>
      </c>
      <c r="D968" t="n">
        <v>1</v>
      </c>
      <c r="E968" t="s">
        <v>969</v>
      </c>
      <c r="F968" t="s"/>
      <c r="G968" t="s"/>
      <c r="H968" t="s"/>
      <c r="I968" t="s"/>
      <c r="J968" t="n">
        <v>0</v>
      </c>
      <c r="K968" t="n">
        <v>0</v>
      </c>
      <c r="L968" t="n">
        <v>1</v>
      </c>
      <c r="M968" t="n">
        <v>0</v>
      </c>
    </row>
    <row r="969" spans="1:13">
      <c r="A969" s="1">
        <f>HYPERLINK("http://www.twitter.com/NathanBLawrence/status/985891363307905027", "985891363307905027")</f>
        <v/>
      </c>
      <c r="B969" s="2" t="n">
        <v>43206.61333333333</v>
      </c>
      <c r="C969" t="n">
        <v>0</v>
      </c>
      <c r="D969" t="n">
        <v>0</v>
      </c>
      <c r="E969" t="s">
        <v>970</v>
      </c>
      <c r="F969" t="s"/>
      <c r="G969" t="s"/>
      <c r="H969" t="s"/>
      <c r="I969" t="s"/>
      <c r="J969" t="n">
        <v>-0.6588000000000001</v>
      </c>
      <c r="K969" t="n">
        <v>0.099</v>
      </c>
      <c r="L969" t="n">
        <v>0.901</v>
      </c>
      <c r="M969" t="n">
        <v>0</v>
      </c>
    </row>
    <row r="970" spans="1:13">
      <c r="A970" s="1">
        <f>HYPERLINK("http://www.twitter.com/NathanBLawrence/status/985890305454018561", "985890305454018561")</f>
        <v/>
      </c>
      <c r="B970" s="2" t="n">
        <v>43206.61041666667</v>
      </c>
      <c r="C970" t="n">
        <v>0</v>
      </c>
      <c r="D970" t="n">
        <v>0</v>
      </c>
      <c r="E970" t="s">
        <v>971</v>
      </c>
      <c r="F970" t="s"/>
      <c r="G970" t="s"/>
      <c r="H970" t="s"/>
      <c r="I970" t="s"/>
      <c r="J970" t="n">
        <v>0</v>
      </c>
      <c r="K970" t="n">
        <v>0</v>
      </c>
      <c r="L970" t="n">
        <v>1</v>
      </c>
      <c r="M970" t="n">
        <v>0</v>
      </c>
    </row>
    <row r="971" spans="1:13">
      <c r="A971" s="1">
        <f>HYPERLINK("http://www.twitter.com/NathanBLawrence/status/985889988469514240", "985889988469514240")</f>
        <v/>
      </c>
      <c r="B971" s="2" t="n">
        <v>43206.60953703704</v>
      </c>
      <c r="C971" t="n">
        <v>0</v>
      </c>
      <c r="D971" t="n">
        <v>0</v>
      </c>
      <c r="E971" t="s">
        <v>972</v>
      </c>
      <c r="F971" t="s"/>
      <c r="G971" t="s"/>
      <c r="H971" t="s"/>
      <c r="I971" t="s"/>
      <c r="J971" t="n">
        <v>0</v>
      </c>
      <c r="K971" t="n">
        <v>0</v>
      </c>
      <c r="L971" t="n">
        <v>1</v>
      </c>
      <c r="M971" t="n">
        <v>0</v>
      </c>
    </row>
    <row r="972" spans="1:13">
      <c r="A972" s="1">
        <f>HYPERLINK("http://www.twitter.com/NathanBLawrence/status/985888597365673984", "985888597365673984")</f>
        <v/>
      </c>
      <c r="B972" s="2" t="n">
        <v>43206.60570601852</v>
      </c>
      <c r="C972" t="n">
        <v>5</v>
      </c>
      <c r="D972" t="n">
        <v>7</v>
      </c>
      <c r="E972" t="s">
        <v>973</v>
      </c>
      <c r="F972" t="s"/>
      <c r="G972" t="s"/>
      <c r="H972" t="s"/>
      <c r="I972" t="s"/>
      <c r="J972" t="n">
        <v>-0.8799</v>
      </c>
      <c r="K972" t="n">
        <v>0.171</v>
      </c>
      <c r="L972" t="n">
        <v>0.791</v>
      </c>
      <c r="M972" t="n">
        <v>0.039</v>
      </c>
    </row>
    <row r="973" spans="1:13">
      <c r="A973" s="1">
        <f>HYPERLINK("http://www.twitter.com/NathanBLawrence/status/985887303477420033", "985887303477420033")</f>
        <v/>
      </c>
      <c r="B973" s="2" t="n">
        <v>43206.60212962963</v>
      </c>
      <c r="C973" t="n">
        <v>0</v>
      </c>
      <c r="D973" t="n">
        <v>0</v>
      </c>
      <c r="E973" t="s">
        <v>974</v>
      </c>
      <c r="F973" t="s"/>
      <c r="G973" t="s"/>
      <c r="H973" t="s"/>
      <c r="I973" t="s"/>
      <c r="J973" t="n">
        <v>-0.1531</v>
      </c>
      <c r="K973" t="n">
        <v>0.065</v>
      </c>
      <c r="L973" t="n">
        <v>0.882</v>
      </c>
      <c r="M973" t="n">
        <v>0.053</v>
      </c>
    </row>
    <row r="974" spans="1:13">
      <c r="A974" s="1">
        <f>HYPERLINK("http://www.twitter.com/NathanBLawrence/status/985884111565975553", "985884111565975553")</f>
        <v/>
      </c>
      <c r="B974" s="2" t="n">
        <v>43206.59332175926</v>
      </c>
      <c r="C974" t="n">
        <v>4</v>
      </c>
      <c r="D974" t="n">
        <v>2</v>
      </c>
      <c r="E974" t="s">
        <v>975</v>
      </c>
      <c r="F974" t="s"/>
      <c r="G974" t="s"/>
      <c r="H974" t="s"/>
      <c r="I974" t="s"/>
      <c r="J974" t="n">
        <v>0.6288</v>
      </c>
      <c r="K974" t="n">
        <v>0.089</v>
      </c>
      <c r="L974" t="n">
        <v>0.803</v>
      </c>
      <c r="M974" t="n">
        <v>0.108</v>
      </c>
    </row>
    <row r="975" spans="1:13">
      <c r="A975" s="1">
        <f>HYPERLINK("http://www.twitter.com/NathanBLawrence/status/985810606413500416", "985810606413500416")</f>
        <v/>
      </c>
      <c r="B975" s="2" t="n">
        <v>43206.39048611111</v>
      </c>
      <c r="C975" t="n">
        <v>0</v>
      </c>
      <c r="D975" t="n">
        <v>17</v>
      </c>
      <c r="E975" t="s">
        <v>976</v>
      </c>
      <c r="F975">
        <f>HYPERLINK("http://pbs.twimg.com/media/DaBVMNQV4AMsYDF.jpg", "http://pbs.twimg.com/media/DaBVMNQV4AMsYDF.jpg")</f>
        <v/>
      </c>
      <c r="G975" t="s"/>
      <c r="H975" t="s"/>
      <c r="I975" t="s"/>
      <c r="J975" t="n">
        <v>0.4767</v>
      </c>
      <c r="K975" t="n">
        <v>0</v>
      </c>
      <c r="L975" t="n">
        <v>0.881</v>
      </c>
      <c r="M975" t="n">
        <v>0.119</v>
      </c>
    </row>
    <row r="976" spans="1:13">
      <c r="A976" s="1">
        <f>HYPERLINK("http://www.twitter.com/NathanBLawrence/status/985805818267422720", "985805818267422720")</f>
        <v/>
      </c>
      <c r="B976" s="2" t="n">
        <v>43206.37728009259</v>
      </c>
      <c r="C976" t="n">
        <v>0</v>
      </c>
      <c r="D976" t="n">
        <v>8</v>
      </c>
      <c r="E976" t="s">
        <v>977</v>
      </c>
      <c r="F976">
        <f>HYPERLINK("http://pbs.twimg.com/media/DauqCxqVAAEF8Dd.jpg", "http://pbs.twimg.com/media/DauqCxqVAAEF8Dd.jpg")</f>
        <v/>
      </c>
      <c r="G976" t="s"/>
      <c r="H976" t="s"/>
      <c r="I976" t="s"/>
      <c r="J976" t="n">
        <v>0</v>
      </c>
      <c r="K976" t="n">
        <v>0</v>
      </c>
      <c r="L976" t="n">
        <v>1</v>
      </c>
      <c r="M976" t="n">
        <v>0</v>
      </c>
    </row>
    <row r="977" spans="1:13">
      <c r="A977" s="1">
        <f>HYPERLINK("http://www.twitter.com/NathanBLawrence/status/985805793806245888", "985805793806245888")</f>
        <v/>
      </c>
      <c r="B977" s="2" t="n">
        <v>43206.37721064815</v>
      </c>
      <c r="C977" t="n">
        <v>0</v>
      </c>
      <c r="D977" t="n">
        <v>8</v>
      </c>
      <c r="E977" t="s">
        <v>978</v>
      </c>
      <c r="F977">
        <f>HYPERLINK("http://pbs.twimg.com/media/DavLcx3VwAI1In3.jpg", "http://pbs.twimg.com/media/DavLcx3VwAI1In3.jpg")</f>
        <v/>
      </c>
      <c r="G977" t="s"/>
      <c r="H977" t="s"/>
      <c r="I977" t="s"/>
      <c r="J977" t="n">
        <v>0.2815</v>
      </c>
      <c r="K977" t="n">
        <v>0</v>
      </c>
      <c r="L977" t="n">
        <v>0.864</v>
      </c>
      <c r="M977" t="n">
        <v>0.136</v>
      </c>
    </row>
    <row r="978" spans="1:13">
      <c r="A978" s="1">
        <f>HYPERLINK("http://www.twitter.com/NathanBLawrence/status/985805395921899521", "985805395921899521")</f>
        <v/>
      </c>
      <c r="B978" s="2" t="n">
        <v>43206.37611111111</v>
      </c>
      <c r="C978" t="n">
        <v>0</v>
      </c>
      <c r="D978" t="n">
        <v>8</v>
      </c>
      <c r="E978" t="s">
        <v>979</v>
      </c>
      <c r="F978">
        <f>HYPERLINK("http://pbs.twimg.com/media/DavdqwaXcAAa-0I.jpg", "http://pbs.twimg.com/media/DavdqwaXcAAa-0I.jpg")</f>
        <v/>
      </c>
      <c r="G978" t="s"/>
      <c r="H978" t="s"/>
      <c r="I978" t="s"/>
      <c r="J978" t="n">
        <v>0</v>
      </c>
      <c r="K978" t="n">
        <v>0</v>
      </c>
      <c r="L978" t="n">
        <v>1</v>
      </c>
      <c r="M978" t="n">
        <v>0</v>
      </c>
    </row>
    <row r="979" spans="1:13">
      <c r="A979" s="1">
        <f>HYPERLINK("http://www.twitter.com/NathanBLawrence/status/985805248332795904", "985805248332795904")</f>
        <v/>
      </c>
      <c r="B979" s="2" t="n">
        <v>43206.37570601852</v>
      </c>
      <c r="C979" t="n">
        <v>0</v>
      </c>
      <c r="D979" t="n">
        <v>10</v>
      </c>
      <c r="E979" t="s">
        <v>980</v>
      </c>
      <c r="F979">
        <f>HYPERLINK("http://pbs.twimg.com/media/Dav3EptUMAAhdtp.jpg", "http://pbs.twimg.com/media/Dav3EptUMAAhdtp.jpg")</f>
        <v/>
      </c>
      <c r="G979" t="s"/>
      <c r="H979" t="s"/>
      <c r="I979" t="s"/>
      <c r="J979" t="n">
        <v>0</v>
      </c>
      <c r="K979" t="n">
        <v>0</v>
      </c>
      <c r="L979" t="n">
        <v>1</v>
      </c>
      <c r="M979" t="n">
        <v>0</v>
      </c>
    </row>
    <row r="980" spans="1:13">
      <c r="A980" s="1">
        <f>HYPERLINK("http://www.twitter.com/NathanBLawrence/status/985804892898983938", "985804892898983938")</f>
        <v/>
      </c>
      <c r="B980" s="2" t="n">
        <v>43206.37472222222</v>
      </c>
      <c r="C980" t="n">
        <v>0</v>
      </c>
      <c r="D980" t="n">
        <v>28</v>
      </c>
      <c r="E980" t="s">
        <v>981</v>
      </c>
      <c r="F980" t="s"/>
      <c r="G980" t="s"/>
      <c r="H980" t="s"/>
      <c r="I980" t="s"/>
      <c r="J980" t="n">
        <v>0.3182</v>
      </c>
      <c r="K980" t="n">
        <v>0</v>
      </c>
      <c r="L980" t="n">
        <v>0.892</v>
      </c>
      <c r="M980" t="n">
        <v>0.108</v>
      </c>
    </row>
    <row r="981" spans="1:13">
      <c r="A981" s="1">
        <f>HYPERLINK("http://www.twitter.com/NathanBLawrence/status/985804810044796928", "985804810044796928")</f>
        <v/>
      </c>
      <c r="B981" s="2" t="n">
        <v>43206.37449074074</v>
      </c>
      <c r="C981" t="n">
        <v>0</v>
      </c>
      <c r="D981" t="n">
        <v>8</v>
      </c>
      <c r="E981" t="s">
        <v>982</v>
      </c>
      <c r="F981">
        <f>HYPERLINK("http://pbs.twimg.com/media/DawCXHWXkAAbASv.jpg", "http://pbs.twimg.com/media/DawCXHWXkAAbASv.jpg")</f>
        <v/>
      </c>
      <c r="G981" t="s"/>
      <c r="H981" t="s"/>
      <c r="I981" t="s"/>
      <c r="J981" t="n">
        <v>0</v>
      </c>
      <c r="K981" t="n">
        <v>0</v>
      </c>
      <c r="L981" t="n">
        <v>1</v>
      </c>
      <c r="M981" t="n">
        <v>0</v>
      </c>
    </row>
    <row r="982" spans="1:13">
      <c r="A982" s="1">
        <f>HYPERLINK("http://www.twitter.com/NathanBLawrence/status/985804764356149248", "985804764356149248")</f>
        <v/>
      </c>
      <c r="B982" s="2" t="n">
        <v>43206.37436342592</v>
      </c>
      <c r="C982" t="n">
        <v>0</v>
      </c>
      <c r="D982" t="n">
        <v>5</v>
      </c>
      <c r="E982" t="s">
        <v>983</v>
      </c>
      <c r="F982">
        <f>HYPERLINK("http://pbs.twimg.com/media/DawDh2BU0AAn0dO.jpg", "http://pbs.twimg.com/media/DawDh2BU0AAn0dO.jpg")</f>
        <v/>
      </c>
      <c r="G982" t="s"/>
      <c r="H982" t="s"/>
      <c r="I982" t="s"/>
      <c r="J982" t="n">
        <v>0</v>
      </c>
      <c r="K982" t="n">
        <v>0</v>
      </c>
      <c r="L982" t="n">
        <v>1</v>
      </c>
      <c r="M982" t="n">
        <v>0</v>
      </c>
    </row>
    <row r="983" spans="1:13">
      <c r="A983" s="1">
        <f>HYPERLINK("http://www.twitter.com/NathanBLawrence/status/985804613499670528", "985804613499670528")</f>
        <v/>
      </c>
      <c r="B983" s="2" t="n">
        <v>43206.37394675926</v>
      </c>
      <c r="C983" t="n">
        <v>0</v>
      </c>
      <c r="D983" t="n">
        <v>12</v>
      </c>
      <c r="E983" t="s">
        <v>984</v>
      </c>
      <c r="F983">
        <f>HYPERLINK("http://pbs.twimg.com/media/DawIi6aWsAEsFFx.jpg", "http://pbs.twimg.com/media/DawIi6aWsAEsFFx.jpg")</f>
        <v/>
      </c>
      <c r="G983" t="s"/>
      <c r="H983" t="s"/>
      <c r="I983" t="s"/>
      <c r="J983" t="n">
        <v>-0.7184</v>
      </c>
      <c r="K983" t="n">
        <v>0.353</v>
      </c>
      <c r="L983" t="n">
        <v>0.647</v>
      </c>
      <c r="M983" t="n">
        <v>0</v>
      </c>
    </row>
    <row r="984" spans="1:13">
      <c r="A984" s="1">
        <f>HYPERLINK("http://www.twitter.com/NathanBLawrence/status/985804390706614273", "985804390706614273")</f>
        <v/>
      </c>
      <c r="B984" s="2" t="n">
        <v>43206.37333333334</v>
      </c>
      <c r="C984" t="n">
        <v>0</v>
      </c>
      <c r="D984" t="n">
        <v>2</v>
      </c>
      <c r="E984" t="s">
        <v>985</v>
      </c>
      <c r="F984">
        <f>HYPERLINK("http://pbs.twimg.com/media/DawjEU_X0AAgvxx.jpg", "http://pbs.twimg.com/media/DawjEU_X0AAgvxx.jpg")</f>
        <v/>
      </c>
      <c r="G984" t="s"/>
      <c r="H984" t="s"/>
      <c r="I984" t="s"/>
      <c r="J984" t="n">
        <v>0</v>
      </c>
      <c r="K984" t="n">
        <v>0</v>
      </c>
      <c r="L984" t="n">
        <v>1</v>
      </c>
      <c r="M984" t="n">
        <v>0</v>
      </c>
    </row>
    <row r="985" spans="1:13">
      <c r="A985" s="1">
        <f>HYPERLINK("http://www.twitter.com/NathanBLawrence/status/985803960312311808", "985803960312311808")</f>
        <v/>
      </c>
      <c r="B985" s="2" t="n">
        <v>43206.37215277777</v>
      </c>
      <c r="C985" t="n">
        <v>0</v>
      </c>
      <c r="D985" t="n">
        <v>9</v>
      </c>
      <c r="E985" t="s">
        <v>986</v>
      </c>
      <c r="F985" t="s"/>
      <c r="G985" t="s"/>
      <c r="H985" t="s"/>
      <c r="I985" t="s"/>
      <c r="J985" t="n">
        <v>0.2263</v>
      </c>
      <c r="K985" t="n">
        <v>0.154</v>
      </c>
      <c r="L985" t="n">
        <v>0.696</v>
      </c>
      <c r="M985" t="n">
        <v>0.15</v>
      </c>
    </row>
    <row r="986" spans="1:13">
      <c r="A986" s="1">
        <f>HYPERLINK("http://www.twitter.com/NathanBLawrence/status/985803899666927616", "985803899666927616")</f>
        <v/>
      </c>
      <c r="B986" s="2" t="n">
        <v>43206.37197916667</v>
      </c>
      <c r="C986" t="n">
        <v>0</v>
      </c>
      <c r="D986" t="n">
        <v>2</v>
      </c>
      <c r="E986" t="s">
        <v>987</v>
      </c>
      <c r="F986" t="s"/>
      <c r="G986" t="s"/>
      <c r="H986" t="s"/>
      <c r="I986" t="s"/>
      <c r="J986" t="n">
        <v>-0.2263</v>
      </c>
      <c r="K986" t="n">
        <v>0.188</v>
      </c>
      <c r="L986" t="n">
        <v>0.6929999999999999</v>
      </c>
      <c r="M986" t="n">
        <v>0.119</v>
      </c>
    </row>
    <row r="987" spans="1:13">
      <c r="A987" s="1">
        <f>HYPERLINK("http://www.twitter.com/NathanBLawrence/status/985803044259590144", "985803044259590144")</f>
        <v/>
      </c>
      <c r="B987" s="2" t="n">
        <v>43206.36961805556</v>
      </c>
      <c r="C987" t="n">
        <v>0</v>
      </c>
      <c r="D987" t="n">
        <v>2</v>
      </c>
      <c r="E987" t="s">
        <v>988</v>
      </c>
      <c r="F987">
        <f>HYPERLINK("http://pbs.twimg.com/media/Da1f0aHXkAEIhsR.jpg", "http://pbs.twimg.com/media/Da1f0aHXkAEIhsR.jpg")</f>
        <v/>
      </c>
      <c r="G987" t="s"/>
      <c r="H987" t="s"/>
      <c r="I987" t="s"/>
      <c r="J987" t="n">
        <v>0.4215</v>
      </c>
      <c r="K987" t="n">
        <v>0</v>
      </c>
      <c r="L987" t="n">
        <v>0.833</v>
      </c>
      <c r="M987" t="n">
        <v>0.167</v>
      </c>
    </row>
    <row r="988" spans="1:13">
      <c r="A988" s="1">
        <f>HYPERLINK("http://www.twitter.com/NathanBLawrence/status/985802963724701696", "985802963724701696")</f>
        <v/>
      </c>
      <c r="B988" s="2" t="n">
        <v>43206.36939814815</v>
      </c>
      <c r="C988" t="n">
        <v>0</v>
      </c>
      <c r="D988" t="n">
        <v>6</v>
      </c>
      <c r="E988" t="s">
        <v>989</v>
      </c>
      <c r="F988" t="s"/>
      <c r="G988" t="s"/>
      <c r="H988" t="s"/>
      <c r="I988" t="s"/>
      <c r="J988" t="n">
        <v>0.5719</v>
      </c>
      <c r="K988" t="n">
        <v>0</v>
      </c>
      <c r="L988" t="n">
        <v>0.778</v>
      </c>
      <c r="M988" t="n">
        <v>0.222</v>
      </c>
    </row>
    <row r="989" spans="1:13">
      <c r="A989" s="1">
        <f>HYPERLINK("http://www.twitter.com/NathanBLawrence/status/985802699533938688", "985802699533938688")</f>
        <v/>
      </c>
      <c r="B989" s="2" t="n">
        <v>43206.36866898148</v>
      </c>
      <c r="C989" t="n">
        <v>0</v>
      </c>
      <c r="D989" t="n">
        <v>4</v>
      </c>
      <c r="E989" t="s">
        <v>990</v>
      </c>
      <c r="F989">
        <f>HYPERLINK("http://pbs.twimg.com/media/Da1nqRrUwAE6MYT.jpg", "http://pbs.twimg.com/media/Da1nqRrUwAE6MYT.jpg")</f>
        <v/>
      </c>
      <c r="G989" t="s"/>
      <c r="H989" t="s"/>
      <c r="I989" t="s"/>
      <c r="J989" t="n">
        <v>0</v>
      </c>
      <c r="K989" t="n">
        <v>0</v>
      </c>
      <c r="L989" t="n">
        <v>1</v>
      </c>
      <c r="M989" t="n">
        <v>0</v>
      </c>
    </row>
    <row r="990" spans="1:13">
      <c r="A990" s="1">
        <f>HYPERLINK("http://www.twitter.com/NathanBLawrence/status/985802545074442240", "985802545074442240")</f>
        <v/>
      </c>
      <c r="B990" s="2" t="n">
        <v>43206.36824074074</v>
      </c>
      <c r="C990" t="n">
        <v>0</v>
      </c>
      <c r="D990" t="n">
        <v>12</v>
      </c>
      <c r="E990" t="s">
        <v>991</v>
      </c>
      <c r="F990">
        <f>HYPERLINK("http://pbs.twimg.com/media/Da2P_v7VAAAQ-9X.jpg", "http://pbs.twimg.com/media/Da2P_v7VAAAQ-9X.jpg")</f>
        <v/>
      </c>
      <c r="G990" t="s"/>
      <c r="H990" t="s"/>
      <c r="I990" t="s"/>
      <c r="J990" t="n">
        <v>0</v>
      </c>
      <c r="K990" t="n">
        <v>0</v>
      </c>
      <c r="L990" t="n">
        <v>1</v>
      </c>
      <c r="M990" t="n">
        <v>0</v>
      </c>
    </row>
    <row r="991" spans="1:13">
      <c r="A991" s="1">
        <f>HYPERLINK("http://www.twitter.com/NathanBLawrence/status/985802422126874624", "985802422126874624")</f>
        <v/>
      </c>
      <c r="B991" s="2" t="n">
        <v>43206.36790509259</v>
      </c>
      <c r="C991" t="n">
        <v>0</v>
      </c>
      <c r="D991" t="n">
        <v>6</v>
      </c>
      <c r="E991" t="s">
        <v>992</v>
      </c>
      <c r="F991" t="s"/>
      <c r="G991" t="s"/>
      <c r="H991" t="s"/>
      <c r="I991" t="s"/>
      <c r="J991" t="n">
        <v>0.0258</v>
      </c>
      <c r="K991" t="n">
        <v>0</v>
      </c>
      <c r="L991" t="n">
        <v>0.922</v>
      </c>
      <c r="M991" t="n">
        <v>0.078</v>
      </c>
    </row>
    <row r="992" spans="1:13">
      <c r="A992" s="1">
        <f>HYPERLINK("http://www.twitter.com/NathanBLawrence/status/985801958098374656", "985801958098374656")</f>
        <v/>
      </c>
      <c r="B992" s="2" t="n">
        <v>43206.36662037037</v>
      </c>
      <c r="C992" t="n">
        <v>0</v>
      </c>
      <c r="D992" t="n">
        <v>2</v>
      </c>
      <c r="E992" t="s">
        <v>993</v>
      </c>
      <c r="F992" t="s"/>
      <c r="G992" t="s"/>
      <c r="H992" t="s"/>
      <c r="I992" t="s"/>
      <c r="J992" t="n">
        <v>0</v>
      </c>
      <c r="K992" t="n">
        <v>0</v>
      </c>
      <c r="L992" t="n">
        <v>1</v>
      </c>
      <c r="M992" t="n">
        <v>0</v>
      </c>
    </row>
    <row r="993" spans="1:13">
      <c r="A993" s="1">
        <f>HYPERLINK("http://www.twitter.com/NathanBLawrence/status/985801835213656064", "985801835213656064")</f>
        <v/>
      </c>
      <c r="B993" s="2" t="n">
        <v>43206.36628472222</v>
      </c>
      <c r="C993" t="n">
        <v>0</v>
      </c>
      <c r="D993" t="n">
        <v>8</v>
      </c>
      <c r="E993" t="s">
        <v>994</v>
      </c>
      <c r="F993" t="s"/>
      <c r="G993" t="s"/>
      <c r="H993" t="s"/>
      <c r="I993" t="s"/>
      <c r="J993" t="n">
        <v>0</v>
      </c>
      <c r="K993" t="n">
        <v>0</v>
      </c>
      <c r="L993" t="n">
        <v>1</v>
      </c>
      <c r="M993" t="n">
        <v>0</v>
      </c>
    </row>
    <row r="994" spans="1:13">
      <c r="A994" s="1">
        <f>HYPERLINK("http://www.twitter.com/NathanBLawrence/status/985801772773068800", "985801772773068800")</f>
        <v/>
      </c>
      <c r="B994" s="2" t="n">
        <v>43206.36611111111</v>
      </c>
      <c r="C994" t="n">
        <v>0</v>
      </c>
      <c r="D994" t="n">
        <v>3</v>
      </c>
      <c r="E994" t="s">
        <v>995</v>
      </c>
      <c r="F994" t="s"/>
      <c r="G994" t="s"/>
      <c r="H994" t="s"/>
      <c r="I994" t="s"/>
      <c r="J994" t="n">
        <v>0</v>
      </c>
      <c r="K994" t="n">
        <v>0</v>
      </c>
      <c r="L994" t="n">
        <v>1</v>
      </c>
      <c r="M994" t="n">
        <v>0</v>
      </c>
    </row>
    <row r="995" spans="1:13">
      <c r="A995" s="1">
        <f>HYPERLINK("http://www.twitter.com/NathanBLawrence/status/985801610151563264", "985801610151563264")</f>
        <v/>
      </c>
      <c r="B995" s="2" t="n">
        <v>43206.36565972222</v>
      </c>
      <c r="C995" t="n">
        <v>0</v>
      </c>
      <c r="D995" t="n">
        <v>19</v>
      </c>
      <c r="E995" t="s">
        <v>996</v>
      </c>
      <c r="F995" t="s"/>
      <c r="G995" t="s"/>
      <c r="H995" t="s"/>
      <c r="I995" t="s"/>
      <c r="J995" t="n">
        <v>-0.5983000000000001</v>
      </c>
      <c r="K995" t="n">
        <v>0.197</v>
      </c>
      <c r="L995" t="n">
        <v>0.803</v>
      </c>
      <c r="M995" t="n">
        <v>0</v>
      </c>
    </row>
    <row r="996" spans="1:13">
      <c r="A996" s="1">
        <f>HYPERLINK("http://www.twitter.com/NathanBLawrence/status/985801420116058112", "985801420116058112")</f>
        <v/>
      </c>
      <c r="B996" s="2" t="n">
        <v>43206.36513888889</v>
      </c>
      <c r="C996" t="n">
        <v>0</v>
      </c>
      <c r="D996" t="n">
        <v>150</v>
      </c>
      <c r="E996" t="s">
        <v>997</v>
      </c>
      <c r="F996">
        <f>HYPERLINK("http://pbs.twimg.com/media/Da4A_m3XcAAyPe0.jpg", "http://pbs.twimg.com/media/Da4A_m3XcAAyPe0.jpg")</f>
        <v/>
      </c>
      <c r="G996">
        <f>HYPERLINK("http://pbs.twimg.com/media/Da4BAIDX4AAvviB.jpg", "http://pbs.twimg.com/media/Da4BAIDX4AAvviB.jpg")</f>
        <v/>
      </c>
      <c r="H996">
        <f>HYPERLINK("http://pbs.twimg.com/media/Da4BApMW4AEwOA2.jpg", "http://pbs.twimg.com/media/Da4BApMW4AEwOA2.jpg")</f>
        <v/>
      </c>
      <c r="I996">
        <f>HYPERLINK("http://pbs.twimg.com/media/Da4BCFnWsAAQBOS.jpg", "http://pbs.twimg.com/media/Da4BCFnWsAAQBOS.jpg")</f>
        <v/>
      </c>
      <c r="J996" t="n">
        <v>0.9323</v>
      </c>
      <c r="K996" t="n">
        <v>0</v>
      </c>
      <c r="L996" t="n">
        <v>0.606</v>
      </c>
      <c r="M996" t="n">
        <v>0.394</v>
      </c>
    </row>
    <row r="997" spans="1:13">
      <c r="A997" s="1">
        <f>HYPERLINK("http://www.twitter.com/NathanBLawrence/status/985801074744483841", "985801074744483841")</f>
        <v/>
      </c>
      <c r="B997" s="2" t="n">
        <v>43206.36418981481</v>
      </c>
      <c r="C997" t="n">
        <v>0</v>
      </c>
      <c r="D997" t="n">
        <v>1</v>
      </c>
      <c r="E997" t="s">
        <v>998</v>
      </c>
      <c r="F997" t="s"/>
      <c r="G997" t="s"/>
      <c r="H997" t="s"/>
      <c r="I997" t="s"/>
      <c r="J997" t="n">
        <v>-0.5293</v>
      </c>
      <c r="K997" t="n">
        <v>0.222</v>
      </c>
      <c r="L997" t="n">
        <v>0.778</v>
      </c>
      <c r="M997" t="n">
        <v>0</v>
      </c>
    </row>
    <row r="998" spans="1:13">
      <c r="A998" s="1">
        <f>HYPERLINK("http://www.twitter.com/NathanBLawrence/status/985795804475613185", "985795804475613185")</f>
        <v/>
      </c>
      <c r="B998" s="2" t="n">
        <v>43206.34964120371</v>
      </c>
      <c r="C998" t="n">
        <v>0</v>
      </c>
      <c r="D998" t="n">
        <v>14</v>
      </c>
      <c r="E998" t="s">
        <v>999</v>
      </c>
      <c r="F998">
        <f>HYPERLINK("http://pbs.twimg.com/media/Da49JsNUMAAYf8W.jpg", "http://pbs.twimg.com/media/Da49JsNUMAAYf8W.jpg")</f>
        <v/>
      </c>
      <c r="G998" t="s"/>
      <c r="H998" t="s"/>
      <c r="I998" t="s"/>
      <c r="J998" t="n">
        <v>0.4391</v>
      </c>
      <c r="K998" t="n">
        <v>0</v>
      </c>
      <c r="L998" t="n">
        <v>0.892</v>
      </c>
      <c r="M998" t="n">
        <v>0.108</v>
      </c>
    </row>
    <row r="999" spans="1:13">
      <c r="A999" s="1">
        <f>HYPERLINK("http://www.twitter.com/NathanBLawrence/status/985715400024494080", "985715400024494080")</f>
        <v/>
      </c>
      <c r="B999" s="2" t="n">
        <v>43206.1277662037</v>
      </c>
      <c r="C999" t="n">
        <v>1</v>
      </c>
      <c r="D999" t="n">
        <v>0</v>
      </c>
      <c r="E999" t="s">
        <v>1000</v>
      </c>
      <c r="F999" t="s"/>
      <c r="G999" t="s"/>
      <c r="H999" t="s"/>
      <c r="I999" t="s"/>
      <c r="J999" t="n">
        <v>0</v>
      </c>
      <c r="K999" t="n">
        <v>0</v>
      </c>
      <c r="L999" t="n">
        <v>1</v>
      </c>
      <c r="M999" t="n">
        <v>0</v>
      </c>
    </row>
    <row r="1000" spans="1:13">
      <c r="A1000" s="1">
        <f>HYPERLINK("http://www.twitter.com/NathanBLawrence/status/985682693139652608", "985682693139652608")</f>
        <v/>
      </c>
      <c r="B1000" s="2" t="n">
        <v>43206.03751157408</v>
      </c>
      <c r="C1000" t="n">
        <v>0</v>
      </c>
      <c r="D1000" t="n">
        <v>13</v>
      </c>
      <c r="E1000" t="s">
        <v>1001</v>
      </c>
      <c r="F1000" t="s"/>
      <c r="G1000" t="s"/>
      <c r="H1000" t="s"/>
      <c r="I1000" t="s"/>
      <c r="J1000" t="n">
        <v>0.5106000000000001</v>
      </c>
      <c r="K1000" t="n">
        <v>0.05</v>
      </c>
      <c r="L1000" t="n">
        <v>0.772</v>
      </c>
      <c r="M1000" t="n">
        <v>0.178</v>
      </c>
    </row>
    <row r="1001" spans="1:13">
      <c r="A1001" s="1">
        <f>HYPERLINK("http://www.twitter.com/NathanBLawrence/status/985564186766954498", "985564186766954498")</f>
        <v/>
      </c>
      <c r="B1001" s="2" t="n">
        <v>43205.71049768518</v>
      </c>
      <c r="C1001" t="n">
        <v>0</v>
      </c>
      <c r="D1001" t="n">
        <v>15</v>
      </c>
      <c r="E1001" t="s">
        <v>1002</v>
      </c>
      <c r="F1001" t="s"/>
      <c r="G1001" t="s"/>
      <c r="H1001" t="s"/>
      <c r="I1001" t="s"/>
      <c r="J1001" t="n">
        <v>-0.296</v>
      </c>
      <c r="K1001" t="n">
        <v>0.095</v>
      </c>
      <c r="L1001" t="n">
        <v>0.905</v>
      </c>
      <c r="M1001" t="n">
        <v>0</v>
      </c>
    </row>
    <row r="1002" spans="1:13">
      <c r="A1002" s="1">
        <f>HYPERLINK("http://www.twitter.com/NathanBLawrence/status/985564032513003525", "985564032513003525")</f>
        <v/>
      </c>
      <c r="B1002" s="2" t="n">
        <v>43205.71006944445</v>
      </c>
      <c r="C1002" t="n">
        <v>0</v>
      </c>
      <c r="D1002" t="n">
        <v>4</v>
      </c>
      <c r="E1002" t="s">
        <v>1003</v>
      </c>
      <c r="F1002" t="s"/>
      <c r="G1002" t="s"/>
      <c r="H1002" t="s"/>
      <c r="I1002" t="s"/>
      <c r="J1002" t="n">
        <v>0.0258</v>
      </c>
      <c r="K1002" t="n">
        <v>0.105</v>
      </c>
      <c r="L1002" t="n">
        <v>0.786</v>
      </c>
      <c r="M1002" t="n">
        <v>0.109</v>
      </c>
    </row>
    <row r="1003" spans="1:13">
      <c r="A1003" s="1">
        <f>HYPERLINK("http://www.twitter.com/NathanBLawrence/status/985554549812363266", "985554549812363266")</f>
        <v/>
      </c>
      <c r="B1003" s="2" t="n">
        <v>43205.68391203704</v>
      </c>
      <c r="C1003" t="n">
        <v>0</v>
      </c>
      <c r="D1003" t="n">
        <v>11</v>
      </c>
      <c r="E1003" t="s">
        <v>1004</v>
      </c>
      <c r="F1003">
        <f>HYPERLINK("http://pbs.twimg.com/media/Da1Gda4V4AAeXB5.jpg", "http://pbs.twimg.com/media/Da1Gda4V4AAeXB5.jpg")</f>
        <v/>
      </c>
      <c r="G1003" t="s"/>
      <c r="H1003" t="s"/>
      <c r="I1003" t="s"/>
      <c r="J1003" t="n">
        <v>-0.5707</v>
      </c>
      <c r="K1003" t="n">
        <v>0.27</v>
      </c>
      <c r="L1003" t="n">
        <v>0.73</v>
      </c>
      <c r="M1003" t="n">
        <v>0</v>
      </c>
    </row>
    <row r="1004" spans="1:13">
      <c r="A1004" s="1">
        <f>HYPERLINK("http://www.twitter.com/NathanBLawrence/status/985549982777401344", "985549982777401344")</f>
        <v/>
      </c>
      <c r="B1004" s="2" t="n">
        <v>43205.67130787037</v>
      </c>
      <c r="C1004" t="n">
        <v>0</v>
      </c>
      <c r="D1004" t="n">
        <v>14</v>
      </c>
      <c r="E1004" t="s">
        <v>1005</v>
      </c>
      <c r="F1004" t="s"/>
      <c r="G1004" t="s"/>
      <c r="H1004" t="s"/>
      <c r="I1004" t="s"/>
      <c r="J1004" t="n">
        <v>0.3612</v>
      </c>
      <c r="K1004" t="n">
        <v>0</v>
      </c>
      <c r="L1004" t="n">
        <v>0.839</v>
      </c>
      <c r="M1004" t="n">
        <v>0.161</v>
      </c>
    </row>
    <row r="1005" spans="1:13">
      <c r="A1005" s="1">
        <f>HYPERLINK("http://www.twitter.com/NathanBLawrence/status/985549020767678464", "985549020767678464")</f>
        <v/>
      </c>
      <c r="B1005" s="2" t="n">
        <v>43205.66864583334</v>
      </c>
      <c r="C1005" t="n">
        <v>0</v>
      </c>
      <c r="D1005" t="n">
        <v>7</v>
      </c>
      <c r="E1005" t="s">
        <v>1006</v>
      </c>
      <c r="F1005">
        <f>HYPERLINK("http://pbs.twimg.com/media/Da1b2JCVAAEoWNM.jpg", "http://pbs.twimg.com/media/Da1b2JCVAAEoWNM.jpg")</f>
        <v/>
      </c>
      <c r="G1005" t="s"/>
      <c r="H1005" t="s"/>
      <c r="I1005" t="s"/>
      <c r="J1005" t="n">
        <v>0</v>
      </c>
      <c r="K1005" t="n">
        <v>0</v>
      </c>
      <c r="L1005" t="n">
        <v>1</v>
      </c>
      <c r="M1005" t="n">
        <v>0</v>
      </c>
    </row>
    <row r="1006" spans="1:13">
      <c r="A1006" s="1">
        <f>HYPERLINK("http://www.twitter.com/NathanBLawrence/status/985535222593871877", "985535222593871877")</f>
        <v/>
      </c>
      <c r="B1006" s="2" t="n">
        <v>43205.63057870371</v>
      </c>
      <c r="C1006" t="n">
        <v>0</v>
      </c>
      <c r="D1006" t="n">
        <v>8</v>
      </c>
      <c r="E1006" t="s">
        <v>1007</v>
      </c>
      <c r="F1006" t="s"/>
      <c r="G1006" t="s"/>
      <c r="H1006" t="s"/>
      <c r="I1006" t="s"/>
      <c r="J1006" t="n">
        <v>0.4939</v>
      </c>
      <c r="K1006" t="n">
        <v>0</v>
      </c>
      <c r="L1006" t="n">
        <v>0.856</v>
      </c>
      <c r="M1006" t="n">
        <v>0.144</v>
      </c>
    </row>
    <row r="1007" spans="1:13">
      <c r="A1007" s="1">
        <f>HYPERLINK("http://www.twitter.com/NathanBLawrence/status/985388875391619072", "985388875391619072")</f>
        <v/>
      </c>
      <c r="B1007" s="2" t="n">
        <v>43205.22673611111</v>
      </c>
      <c r="C1007" t="n">
        <v>0</v>
      </c>
      <c r="D1007" t="n">
        <v>14</v>
      </c>
      <c r="E1007" t="s">
        <v>1008</v>
      </c>
      <c r="F1007">
        <f>HYPERLINK("http://pbs.twimg.com/media/Davv9rQW4AAJZ-t.jpg", "http://pbs.twimg.com/media/Davv9rQW4AAJZ-t.jpg")</f>
        <v/>
      </c>
      <c r="G1007">
        <f>HYPERLINK("http://pbs.twimg.com/media/Davv-soXcAIBJc8.jpg", "http://pbs.twimg.com/media/Davv-soXcAIBJc8.jpg")</f>
        <v/>
      </c>
      <c r="H1007">
        <f>HYPERLINK("http://pbs.twimg.com/media/Davv_p4X0AAG7fX.jpg", "http://pbs.twimg.com/media/Davv_p4X0AAG7fX.jpg")</f>
        <v/>
      </c>
      <c r="I1007" t="s"/>
      <c r="J1007" t="n">
        <v>-0.6107</v>
      </c>
      <c r="K1007" t="n">
        <v>0.172</v>
      </c>
      <c r="L1007" t="n">
        <v>0.828</v>
      </c>
      <c r="M1007" t="n">
        <v>0</v>
      </c>
    </row>
    <row r="1008" spans="1:13">
      <c r="A1008" s="1">
        <f>HYPERLINK("http://www.twitter.com/NathanBLawrence/status/985386456238653440", "985386456238653440")</f>
        <v/>
      </c>
      <c r="B1008" s="2" t="n">
        <v>43205.22005787037</v>
      </c>
      <c r="C1008" t="n">
        <v>0</v>
      </c>
      <c r="D1008" t="n">
        <v>1</v>
      </c>
      <c r="E1008" t="s">
        <v>1009</v>
      </c>
      <c r="F1008" t="s"/>
      <c r="G1008" t="s"/>
      <c r="H1008" t="s"/>
      <c r="I1008" t="s"/>
      <c r="J1008" t="n">
        <v>0</v>
      </c>
      <c r="K1008" t="n">
        <v>0</v>
      </c>
      <c r="L1008" t="n">
        <v>1</v>
      </c>
      <c r="M1008" t="n">
        <v>0</v>
      </c>
    </row>
    <row r="1009" spans="1:13">
      <c r="A1009" s="1">
        <f>HYPERLINK("http://www.twitter.com/NathanBLawrence/status/985384185279012867", "985384185279012867")</f>
        <v/>
      </c>
      <c r="B1009" s="2" t="n">
        <v>43205.21378472223</v>
      </c>
      <c r="C1009" t="n">
        <v>0</v>
      </c>
      <c r="D1009" t="n">
        <v>46</v>
      </c>
      <c r="E1009" t="s">
        <v>1010</v>
      </c>
      <c r="F1009" t="s"/>
      <c r="G1009" t="s"/>
      <c r="H1009" t="s"/>
      <c r="I1009" t="s"/>
      <c r="J1009" t="n">
        <v>-0.8331</v>
      </c>
      <c r="K1009" t="n">
        <v>0.356</v>
      </c>
      <c r="L1009" t="n">
        <v>0.644</v>
      </c>
      <c r="M1009" t="n">
        <v>0</v>
      </c>
    </row>
    <row r="1010" spans="1:13">
      <c r="A1010" s="1">
        <f>HYPERLINK("http://www.twitter.com/NathanBLawrence/status/985372480704524289", "985372480704524289")</f>
        <v/>
      </c>
      <c r="B1010" s="2" t="n">
        <v>43205.18149305556</v>
      </c>
      <c r="C1010" t="n">
        <v>5</v>
      </c>
      <c r="D1010" t="n">
        <v>2</v>
      </c>
      <c r="E1010" t="s">
        <v>1011</v>
      </c>
      <c r="F1010">
        <f>HYPERLINK("http://pbs.twimg.com/media/Day_BenX0AArZvR.jpg", "http://pbs.twimg.com/media/Day_BenX0AArZvR.jpg")</f>
        <v/>
      </c>
      <c r="G1010" t="s"/>
      <c r="H1010" t="s"/>
      <c r="I1010" t="s"/>
      <c r="J1010" t="n">
        <v>0</v>
      </c>
      <c r="K1010" t="n">
        <v>0</v>
      </c>
      <c r="L1010" t="n">
        <v>1</v>
      </c>
      <c r="M1010" t="n">
        <v>0</v>
      </c>
    </row>
    <row r="1011" spans="1:13">
      <c r="A1011" s="1">
        <f>HYPERLINK("http://www.twitter.com/NathanBLawrence/status/985370293551198208", "985370293551198208")</f>
        <v/>
      </c>
      <c r="B1011" s="2" t="n">
        <v>43205.17545138889</v>
      </c>
      <c r="C1011" t="n">
        <v>0</v>
      </c>
      <c r="D1011" t="n">
        <v>967</v>
      </c>
      <c r="E1011" t="s">
        <v>1012</v>
      </c>
      <c r="F1011">
        <f>HYPERLINK("http://pbs.twimg.com/media/DaxkfTNV4AAEtIV.jpg", "http://pbs.twimg.com/media/DaxkfTNV4AAEtIV.jpg")</f>
        <v/>
      </c>
      <c r="G1011" t="s"/>
      <c r="H1011" t="s"/>
      <c r="I1011" t="s"/>
      <c r="J1011" t="n">
        <v>0.7887</v>
      </c>
      <c r="K1011" t="n">
        <v>0</v>
      </c>
      <c r="L1011" t="n">
        <v>0.705</v>
      </c>
      <c r="M1011" t="n">
        <v>0.295</v>
      </c>
    </row>
    <row r="1012" spans="1:13">
      <c r="A1012" s="1">
        <f>HYPERLINK("http://www.twitter.com/NathanBLawrence/status/985363681352605696", "985363681352605696")</f>
        <v/>
      </c>
      <c r="B1012" s="2" t="n">
        <v>43205.15721064815</v>
      </c>
      <c r="C1012" t="n">
        <v>4</v>
      </c>
      <c r="D1012" t="n">
        <v>4</v>
      </c>
      <c r="E1012" t="s">
        <v>1013</v>
      </c>
      <c r="F1012">
        <f>HYPERLINK("http://pbs.twimg.com/media/Day3AvBXkAA2EcG.jpg", "http://pbs.twimg.com/media/Day3AvBXkAA2EcG.jpg")</f>
        <v/>
      </c>
      <c r="G1012" t="s"/>
      <c r="H1012" t="s"/>
      <c r="I1012" t="s"/>
      <c r="J1012" t="n">
        <v>-0.6467000000000001</v>
      </c>
      <c r="K1012" t="n">
        <v>0.163</v>
      </c>
      <c r="L1012" t="n">
        <v>0.786</v>
      </c>
      <c r="M1012" t="n">
        <v>0.051</v>
      </c>
    </row>
    <row r="1013" spans="1:13">
      <c r="A1013" s="1">
        <f>HYPERLINK("http://www.twitter.com/NathanBLawrence/status/985354093358125056", "985354093358125056")</f>
        <v/>
      </c>
      <c r="B1013" s="2" t="n">
        <v>43205.13075231481</v>
      </c>
      <c r="C1013" t="n">
        <v>39</v>
      </c>
      <c r="D1013" t="n">
        <v>35</v>
      </c>
      <c r="E1013" t="s">
        <v>1014</v>
      </c>
      <c r="F1013">
        <f>HYPERLINK("http://pbs.twimg.com/media/DayuTdGVwAEuMrF.jpg", "http://pbs.twimg.com/media/DayuTdGVwAEuMrF.jpg")</f>
        <v/>
      </c>
      <c r="G1013" t="s"/>
      <c r="H1013" t="s"/>
      <c r="I1013" t="s"/>
      <c r="J1013" t="n">
        <v>-0.9301</v>
      </c>
      <c r="K1013" t="n">
        <v>0.278</v>
      </c>
      <c r="L1013" t="n">
        <v>0.68</v>
      </c>
      <c r="M1013" t="n">
        <v>0.042</v>
      </c>
    </row>
    <row r="1014" spans="1:13">
      <c r="A1014" s="1">
        <f>HYPERLINK("http://www.twitter.com/NathanBLawrence/status/985329474077122562", "985329474077122562")</f>
        <v/>
      </c>
      <c r="B1014" s="2" t="n">
        <v>43205.0628125</v>
      </c>
      <c r="C1014" t="n">
        <v>0</v>
      </c>
      <c r="D1014" t="n">
        <v>8</v>
      </c>
      <c r="E1014" t="s">
        <v>1015</v>
      </c>
      <c r="F1014" t="s"/>
      <c r="G1014" t="s"/>
      <c r="H1014" t="s"/>
      <c r="I1014" t="s"/>
      <c r="J1014" t="n">
        <v>-0.34</v>
      </c>
      <c r="K1014" t="n">
        <v>0.094</v>
      </c>
      <c r="L1014" t="n">
        <v>0.906</v>
      </c>
      <c r="M1014" t="n">
        <v>0</v>
      </c>
    </row>
    <row r="1015" spans="1:13">
      <c r="A1015" s="1">
        <f>HYPERLINK("http://www.twitter.com/NathanBLawrence/status/985329460336525312", "985329460336525312")</f>
        <v/>
      </c>
      <c r="B1015" s="2" t="n">
        <v>43205.06277777778</v>
      </c>
      <c r="C1015" t="n">
        <v>0</v>
      </c>
      <c r="D1015" t="n">
        <v>3</v>
      </c>
      <c r="E1015" t="s">
        <v>1016</v>
      </c>
      <c r="F1015" t="s"/>
      <c r="G1015" t="s"/>
      <c r="H1015" t="s"/>
      <c r="I1015" t="s"/>
      <c r="J1015" t="n">
        <v>0</v>
      </c>
      <c r="K1015" t="n">
        <v>0</v>
      </c>
      <c r="L1015" t="n">
        <v>1</v>
      </c>
      <c r="M1015" t="n">
        <v>0</v>
      </c>
    </row>
    <row r="1016" spans="1:13">
      <c r="A1016" s="1">
        <f>HYPERLINK("http://www.twitter.com/NathanBLawrence/status/985329280212176896", "985329280212176896")</f>
        <v/>
      </c>
      <c r="B1016" s="2" t="n">
        <v>43205.06228009259</v>
      </c>
      <c r="C1016" t="n">
        <v>0</v>
      </c>
      <c r="D1016" t="n">
        <v>10</v>
      </c>
      <c r="E1016" t="s">
        <v>1017</v>
      </c>
      <c r="F1016">
        <f>HYPERLINK("http://pbs.twimg.com/media/DayWRs6WAAAB_Fq.jpg", "http://pbs.twimg.com/media/DayWRs6WAAAB_Fq.jpg")</f>
        <v/>
      </c>
      <c r="G1016" t="s"/>
      <c r="H1016" t="s"/>
      <c r="I1016" t="s"/>
      <c r="J1016" t="n">
        <v>-0.3612</v>
      </c>
      <c r="K1016" t="n">
        <v>0.128</v>
      </c>
      <c r="L1016" t="n">
        <v>0.872</v>
      </c>
      <c r="M1016" t="n">
        <v>0</v>
      </c>
    </row>
    <row r="1017" spans="1:13">
      <c r="A1017" s="1">
        <f>HYPERLINK("http://www.twitter.com/NathanBLawrence/status/985320965348392960", "985320965348392960")</f>
        <v/>
      </c>
      <c r="B1017" s="2" t="n">
        <v>43205.03934027778</v>
      </c>
      <c r="C1017" t="n">
        <v>0</v>
      </c>
      <c r="D1017" t="n">
        <v>70</v>
      </c>
      <c r="E1017" t="s">
        <v>1018</v>
      </c>
      <c r="F1017">
        <f>HYPERLINK("http://pbs.twimg.com/media/DaxxORNVMAAyf7S.jpg", "http://pbs.twimg.com/media/DaxxORNVMAAyf7S.jpg")</f>
        <v/>
      </c>
      <c r="G1017" t="s"/>
      <c r="H1017" t="s"/>
      <c r="I1017" t="s"/>
      <c r="J1017" t="n">
        <v>0.4019</v>
      </c>
      <c r="K1017" t="n">
        <v>0</v>
      </c>
      <c r="L1017" t="n">
        <v>0.881</v>
      </c>
      <c r="M1017" t="n">
        <v>0.119</v>
      </c>
    </row>
    <row r="1018" spans="1:13">
      <c r="A1018" s="1">
        <f>HYPERLINK("http://www.twitter.com/NathanBLawrence/status/985301772305686528", "985301772305686528")</f>
        <v/>
      </c>
      <c r="B1018" s="2" t="n">
        <v>43204.98637731482</v>
      </c>
      <c r="C1018" t="n">
        <v>71</v>
      </c>
      <c r="D1018" t="n">
        <v>58</v>
      </c>
      <c r="E1018" t="s">
        <v>1019</v>
      </c>
      <c r="F1018" t="s"/>
      <c r="G1018" t="s"/>
      <c r="H1018" t="s"/>
      <c r="I1018" t="s"/>
      <c r="J1018" t="n">
        <v>-0.9183</v>
      </c>
      <c r="K1018" t="n">
        <v>0.309</v>
      </c>
      <c r="L1018" t="n">
        <v>0.6909999999999999</v>
      </c>
      <c r="M1018" t="n">
        <v>0</v>
      </c>
    </row>
    <row r="1019" spans="1:13">
      <c r="A1019" s="1">
        <f>HYPERLINK("http://www.twitter.com/NathanBLawrence/status/985298208988549122", "985298208988549122")</f>
        <v/>
      </c>
      <c r="B1019" s="2" t="n">
        <v>43204.97653935185</v>
      </c>
      <c r="C1019" t="n">
        <v>6</v>
      </c>
      <c r="D1019" t="n">
        <v>5</v>
      </c>
      <c r="E1019" t="s">
        <v>1020</v>
      </c>
      <c r="F1019" t="s"/>
      <c r="G1019" t="s"/>
      <c r="H1019" t="s"/>
      <c r="I1019" t="s"/>
      <c r="J1019" t="n">
        <v>-0.8966</v>
      </c>
      <c r="K1019" t="n">
        <v>0.261</v>
      </c>
      <c r="L1019" t="n">
        <v>0.7</v>
      </c>
      <c r="M1019" t="n">
        <v>0.038</v>
      </c>
    </row>
    <row r="1020" spans="1:13">
      <c r="A1020" s="1">
        <f>HYPERLINK("http://www.twitter.com/NathanBLawrence/status/985294212882141184", "985294212882141184")</f>
        <v/>
      </c>
      <c r="B1020" s="2" t="n">
        <v>43204.96550925926</v>
      </c>
      <c r="C1020" t="n">
        <v>0</v>
      </c>
      <c r="D1020" t="n">
        <v>28</v>
      </c>
      <c r="E1020" t="s">
        <v>1021</v>
      </c>
      <c r="F1020">
        <f>HYPERLINK("http://pbs.twimg.com/media/DaxL7k-XcAAkS6G.jpg", "http://pbs.twimg.com/media/DaxL7k-XcAAkS6G.jpg")</f>
        <v/>
      </c>
      <c r="G1020" t="s"/>
      <c r="H1020" t="s"/>
      <c r="I1020" t="s"/>
      <c r="J1020" t="n">
        <v>0</v>
      </c>
      <c r="K1020" t="n">
        <v>0</v>
      </c>
      <c r="L1020" t="n">
        <v>1</v>
      </c>
      <c r="M1020" t="n">
        <v>0</v>
      </c>
    </row>
    <row r="1021" spans="1:13">
      <c r="A1021" s="1">
        <f>HYPERLINK("http://www.twitter.com/NathanBLawrence/status/985293748434284546", "985293748434284546")</f>
        <v/>
      </c>
      <c r="B1021" s="2" t="n">
        <v>43204.96423611111</v>
      </c>
      <c r="C1021" t="n">
        <v>0</v>
      </c>
      <c r="D1021" t="n">
        <v>1704</v>
      </c>
      <c r="E1021" t="s">
        <v>1022</v>
      </c>
      <c r="F1021">
        <f>HYPERLINK("http://pbs.twimg.com/media/DatShDCX4AAub1h.jpg", "http://pbs.twimg.com/media/DatShDCX4AAub1h.jpg")</f>
        <v/>
      </c>
      <c r="G1021" t="s"/>
      <c r="H1021" t="s"/>
      <c r="I1021" t="s"/>
      <c r="J1021" t="n">
        <v>-0.4404</v>
      </c>
      <c r="K1021" t="n">
        <v>0.139</v>
      </c>
      <c r="L1021" t="n">
        <v>0.861</v>
      </c>
      <c r="M1021" t="n">
        <v>0</v>
      </c>
    </row>
    <row r="1022" spans="1:13">
      <c r="A1022" s="1">
        <f>HYPERLINK("http://www.twitter.com/NathanBLawrence/status/985293720986767361", "985293720986767361")</f>
        <v/>
      </c>
      <c r="B1022" s="2" t="n">
        <v>43204.9641550926</v>
      </c>
      <c r="C1022" t="n">
        <v>0</v>
      </c>
      <c r="D1022" t="n">
        <v>56</v>
      </c>
      <c r="E1022" t="s">
        <v>1023</v>
      </c>
      <c r="F1022" t="s"/>
      <c r="G1022" t="s"/>
      <c r="H1022" t="s"/>
      <c r="I1022" t="s"/>
      <c r="J1022" t="n">
        <v>0.7717000000000001</v>
      </c>
      <c r="K1022" t="n">
        <v>0.053</v>
      </c>
      <c r="L1022" t="n">
        <v>0.642</v>
      </c>
      <c r="M1022" t="n">
        <v>0.306</v>
      </c>
    </row>
    <row r="1023" spans="1:13">
      <c r="A1023" s="1">
        <f>HYPERLINK("http://www.twitter.com/NathanBLawrence/status/985285988338544640", "985285988338544640")</f>
        <v/>
      </c>
      <c r="B1023" s="2" t="n">
        <v>43204.94282407407</v>
      </c>
      <c r="C1023" t="n">
        <v>2</v>
      </c>
      <c r="D1023" t="n">
        <v>0</v>
      </c>
      <c r="E1023" t="s">
        <v>1024</v>
      </c>
      <c r="F1023">
        <f>HYPERLINK("http://pbs.twimg.com/media/DaxwX69XkAU2O0_.jpg", "http://pbs.twimg.com/media/DaxwX69XkAU2O0_.jpg")</f>
        <v/>
      </c>
      <c r="G1023" t="s"/>
      <c r="H1023" t="s"/>
      <c r="I1023" t="s"/>
      <c r="J1023" t="n">
        <v>0</v>
      </c>
      <c r="K1023" t="n">
        <v>0</v>
      </c>
      <c r="L1023" t="n">
        <v>1</v>
      </c>
      <c r="M1023" t="n">
        <v>0</v>
      </c>
    </row>
    <row r="1024" spans="1:13">
      <c r="A1024" s="1">
        <f>HYPERLINK("http://www.twitter.com/NathanBLawrence/status/985278512025219077", "985278512025219077")</f>
        <v/>
      </c>
      <c r="B1024" s="2" t="n">
        <v>43204.9221875</v>
      </c>
      <c r="C1024" t="n">
        <v>0</v>
      </c>
      <c r="D1024" t="n">
        <v>11</v>
      </c>
      <c r="E1024" t="s">
        <v>1025</v>
      </c>
      <c r="F1024" t="s"/>
      <c r="G1024" t="s"/>
      <c r="H1024" t="s"/>
      <c r="I1024" t="s"/>
      <c r="J1024" t="n">
        <v>0</v>
      </c>
      <c r="K1024" t="n">
        <v>0</v>
      </c>
      <c r="L1024" t="n">
        <v>1</v>
      </c>
      <c r="M1024" t="n">
        <v>0</v>
      </c>
    </row>
    <row r="1025" spans="1:13">
      <c r="A1025" s="1">
        <f>HYPERLINK("http://www.twitter.com/NathanBLawrence/status/985262966311448576", "985262966311448576")</f>
        <v/>
      </c>
      <c r="B1025" s="2" t="n">
        <v>43204.87929398148</v>
      </c>
      <c r="C1025" t="n">
        <v>0</v>
      </c>
      <c r="D1025" t="n">
        <v>11</v>
      </c>
      <c r="E1025" t="s">
        <v>1026</v>
      </c>
      <c r="F1025">
        <f>HYPERLINK("http://pbs.twimg.com/media/DawlNOsUQAAjSNH.jpg", "http://pbs.twimg.com/media/DawlNOsUQAAjSNH.jpg")</f>
        <v/>
      </c>
      <c r="G1025" t="s"/>
      <c r="H1025" t="s"/>
      <c r="I1025" t="s"/>
      <c r="J1025" t="n">
        <v>0.4466</v>
      </c>
      <c r="K1025" t="n">
        <v>0</v>
      </c>
      <c r="L1025" t="n">
        <v>0.86</v>
      </c>
      <c r="M1025" t="n">
        <v>0.14</v>
      </c>
    </row>
    <row r="1026" spans="1:13">
      <c r="A1026" s="1">
        <f>HYPERLINK("http://www.twitter.com/NathanBLawrence/status/984919659454529538", "984919659454529538")</f>
        <v/>
      </c>
      <c r="B1026" s="2" t="n">
        <v>43203.93194444444</v>
      </c>
      <c r="C1026" t="n">
        <v>0</v>
      </c>
      <c r="D1026" t="n">
        <v>32</v>
      </c>
      <c r="E1026" t="s">
        <v>1027</v>
      </c>
      <c r="F1026">
        <f>HYPERLINK("http://pbs.twimg.com/media/DaoAiO-W0AA_MbD.jpg", "http://pbs.twimg.com/media/DaoAiO-W0AA_MbD.jpg")</f>
        <v/>
      </c>
      <c r="G1026" t="s"/>
      <c r="H1026" t="s"/>
      <c r="I1026" t="s"/>
      <c r="J1026" t="n">
        <v>-0.8058</v>
      </c>
      <c r="K1026" t="n">
        <v>0.3</v>
      </c>
      <c r="L1026" t="n">
        <v>0.7</v>
      </c>
      <c r="M1026" t="n">
        <v>0</v>
      </c>
    </row>
    <row r="1027" spans="1:13">
      <c r="A1027" s="1">
        <f>HYPERLINK("http://www.twitter.com/NathanBLawrence/status/984870803647942656", "984870803647942656")</f>
        <v/>
      </c>
      <c r="B1027" s="2" t="n">
        <v>43203.79712962963</v>
      </c>
      <c r="C1027" t="n">
        <v>14</v>
      </c>
      <c r="D1027" t="n">
        <v>12</v>
      </c>
      <c r="E1027" t="s">
        <v>1028</v>
      </c>
      <c r="F1027">
        <f>HYPERLINK("http://pbs.twimg.com/media/Dar2w7jWkAA3ldE.jpg", "http://pbs.twimg.com/media/Dar2w7jWkAA3ldE.jpg")</f>
        <v/>
      </c>
      <c r="G1027" t="s"/>
      <c r="H1027" t="s"/>
      <c r="I1027" t="s"/>
      <c r="J1027" t="n">
        <v>-0.6551</v>
      </c>
      <c r="K1027" t="n">
        <v>0.143</v>
      </c>
      <c r="L1027" t="n">
        <v>0.767</v>
      </c>
      <c r="M1027" t="n">
        <v>0.09</v>
      </c>
    </row>
    <row r="1028" spans="1:13">
      <c r="A1028" s="1">
        <f>HYPERLINK("http://www.twitter.com/NathanBLawrence/status/984858429004054534", "984858429004054534")</f>
        <v/>
      </c>
      <c r="B1028" s="2" t="n">
        <v>43203.76297453704</v>
      </c>
      <c r="C1028" t="n">
        <v>0</v>
      </c>
      <c r="D1028" t="n">
        <v>2</v>
      </c>
      <c r="E1028" t="s">
        <v>1029</v>
      </c>
      <c r="F1028" t="s"/>
      <c r="G1028" t="s"/>
      <c r="H1028" t="s"/>
      <c r="I1028" t="s"/>
      <c r="J1028" t="n">
        <v>0</v>
      </c>
      <c r="K1028" t="n">
        <v>0</v>
      </c>
      <c r="L1028" t="n">
        <v>1</v>
      </c>
      <c r="M1028" t="n">
        <v>0</v>
      </c>
    </row>
    <row r="1029" spans="1:13">
      <c r="A1029" s="1">
        <f>HYPERLINK("http://www.twitter.com/NathanBLawrence/status/984795603090722816", "984795603090722816")</f>
        <v/>
      </c>
      <c r="B1029" s="2" t="n">
        <v>43203.58961805556</v>
      </c>
      <c r="C1029" t="n">
        <v>0</v>
      </c>
      <c r="D1029" t="n">
        <v>16</v>
      </c>
      <c r="E1029" t="s">
        <v>1030</v>
      </c>
      <c r="F1029" t="s"/>
      <c r="G1029" t="s"/>
      <c r="H1029" t="s"/>
      <c r="I1029" t="s"/>
      <c r="J1029" t="n">
        <v>0</v>
      </c>
      <c r="K1029" t="n">
        <v>0</v>
      </c>
      <c r="L1029" t="n">
        <v>1</v>
      </c>
      <c r="M1029" t="n">
        <v>0</v>
      </c>
    </row>
    <row r="1030" spans="1:13">
      <c r="A1030" s="1">
        <f>HYPERLINK("http://www.twitter.com/NathanBLawrence/status/984794918064459779", "984794918064459779")</f>
        <v/>
      </c>
      <c r="B1030" s="2" t="n">
        <v>43203.58771990741</v>
      </c>
      <c r="C1030" t="n">
        <v>0</v>
      </c>
      <c r="D1030" t="n">
        <v>10</v>
      </c>
      <c r="E1030" t="s">
        <v>1031</v>
      </c>
      <c r="F1030" t="s"/>
      <c r="G1030" t="s"/>
      <c r="H1030" t="s"/>
      <c r="I1030" t="s"/>
      <c r="J1030" t="n">
        <v>0.2732</v>
      </c>
      <c r="K1030" t="n">
        <v>0.09</v>
      </c>
      <c r="L1030" t="n">
        <v>0.773</v>
      </c>
      <c r="M1030" t="n">
        <v>0.137</v>
      </c>
    </row>
    <row r="1031" spans="1:13">
      <c r="A1031" s="1">
        <f>HYPERLINK("http://www.twitter.com/NathanBLawrence/status/984786859015491584", "984786859015491584")</f>
        <v/>
      </c>
      <c r="B1031" s="2" t="n">
        <v>43203.56548611111</v>
      </c>
      <c r="C1031" t="n">
        <v>0</v>
      </c>
      <c r="D1031" t="n">
        <v>21</v>
      </c>
      <c r="E1031" t="s">
        <v>1032</v>
      </c>
      <c r="F1031">
        <f>HYPERLINK("http://pbs.twimg.com/media/Daqh6BkUwAAt8zJ.jpg", "http://pbs.twimg.com/media/Daqh6BkUwAAt8zJ.jpg")</f>
        <v/>
      </c>
      <c r="G1031" t="s"/>
      <c r="H1031" t="s"/>
      <c r="I1031" t="s"/>
      <c r="J1031" t="n">
        <v>0</v>
      </c>
      <c r="K1031" t="n">
        <v>0</v>
      </c>
      <c r="L1031" t="n">
        <v>1</v>
      </c>
      <c r="M1031" t="n">
        <v>0</v>
      </c>
    </row>
    <row r="1032" spans="1:13">
      <c r="A1032" s="1">
        <f>HYPERLINK("http://www.twitter.com/NathanBLawrence/status/984780075303342080", "984780075303342080")</f>
        <v/>
      </c>
      <c r="B1032" s="2" t="n">
        <v>43203.54675925926</v>
      </c>
      <c r="C1032" t="n">
        <v>0</v>
      </c>
      <c r="D1032" t="n">
        <v>345</v>
      </c>
      <c r="E1032" t="s">
        <v>1033</v>
      </c>
      <c r="F1032">
        <f>HYPERLINK("http://pbs.twimg.com/media/Daqb4JmU8AEXSkN.jpg", "http://pbs.twimg.com/media/Daqb4JmU8AEXSkN.jpg")</f>
        <v/>
      </c>
      <c r="G1032" t="s"/>
      <c r="H1032" t="s"/>
      <c r="I1032" t="s"/>
      <c r="J1032" t="n">
        <v>0.7916</v>
      </c>
      <c r="K1032" t="n">
        <v>0</v>
      </c>
      <c r="L1032" t="n">
        <v>0.6919999999999999</v>
      </c>
      <c r="M1032" t="n">
        <v>0.308</v>
      </c>
    </row>
    <row r="1033" spans="1:13">
      <c r="A1033" s="1">
        <f>HYPERLINK("http://www.twitter.com/NathanBLawrence/status/984779592006238208", "984779592006238208")</f>
        <v/>
      </c>
      <c r="B1033" s="2" t="n">
        <v>43203.54542824074</v>
      </c>
      <c r="C1033" t="n">
        <v>0</v>
      </c>
      <c r="D1033" t="n">
        <v>21</v>
      </c>
      <c r="E1033" t="s">
        <v>1034</v>
      </c>
      <c r="F1033" t="s"/>
      <c r="G1033" t="s"/>
      <c r="H1033" t="s"/>
      <c r="I1033" t="s"/>
      <c r="J1033" t="n">
        <v>-0.3252</v>
      </c>
      <c r="K1033" t="n">
        <v>0.152</v>
      </c>
      <c r="L1033" t="n">
        <v>0.848</v>
      </c>
      <c r="M1033" t="n">
        <v>0</v>
      </c>
    </row>
    <row r="1034" spans="1:13">
      <c r="A1034" s="1">
        <f>HYPERLINK("http://www.twitter.com/NathanBLawrence/status/984778971018612736", "984778971018612736")</f>
        <v/>
      </c>
      <c r="B1034" s="2" t="n">
        <v>43203.54371527778</v>
      </c>
      <c r="C1034" t="n">
        <v>0</v>
      </c>
      <c r="D1034" t="n">
        <v>4</v>
      </c>
      <c r="E1034" t="s">
        <v>1035</v>
      </c>
      <c r="F1034" t="s"/>
      <c r="G1034" t="s"/>
      <c r="H1034" t="s"/>
      <c r="I1034" t="s"/>
      <c r="J1034" t="n">
        <v>0</v>
      </c>
      <c r="K1034" t="n">
        <v>0</v>
      </c>
      <c r="L1034" t="n">
        <v>1</v>
      </c>
      <c r="M1034" t="n">
        <v>0</v>
      </c>
    </row>
    <row r="1035" spans="1:13">
      <c r="A1035" s="1">
        <f>HYPERLINK("http://www.twitter.com/NathanBLawrence/status/984778643632283648", "984778643632283648")</f>
        <v/>
      </c>
      <c r="B1035" s="2" t="n">
        <v>43203.5428125</v>
      </c>
      <c r="C1035" t="n">
        <v>0</v>
      </c>
      <c r="D1035" t="n">
        <v>8</v>
      </c>
      <c r="E1035" t="s">
        <v>1036</v>
      </c>
      <c r="F1035" t="s"/>
      <c r="G1035" t="s"/>
      <c r="H1035" t="s"/>
      <c r="I1035" t="s"/>
      <c r="J1035" t="n">
        <v>0</v>
      </c>
      <c r="K1035" t="n">
        <v>0</v>
      </c>
      <c r="L1035" t="n">
        <v>1</v>
      </c>
      <c r="M1035" t="n">
        <v>0</v>
      </c>
    </row>
    <row r="1036" spans="1:13">
      <c r="A1036" s="1">
        <f>HYPERLINK("http://www.twitter.com/NathanBLawrence/status/984777941442875394", "984777941442875394")</f>
        <v/>
      </c>
      <c r="B1036" s="2" t="n">
        <v>43203.54087962963</v>
      </c>
      <c r="C1036" t="n">
        <v>0</v>
      </c>
      <c r="D1036" t="n">
        <v>0</v>
      </c>
      <c r="E1036" t="s">
        <v>1037</v>
      </c>
      <c r="F1036" t="s"/>
      <c r="G1036" t="s"/>
      <c r="H1036" t="s"/>
      <c r="I1036" t="s"/>
      <c r="J1036" t="n">
        <v>0</v>
      </c>
      <c r="K1036" t="n">
        <v>0</v>
      </c>
      <c r="L1036" t="n">
        <v>1</v>
      </c>
      <c r="M1036" t="n">
        <v>0</v>
      </c>
    </row>
    <row r="1037" spans="1:13">
      <c r="A1037" s="1">
        <f>HYPERLINK("http://www.twitter.com/NathanBLawrence/status/984777658138492930", "984777658138492930")</f>
        <v/>
      </c>
      <c r="B1037" s="2" t="n">
        <v>43203.54009259259</v>
      </c>
      <c r="C1037" t="n">
        <v>5</v>
      </c>
      <c r="D1037" t="n">
        <v>2</v>
      </c>
      <c r="E1037" t="s">
        <v>1038</v>
      </c>
      <c r="F1037" t="s"/>
      <c r="G1037" t="s"/>
      <c r="H1037" t="s"/>
      <c r="I1037" t="s"/>
      <c r="J1037" t="n">
        <v>0</v>
      </c>
      <c r="K1037" t="n">
        <v>0</v>
      </c>
      <c r="L1037" t="n">
        <v>1</v>
      </c>
      <c r="M1037" t="n">
        <v>0</v>
      </c>
    </row>
    <row r="1038" spans="1:13">
      <c r="A1038" s="1">
        <f>HYPERLINK("http://www.twitter.com/NathanBLawrence/status/984774888064987136", "984774888064987136")</f>
        <v/>
      </c>
      <c r="B1038" s="2" t="n">
        <v>43203.5324537037</v>
      </c>
      <c r="C1038" t="n">
        <v>0</v>
      </c>
      <c r="D1038" t="n">
        <v>22912</v>
      </c>
      <c r="E1038" t="s">
        <v>1039</v>
      </c>
      <c r="F1038" t="s"/>
      <c r="G1038" t="s"/>
      <c r="H1038" t="s"/>
      <c r="I1038" t="s"/>
      <c r="J1038" t="n">
        <v>-0.4939</v>
      </c>
      <c r="K1038" t="n">
        <v>0.218</v>
      </c>
      <c r="L1038" t="n">
        <v>0.6870000000000001</v>
      </c>
      <c r="M1038" t="n">
        <v>0.095</v>
      </c>
    </row>
    <row r="1039" spans="1:13">
      <c r="A1039" s="1">
        <f>HYPERLINK("http://www.twitter.com/NathanBLawrence/status/984774767982120960", "984774767982120960")</f>
        <v/>
      </c>
      <c r="B1039" s="2" t="n">
        <v>43203.53211805555</v>
      </c>
      <c r="C1039" t="n">
        <v>0</v>
      </c>
      <c r="D1039" t="n">
        <v>285</v>
      </c>
      <c r="E1039" t="s">
        <v>1040</v>
      </c>
      <c r="F1039">
        <f>HYPERLINK("http://pbs.twimg.com/media/Daqe_hMX4AA0sDD.jpg", "http://pbs.twimg.com/media/Daqe_hMX4AA0sDD.jpg")</f>
        <v/>
      </c>
      <c r="G1039">
        <f>HYPERLINK("http://pbs.twimg.com/media/DaqfAJ8X4AAUpP4.jpg", "http://pbs.twimg.com/media/DaqfAJ8X4AAUpP4.jpg")</f>
        <v/>
      </c>
      <c r="H1039" t="s"/>
      <c r="I1039" t="s"/>
      <c r="J1039" t="n">
        <v>0.924</v>
      </c>
      <c r="K1039" t="n">
        <v>0</v>
      </c>
      <c r="L1039" t="n">
        <v>0.579</v>
      </c>
      <c r="M1039" t="n">
        <v>0.421</v>
      </c>
    </row>
    <row r="1040" spans="1:13">
      <c r="A1040" s="1">
        <f>HYPERLINK("http://www.twitter.com/NathanBLawrence/status/984772959591071744", "984772959591071744")</f>
        <v/>
      </c>
      <c r="B1040" s="2" t="n">
        <v>43203.52712962963</v>
      </c>
      <c r="C1040" t="n">
        <v>0</v>
      </c>
      <c r="D1040" t="n">
        <v>0</v>
      </c>
      <c r="E1040" t="s">
        <v>1041</v>
      </c>
      <c r="F1040" t="s"/>
      <c r="G1040" t="s"/>
      <c r="H1040" t="s"/>
      <c r="I1040" t="s"/>
      <c r="J1040" t="n">
        <v>0</v>
      </c>
      <c r="K1040" t="n">
        <v>0</v>
      </c>
      <c r="L1040" t="n">
        <v>1</v>
      </c>
      <c r="M1040" t="n">
        <v>0</v>
      </c>
    </row>
    <row r="1041" spans="1:13">
      <c r="A1041" s="1">
        <f>HYPERLINK("http://www.twitter.com/NathanBLawrence/status/984756574269919233", "984756574269919233")</f>
        <v/>
      </c>
      <c r="B1041" s="2" t="n">
        <v>43203.48190972222</v>
      </c>
      <c r="C1041" t="n">
        <v>0</v>
      </c>
      <c r="D1041" t="n">
        <v>16</v>
      </c>
      <c r="E1041" t="s">
        <v>1042</v>
      </c>
      <c r="F1041">
        <f>HYPERLINK("http://pbs.twimg.com/media/Dal2kRoVAAAee6V.jpg", "http://pbs.twimg.com/media/Dal2kRoVAAAee6V.jpg")</f>
        <v/>
      </c>
      <c r="G1041" t="s"/>
      <c r="H1041" t="s"/>
      <c r="I1041" t="s"/>
      <c r="J1041" t="n">
        <v>-0.7096</v>
      </c>
      <c r="K1041" t="n">
        <v>0.277</v>
      </c>
      <c r="L1041" t="n">
        <v>0.723</v>
      </c>
      <c r="M1041" t="n">
        <v>0</v>
      </c>
    </row>
    <row r="1042" spans="1:13">
      <c r="A1042" s="1">
        <f>HYPERLINK("http://www.twitter.com/NathanBLawrence/status/984756517210648576", "984756517210648576")</f>
        <v/>
      </c>
      <c r="B1042" s="2" t="n">
        <v>43203.48175925926</v>
      </c>
      <c r="C1042" t="n">
        <v>0</v>
      </c>
      <c r="D1042" t="n">
        <v>3</v>
      </c>
      <c r="E1042" t="s">
        <v>1043</v>
      </c>
      <c r="F1042" t="s"/>
      <c r="G1042" t="s"/>
      <c r="H1042" t="s"/>
      <c r="I1042" t="s"/>
      <c r="J1042" t="n">
        <v>-0.7269</v>
      </c>
      <c r="K1042" t="n">
        <v>0.332</v>
      </c>
      <c r="L1042" t="n">
        <v>0.585</v>
      </c>
      <c r="M1042" t="n">
        <v>0.083</v>
      </c>
    </row>
    <row r="1043" spans="1:13">
      <c r="A1043" s="1">
        <f>HYPERLINK("http://www.twitter.com/NathanBLawrence/status/984756103572582401", "984756103572582401")</f>
        <v/>
      </c>
      <c r="B1043" s="2" t="n">
        <v>43203.48061342593</v>
      </c>
      <c r="C1043" t="n">
        <v>51</v>
      </c>
      <c r="D1043" t="n">
        <v>54</v>
      </c>
      <c r="E1043" t="s">
        <v>1044</v>
      </c>
      <c r="F1043">
        <f>HYPERLINK("http://pbs.twimg.com/media/DaqOcEsWkAAugsX.jpg", "http://pbs.twimg.com/media/DaqOcEsWkAAugsX.jpg")</f>
        <v/>
      </c>
      <c r="G1043" t="s"/>
      <c r="H1043" t="s"/>
      <c r="I1043" t="s"/>
      <c r="J1043" t="n">
        <v>0.7482</v>
      </c>
      <c r="K1043" t="n">
        <v>0</v>
      </c>
      <c r="L1043" t="n">
        <v>0.856</v>
      </c>
      <c r="M1043" t="n">
        <v>0.144</v>
      </c>
    </row>
    <row r="1044" spans="1:13">
      <c r="A1044" s="1">
        <f>HYPERLINK("http://www.twitter.com/NathanBLawrence/status/984663905334190080", "984663905334190080")</f>
        <v/>
      </c>
      <c r="B1044" s="2" t="n">
        <v>43203.22619212963</v>
      </c>
      <c r="C1044" t="n">
        <v>0</v>
      </c>
      <c r="D1044" t="n">
        <v>18</v>
      </c>
      <c r="E1044" t="s">
        <v>1045</v>
      </c>
      <c r="F1044">
        <f>HYPERLINK("http://pbs.twimg.com/media/DajWKdJXUAA-KXg.jpg", "http://pbs.twimg.com/media/DajWKdJXUAA-KXg.jpg")</f>
        <v/>
      </c>
      <c r="G1044" t="s"/>
      <c r="H1044" t="s"/>
      <c r="I1044" t="s"/>
      <c r="J1044" t="n">
        <v>0</v>
      </c>
      <c r="K1044" t="n">
        <v>0</v>
      </c>
      <c r="L1044" t="n">
        <v>1</v>
      </c>
      <c r="M1044" t="n">
        <v>0</v>
      </c>
    </row>
    <row r="1045" spans="1:13">
      <c r="A1045" s="1">
        <f>HYPERLINK("http://www.twitter.com/NathanBLawrence/status/984661334011928577", "984661334011928577")</f>
        <v/>
      </c>
      <c r="B1045" s="2" t="n">
        <v>43203.21909722222</v>
      </c>
      <c r="C1045" t="n">
        <v>0</v>
      </c>
      <c r="D1045" t="n">
        <v>6</v>
      </c>
      <c r="E1045" t="s">
        <v>1046</v>
      </c>
      <c r="F1045" t="s"/>
      <c r="G1045" t="s"/>
      <c r="H1045" t="s"/>
      <c r="I1045" t="s"/>
      <c r="J1045" t="n">
        <v>0</v>
      </c>
      <c r="K1045" t="n">
        <v>0</v>
      </c>
      <c r="L1045" t="n">
        <v>1</v>
      </c>
      <c r="M1045" t="n">
        <v>0</v>
      </c>
    </row>
    <row r="1046" spans="1:13">
      <c r="A1046" s="1">
        <f>HYPERLINK("http://www.twitter.com/NathanBLawrence/status/984659419165347840", "984659419165347840")</f>
        <v/>
      </c>
      <c r="B1046" s="2" t="n">
        <v>43203.21381944444</v>
      </c>
      <c r="C1046" t="n">
        <v>0</v>
      </c>
      <c r="D1046" t="n">
        <v>33</v>
      </c>
      <c r="E1046" t="s">
        <v>1047</v>
      </c>
      <c r="F1046">
        <f>HYPERLINK("http://pbs.twimg.com/media/Dao0_EGWAAEdcTR.jpg", "http://pbs.twimg.com/media/Dao0_EGWAAEdcTR.jpg")</f>
        <v/>
      </c>
      <c r="G1046" t="s"/>
      <c r="H1046" t="s"/>
      <c r="I1046" t="s"/>
      <c r="J1046" t="n">
        <v>0</v>
      </c>
      <c r="K1046" t="n">
        <v>0</v>
      </c>
      <c r="L1046" t="n">
        <v>1</v>
      </c>
      <c r="M1046" t="n">
        <v>0</v>
      </c>
    </row>
    <row r="1047" spans="1:13">
      <c r="A1047" s="1">
        <f>HYPERLINK("http://www.twitter.com/NathanBLawrence/status/984657879851569152", "984657879851569152")</f>
        <v/>
      </c>
      <c r="B1047" s="2" t="n">
        <v>43203.20957175926</v>
      </c>
      <c r="C1047" t="n">
        <v>0</v>
      </c>
      <c r="D1047" t="n">
        <v>10</v>
      </c>
      <c r="E1047" t="s">
        <v>1048</v>
      </c>
      <c r="F1047">
        <f>HYPERLINK("http://pbs.twimg.com/media/DaoZtppVMAAAefm.jpg", "http://pbs.twimg.com/media/DaoZtppVMAAAefm.jpg")</f>
        <v/>
      </c>
      <c r="G1047" t="s"/>
      <c r="H1047" t="s"/>
      <c r="I1047" t="s"/>
      <c r="J1047" t="n">
        <v>0</v>
      </c>
      <c r="K1047" t="n">
        <v>0</v>
      </c>
      <c r="L1047" t="n">
        <v>1</v>
      </c>
      <c r="M1047" t="n">
        <v>0</v>
      </c>
    </row>
    <row r="1048" spans="1:13">
      <c r="A1048" s="1">
        <f>HYPERLINK("http://www.twitter.com/NathanBLawrence/status/984653632036536322", "984653632036536322")</f>
        <v/>
      </c>
      <c r="B1048" s="2" t="n">
        <v>43203.19784722223</v>
      </c>
      <c r="C1048" t="n">
        <v>0</v>
      </c>
      <c r="D1048" t="n">
        <v>38</v>
      </c>
      <c r="E1048" t="s">
        <v>1049</v>
      </c>
      <c r="F1048" t="s"/>
      <c r="G1048" t="s"/>
      <c r="H1048" t="s"/>
      <c r="I1048" t="s"/>
      <c r="J1048" t="n">
        <v>0.4019</v>
      </c>
      <c r="K1048" t="n">
        <v>0</v>
      </c>
      <c r="L1048" t="n">
        <v>0.891</v>
      </c>
      <c r="M1048" t="n">
        <v>0.109</v>
      </c>
    </row>
    <row r="1049" spans="1:13">
      <c r="A1049" s="1">
        <f>HYPERLINK("http://www.twitter.com/NathanBLawrence/status/984653317417598976", "984653317417598976")</f>
        <v/>
      </c>
      <c r="B1049" s="2" t="n">
        <v>43203.19697916666</v>
      </c>
      <c r="C1049" t="n">
        <v>0</v>
      </c>
      <c r="D1049" t="n">
        <v>42</v>
      </c>
      <c r="E1049" t="s">
        <v>1050</v>
      </c>
      <c r="F1049" t="s"/>
      <c r="G1049" t="s"/>
      <c r="H1049" t="s"/>
      <c r="I1049" t="s"/>
      <c r="J1049" t="n">
        <v>-0.2924</v>
      </c>
      <c r="K1049" t="n">
        <v>0.208</v>
      </c>
      <c r="L1049" t="n">
        <v>0.67</v>
      </c>
      <c r="M1049" t="n">
        <v>0.122</v>
      </c>
    </row>
    <row r="1050" spans="1:13">
      <c r="A1050" s="1">
        <f>HYPERLINK("http://www.twitter.com/NathanBLawrence/status/984652056706322433", "984652056706322433")</f>
        <v/>
      </c>
      <c r="B1050" s="2" t="n">
        <v>43203.19349537037</v>
      </c>
      <c r="C1050" t="n">
        <v>1</v>
      </c>
      <c r="D1050" t="n">
        <v>0</v>
      </c>
      <c r="E1050" t="s">
        <v>1051</v>
      </c>
      <c r="F1050" t="s"/>
      <c r="G1050" t="s"/>
      <c r="H1050" t="s"/>
      <c r="I1050" t="s"/>
      <c r="J1050" t="n">
        <v>-0.8414</v>
      </c>
      <c r="K1050" t="n">
        <v>0.259</v>
      </c>
      <c r="L1050" t="n">
        <v>0.741</v>
      </c>
      <c r="M1050" t="n">
        <v>0</v>
      </c>
    </row>
    <row r="1051" spans="1:13">
      <c r="A1051" s="1">
        <f>HYPERLINK("http://www.twitter.com/NathanBLawrence/status/984650807449669632", "984650807449669632")</f>
        <v/>
      </c>
      <c r="B1051" s="2" t="n">
        <v>43203.19005787037</v>
      </c>
      <c r="C1051" t="n">
        <v>0</v>
      </c>
      <c r="D1051" t="n">
        <v>0</v>
      </c>
      <c r="E1051" t="s">
        <v>1052</v>
      </c>
      <c r="F1051" t="s"/>
      <c r="G1051" t="s"/>
      <c r="H1051" t="s"/>
      <c r="I1051" t="s"/>
      <c r="J1051" t="n">
        <v>-0.536</v>
      </c>
      <c r="K1051" t="n">
        <v>0.331</v>
      </c>
      <c r="L1051" t="n">
        <v>0.669</v>
      </c>
      <c r="M1051" t="n">
        <v>0</v>
      </c>
    </row>
    <row r="1052" spans="1:13">
      <c r="A1052" s="1">
        <f>HYPERLINK("http://www.twitter.com/NathanBLawrence/status/984650080962654209", "984650080962654209")</f>
        <v/>
      </c>
      <c r="B1052" s="2" t="n">
        <v>43203.18804398148</v>
      </c>
      <c r="C1052" t="n">
        <v>0</v>
      </c>
      <c r="D1052" t="n">
        <v>0</v>
      </c>
      <c r="E1052" t="s">
        <v>1053</v>
      </c>
      <c r="F1052" t="s"/>
      <c r="G1052" t="s"/>
      <c r="H1052" t="s"/>
      <c r="I1052" t="s"/>
      <c r="J1052" t="n">
        <v>0</v>
      </c>
      <c r="K1052" t="n">
        <v>0</v>
      </c>
      <c r="L1052" t="n">
        <v>1</v>
      </c>
      <c r="M1052" t="n">
        <v>0</v>
      </c>
    </row>
    <row r="1053" spans="1:13">
      <c r="A1053" s="1">
        <f>HYPERLINK("http://www.twitter.com/NathanBLawrence/status/984649808588701696", "984649808588701696")</f>
        <v/>
      </c>
      <c r="B1053" s="2" t="n">
        <v>43203.18729166667</v>
      </c>
      <c r="C1053" t="n">
        <v>0</v>
      </c>
      <c r="D1053" t="n">
        <v>0</v>
      </c>
      <c r="E1053" t="s">
        <v>1054</v>
      </c>
      <c r="F1053" t="s"/>
      <c r="G1053" t="s"/>
      <c r="H1053" t="s"/>
      <c r="I1053" t="s"/>
      <c r="J1053" t="n">
        <v>0</v>
      </c>
      <c r="K1053" t="n">
        <v>0</v>
      </c>
      <c r="L1053" t="n">
        <v>1</v>
      </c>
      <c r="M1053" t="n">
        <v>0</v>
      </c>
    </row>
    <row r="1054" spans="1:13">
      <c r="A1054" s="1">
        <f>HYPERLINK("http://www.twitter.com/NathanBLawrence/status/984649558323056640", "984649558323056640")</f>
        <v/>
      </c>
      <c r="B1054" s="2" t="n">
        <v>43203.1866087963</v>
      </c>
      <c r="C1054" t="n">
        <v>0</v>
      </c>
      <c r="D1054" t="n">
        <v>0</v>
      </c>
      <c r="E1054" t="s">
        <v>1055</v>
      </c>
      <c r="F1054" t="s"/>
      <c r="G1054" t="s"/>
      <c r="H1054" t="s"/>
      <c r="I1054" t="s"/>
      <c r="J1054" t="n">
        <v>-0.296</v>
      </c>
      <c r="K1054" t="n">
        <v>0.268</v>
      </c>
      <c r="L1054" t="n">
        <v>0.732</v>
      </c>
      <c r="M1054" t="n">
        <v>0</v>
      </c>
    </row>
    <row r="1055" spans="1:13">
      <c r="A1055" s="1">
        <f>HYPERLINK("http://www.twitter.com/NathanBLawrence/status/984649137160409088", "984649137160409088")</f>
        <v/>
      </c>
      <c r="B1055" s="2" t="n">
        <v>43203.18543981481</v>
      </c>
      <c r="C1055" t="n">
        <v>0</v>
      </c>
      <c r="D1055" t="n">
        <v>0</v>
      </c>
      <c r="E1055" t="s">
        <v>1056</v>
      </c>
      <c r="F1055" t="s"/>
      <c r="G1055" t="s"/>
      <c r="H1055" t="s"/>
      <c r="I1055" t="s"/>
      <c r="J1055" t="n">
        <v>0</v>
      </c>
      <c r="K1055" t="n">
        <v>0</v>
      </c>
      <c r="L1055" t="n">
        <v>1</v>
      </c>
      <c r="M1055" t="n">
        <v>0</v>
      </c>
    </row>
    <row r="1056" spans="1:13">
      <c r="A1056" s="1">
        <f>HYPERLINK("http://www.twitter.com/NathanBLawrence/status/984648959124824064", "984648959124824064")</f>
        <v/>
      </c>
      <c r="B1056" s="2" t="n">
        <v>43203.18495370371</v>
      </c>
      <c r="C1056" t="n">
        <v>1</v>
      </c>
      <c r="D1056" t="n">
        <v>0</v>
      </c>
      <c r="E1056" t="s">
        <v>1057</v>
      </c>
      <c r="F1056" t="s"/>
      <c r="G1056" t="s"/>
      <c r="H1056" t="s"/>
      <c r="I1056" t="s"/>
      <c r="J1056" t="n">
        <v>0</v>
      </c>
      <c r="K1056" t="n">
        <v>0</v>
      </c>
      <c r="L1056" t="n">
        <v>1</v>
      </c>
      <c r="M1056" t="n">
        <v>0</v>
      </c>
    </row>
    <row r="1057" spans="1:13">
      <c r="A1057" s="1">
        <f>HYPERLINK("http://www.twitter.com/NathanBLawrence/status/984648598863466496", "984648598863466496")</f>
        <v/>
      </c>
      <c r="B1057" s="2" t="n">
        <v>43203.18395833333</v>
      </c>
      <c r="C1057" t="n">
        <v>1</v>
      </c>
      <c r="D1057" t="n">
        <v>0</v>
      </c>
      <c r="E1057" t="s">
        <v>1058</v>
      </c>
      <c r="F1057" t="s"/>
      <c r="G1057" t="s"/>
      <c r="H1057" t="s"/>
      <c r="I1057" t="s"/>
      <c r="J1057" t="n">
        <v>0</v>
      </c>
      <c r="K1057" t="n">
        <v>0</v>
      </c>
      <c r="L1057" t="n">
        <v>1</v>
      </c>
      <c r="M1057" t="n">
        <v>0</v>
      </c>
    </row>
    <row r="1058" spans="1:13">
      <c r="A1058" s="1">
        <f>HYPERLINK("http://www.twitter.com/NathanBLawrence/status/984648340083224576", "984648340083224576")</f>
        <v/>
      </c>
      <c r="B1058" s="2" t="n">
        <v>43203.18324074074</v>
      </c>
      <c r="C1058" t="n">
        <v>0</v>
      </c>
      <c r="D1058" t="n">
        <v>0</v>
      </c>
      <c r="E1058" t="s">
        <v>1059</v>
      </c>
      <c r="F1058" t="s"/>
      <c r="G1058" t="s"/>
      <c r="H1058" t="s"/>
      <c r="I1058" t="s"/>
      <c r="J1058" t="n">
        <v>0</v>
      </c>
      <c r="K1058" t="n">
        <v>0</v>
      </c>
      <c r="L1058" t="n">
        <v>1</v>
      </c>
      <c r="M1058" t="n">
        <v>0</v>
      </c>
    </row>
    <row r="1059" spans="1:13">
      <c r="A1059" s="1">
        <f>HYPERLINK("http://www.twitter.com/NathanBLawrence/status/984648145282924544", "984648145282924544")</f>
        <v/>
      </c>
      <c r="B1059" s="2" t="n">
        <v>43203.18270833333</v>
      </c>
      <c r="C1059" t="n">
        <v>0</v>
      </c>
      <c r="D1059" t="n">
        <v>0</v>
      </c>
      <c r="E1059" t="s">
        <v>1060</v>
      </c>
      <c r="F1059" t="s"/>
      <c r="G1059" t="s"/>
      <c r="H1059" t="s"/>
      <c r="I1059" t="s"/>
      <c r="J1059" t="n">
        <v>0</v>
      </c>
      <c r="K1059" t="n">
        <v>0</v>
      </c>
      <c r="L1059" t="n">
        <v>1</v>
      </c>
      <c r="M1059" t="n">
        <v>0</v>
      </c>
    </row>
    <row r="1060" spans="1:13">
      <c r="A1060" s="1">
        <f>HYPERLINK("http://www.twitter.com/NathanBLawrence/status/984647353129930752", "984647353129930752")</f>
        <v/>
      </c>
      <c r="B1060" s="2" t="n">
        <v>43203.18052083333</v>
      </c>
      <c r="C1060" t="n">
        <v>2</v>
      </c>
      <c r="D1060" t="n">
        <v>0</v>
      </c>
      <c r="E1060" t="s">
        <v>1061</v>
      </c>
      <c r="F1060" t="s"/>
      <c r="G1060" t="s"/>
      <c r="H1060" t="s"/>
      <c r="I1060" t="s"/>
      <c r="J1060" t="n">
        <v>0</v>
      </c>
      <c r="K1060" t="n">
        <v>0</v>
      </c>
      <c r="L1060" t="n">
        <v>1</v>
      </c>
      <c r="M1060" t="n">
        <v>0</v>
      </c>
    </row>
    <row r="1061" spans="1:13">
      <c r="A1061" s="1">
        <f>HYPERLINK("http://www.twitter.com/NathanBLawrence/status/984647093603139584", "984647093603139584")</f>
        <v/>
      </c>
      <c r="B1061" s="2" t="n">
        <v>43203.17980324074</v>
      </c>
      <c r="C1061" t="n">
        <v>1</v>
      </c>
      <c r="D1061" t="n">
        <v>0</v>
      </c>
      <c r="E1061" t="s">
        <v>1062</v>
      </c>
      <c r="F1061" t="s"/>
      <c r="G1061" t="s"/>
      <c r="H1061" t="s"/>
      <c r="I1061" t="s"/>
      <c r="J1061" t="n">
        <v>0</v>
      </c>
      <c r="K1061" t="n">
        <v>0</v>
      </c>
      <c r="L1061" t="n">
        <v>1</v>
      </c>
      <c r="M1061" t="n">
        <v>0</v>
      </c>
    </row>
    <row r="1062" spans="1:13">
      <c r="A1062" s="1">
        <f>HYPERLINK("http://www.twitter.com/NathanBLawrence/status/984646903932575744", "984646903932575744")</f>
        <v/>
      </c>
      <c r="B1062" s="2" t="n">
        <v>43203.17928240741</v>
      </c>
      <c r="C1062" t="n">
        <v>1</v>
      </c>
      <c r="D1062" t="n">
        <v>0</v>
      </c>
      <c r="E1062" t="s">
        <v>1063</v>
      </c>
      <c r="F1062" t="s"/>
      <c r="G1062" t="s"/>
      <c r="H1062" t="s"/>
      <c r="I1062" t="s"/>
      <c r="J1062" t="n">
        <v>0</v>
      </c>
      <c r="K1062" t="n">
        <v>0</v>
      </c>
      <c r="L1062" t="n">
        <v>1</v>
      </c>
      <c r="M1062" t="n">
        <v>0</v>
      </c>
    </row>
    <row r="1063" spans="1:13">
      <c r="A1063" s="1">
        <f>HYPERLINK("http://www.twitter.com/NathanBLawrence/status/984646689582731264", "984646689582731264")</f>
        <v/>
      </c>
      <c r="B1063" s="2" t="n">
        <v>43203.17869212963</v>
      </c>
      <c r="C1063" t="n">
        <v>0</v>
      </c>
      <c r="D1063" t="n">
        <v>0</v>
      </c>
      <c r="E1063" t="s">
        <v>1064</v>
      </c>
      <c r="F1063" t="s"/>
      <c r="G1063" t="s"/>
      <c r="H1063" t="s"/>
      <c r="I1063" t="s"/>
      <c r="J1063" t="n">
        <v>0</v>
      </c>
      <c r="K1063" t="n">
        <v>0</v>
      </c>
      <c r="L1063" t="n">
        <v>1</v>
      </c>
      <c r="M1063" t="n">
        <v>0</v>
      </c>
    </row>
    <row r="1064" spans="1:13">
      <c r="A1064" s="1">
        <f>HYPERLINK("http://www.twitter.com/NathanBLawrence/status/984646332274049024", "984646332274049024")</f>
        <v/>
      </c>
      <c r="B1064" s="2" t="n">
        <v>43203.17770833334</v>
      </c>
      <c r="C1064" t="n">
        <v>0</v>
      </c>
      <c r="D1064" t="n">
        <v>0</v>
      </c>
      <c r="E1064" t="s">
        <v>1065</v>
      </c>
      <c r="F1064" t="s"/>
      <c r="G1064" t="s"/>
      <c r="H1064" t="s"/>
      <c r="I1064" t="s"/>
      <c r="J1064" t="n">
        <v>0</v>
      </c>
      <c r="K1064" t="n">
        <v>0</v>
      </c>
      <c r="L1064" t="n">
        <v>1</v>
      </c>
      <c r="M1064" t="n">
        <v>0</v>
      </c>
    </row>
    <row r="1065" spans="1:13">
      <c r="A1065" s="1">
        <f>HYPERLINK("http://www.twitter.com/NathanBLawrence/status/984646127780876288", "984646127780876288")</f>
        <v/>
      </c>
      <c r="B1065" s="2" t="n">
        <v>43203.17714120371</v>
      </c>
      <c r="C1065" t="n">
        <v>0</v>
      </c>
      <c r="D1065" t="n">
        <v>0</v>
      </c>
      <c r="E1065" t="s">
        <v>1066</v>
      </c>
      <c r="F1065" t="s"/>
      <c r="G1065" t="s"/>
      <c r="H1065" t="s"/>
      <c r="I1065" t="s"/>
      <c r="J1065" t="n">
        <v>0</v>
      </c>
      <c r="K1065" t="n">
        <v>0</v>
      </c>
      <c r="L1065" t="n">
        <v>1</v>
      </c>
      <c r="M1065" t="n">
        <v>0</v>
      </c>
    </row>
    <row r="1066" spans="1:13">
      <c r="A1066" s="1">
        <f>HYPERLINK("http://www.twitter.com/NathanBLawrence/status/984645908615913473", "984645908615913473")</f>
        <v/>
      </c>
      <c r="B1066" s="2" t="n">
        <v>43203.17653935185</v>
      </c>
      <c r="C1066" t="n">
        <v>0</v>
      </c>
      <c r="D1066" t="n">
        <v>0</v>
      </c>
      <c r="E1066" t="s">
        <v>1067</v>
      </c>
      <c r="F1066" t="s"/>
      <c r="G1066" t="s"/>
      <c r="H1066" t="s"/>
      <c r="I1066" t="s"/>
      <c r="J1066" t="n">
        <v>0</v>
      </c>
      <c r="K1066" t="n">
        <v>0</v>
      </c>
      <c r="L1066" t="n">
        <v>1</v>
      </c>
      <c r="M1066" t="n">
        <v>0</v>
      </c>
    </row>
    <row r="1067" spans="1:13">
      <c r="A1067" s="1">
        <f>HYPERLINK("http://www.twitter.com/NathanBLawrence/status/984645419643867136", "984645419643867136")</f>
        <v/>
      </c>
      <c r="B1067" s="2" t="n">
        <v>43203.17518518519</v>
      </c>
      <c r="C1067" t="n">
        <v>0</v>
      </c>
      <c r="D1067" t="n">
        <v>0</v>
      </c>
      <c r="E1067" t="s">
        <v>1068</v>
      </c>
      <c r="F1067" t="s"/>
      <c r="G1067" t="s"/>
      <c r="H1067" t="s"/>
      <c r="I1067" t="s"/>
      <c r="J1067" t="n">
        <v>0</v>
      </c>
      <c r="K1067" t="n">
        <v>0</v>
      </c>
      <c r="L1067" t="n">
        <v>1</v>
      </c>
      <c r="M1067" t="n">
        <v>0</v>
      </c>
    </row>
    <row r="1068" spans="1:13">
      <c r="A1068" s="1">
        <f>HYPERLINK("http://www.twitter.com/NathanBLawrence/status/984645145638440960", "984645145638440960")</f>
        <v/>
      </c>
      <c r="B1068" s="2" t="n">
        <v>43203.17443287037</v>
      </c>
      <c r="C1068" t="n">
        <v>0</v>
      </c>
      <c r="D1068" t="n">
        <v>0</v>
      </c>
      <c r="E1068" t="s">
        <v>1069</v>
      </c>
      <c r="F1068" t="s"/>
      <c r="G1068" t="s"/>
      <c r="H1068" t="s"/>
      <c r="I1068" t="s"/>
      <c r="J1068" t="n">
        <v>0.0969</v>
      </c>
      <c r="K1068" t="n">
        <v>0.134</v>
      </c>
      <c r="L1068" t="n">
        <v>0.713</v>
      </c>
      <c r="M1068" t="n">
        <v>0.153</v>
      </c>
    </row>
    <row r="1069" spans="1:13">
      <c r="A1069" s="1">
        <f>HYPERLINK("http://www.twitter.com/NathanBLawrence/status/984644576186073088", "984644576186073088")</f>
        <v/>
      </c>
      <c r="B1069" s="2" t="n">
        <v>43203.17285879629</v>
      </c>
      <c r="C1069" t="n">
        <v>0</v>
      </c>
      <c r="D1069" t="n">
        <v>0</v>
      </c>
      <c r="E1069" t="s">
        <v>1070</v>
      </c>
      <c r="F1069" t="s"/>
      <c r="G1069" t="s"/>
      <c r="H1069" t="s"/>
      <c r="I1069" t="s"/>
      <c r="J1069" t="n">
        <v>0</v>
      </c>
      <c r="K1069" t="n">
        <v>0</v>
      </c>
      <c r="L1069" t="n">
        <v>1</v>
      </c>
      <c r="M1069" t="n">
        <v>0</v>
      </c>
    </row>
    <row r="1070" spans="1:13">
      <c r="A1070" s="1">
        <f>HYPERLINK("http://www.twitter.com/NathanBLawrence/status/984644250934677504", "984644250934677504")</f>
        <v/>
      </c>
      <c r="B1070" s="2" t="n">
        <v>43203.17195601852</v>
      </c>
      <c r="C1070" t="n">
        <v>0</v>
      </c>
      <c r="D1070" t="n">
        <v>0</v>
      </c>
      <c r="E1070" t="s">
        <v>1071</v>
      </c>
      <c r="F1070" t="s"/>
      <c r="G1070" t="s"/>
      <c r="H1070" t="s"/>
      <c r="I1070" t="s"/>
      <c r="J1070" t="n">
        <v>0</v>
      </c>
      <c r="K1070" t="n">
        <v>0</v>
      </c>
      <c r="L1070" t="n">
        <v>1</v>
      </c>
      <c r="M1070" t="n">
        <v>0</v>
      </c>
    </row>
    <row r="1071" spans="1:13">
      <c r="A1071" s="1">
        <f>HYPERLINK("http://www.twitter.com/NathanBLawrence/status/984644020755402752", "984644020755402752")</f>
        <v/>
      </c>
      <c r="B1071" s="2" t="n">
        <v>43203.17133101852</v>
      </c>
      <c r="C1071" t="n">
        <v>0</v>
      </c>
      <c r="D1071" t="n">
        <v>0</v>
      </c>
      <c r="E1071" t="s">
        <v>1072</v>
      </c>
      <c r="F1071" t="s"/>
      <c r="G1071" t="s"/>
      <c r="H1071" t="s"/>
      <c r="I1071" t="s"/>
      <c r="J1071" t="n">
        <v>0</v>
      </c>
      <c r="K1071" t="n">
        <v>0</v>
      </c>
      <c r="L1071" t="n">
        <v>1</v>
      </c>
      <c r="M1071" t="n">
        <v>0</v>
      </c>
    </row>
    <row r="1072" spans="1:13">
      <c r="A1072" s="1">
        <f>HYPERLINK("http://www.twitter.com/NathanBLawrence/status/984643671722287107", "984643671722287107")</f>
        <v/>
      </c>
      <c r="B1072" s="2" t="n">
        <v>43203.1703587963</v>
      </c>
      <c r="C1072" t="n">
        <v>4</v>
      </c>
      <c r="D1072" t="n">
        <v>1</v>
      </c>
      <c r="E1072" t="s">
        <v>1073</v>
      </c>
      <c r="F1072" t="s"/>
      <c r="G1072" t="s"/>
      <c r="H1072" t="s"/>
      <c r="I1072" t="s"/>
      <c r="J1072" t="n">
        <v>0</v>
      </c>
      <c r="K1072" t="n">
        <v>0</v>
      </c>
      <c r="L1072" t="n">
        <v>1</v>
      </c>
      <c r="M1072" t="n">
        <v>0</v>
      </c>
    </row>
    <row r="1073" spans="1:13">
      <c r="A1073" s="1">
        <f>HYPERLINK("http://www.twitter.com/NathanBLawrence/status/984643422731546624", "984643422731546624")</f>
        <v/>
      </c>
      <c r="B1073" s="2" t="n">
        <v>43203.16967592593</v>
      </c>
      <c r="C1073" t="n">
        <v>0</v>
      </c>
      <c r="D1073" t="n">
        <v>0</v>
      </c>
      <c r="E1073" t="s">
        <v>1074</v>
      </c>
      <c r="F1073" t="s"/>
      <c r="G1073" t="s"/>
      <c r="H1073" t="s"/>
      <c r="I1073" t="s"/>
      <c r="J1073" t="n">
        <v>0</v>
      </c>
      <c r="K1073" t="n">
        <v>0</v>
      </c>
      <c r="L1073" t="n">
        <v>1</v>
      </c>
      <c r="M1073" t="n">
        <v>0</v>
      </c>
    </row>
    <row r="1074" spans="1:13">
      <c r="A1074" s="1">
        <f>HYPERLINK("http://www.twitter.com/NathanBLawrence/status/984643106699128832", "984643106699128832")</f>
        <v/>
      </c>
      <c r="B1074" s="2" t="n">
        <v>43203.16880787037</v>
      </c>
      <c r="C1074" t="n">
        <v>2</v>
      </c>
      <c r="D1074" t="n">
        <v>1</v>
      </c>
      <c r="E1074" t="s">
        <v>1075</v>
      </c>
      <c r="F1074" t="s"/>
      <c r="G1074" t="s"/>
      <c r="H1074" t="s"/>
      <c r="I1074" t="s"/>
      <c r="J1074" t="n">
        <v>0</v>
      </c>
      <c r="K1074" t="n">
        <v>0</v>
      </c>
      <c r="L1074" t="n">
        <v>1</v>
      </c>
      <c r="M1074" t="n">
        <v>0</v>
      </c>
    </row>
    <row r="1075" spans="1:13">
      <c r="A1075" s="1">
        <f>HYPERLINK("http://www.twitter.com/NathanBLawrence/status/984642857268064257", "984642857268064257")</f>
        <v/>
      </c>
      <c r="B1075" s="2" t="n">
        <v>43203.16811342593</v>
      </c>
      <c r="C1075" t="n">
        <v>0</v>
      </c>
      <c r="D1075" t="n">
        <v>0</v>
      </c>
      <c r="E1075" t="s">
        <v>1076</v>
      </c>
      <c r="F1075" t="s"/>
      <c r="G1075" t="s"/>
      <c r="H1075" t="s"/>
      <c r="I1075" t="s"/>
      <c r="J1075" t="n">
        <v>0</v>
      </c>
      <c r="K1075" t="n">
        <v>0</v>
      </c>
      <c r="L1075" t="n">
        <v>1</v>
      </c>
      <c r="M1075" t="n">
        <v>0</v>
      </c>
    </row>
    <row r="1076" spans="1:13">
      <c r="A1076" s="1">
        <f>HYPERLINK("http://www.twitter.com/NathanBLawrence/status/984642558117769216", "984642558117769216")</f>
        <v/>
      </c>
      <c r="B1076" s="2" t="n">
        <v>43203.16729166666</v>
      </c>
      <c r="C1076" t="n">
        <v>5</v>
      </c>
      <c r="D1076" t="n">
        <v>1</v>
      </c>
      <c r="E1076" t="s">
        <v>1077</v>
      </c>
      <c r="F1076" t="s"/>
      <c r="G1076" t="s"/>
      <c r="H1076" t="s"/>
      <c r="I1076" t="s"/>
      <c r="J1076" t="n">
        <v>0</v>
      </c>
      <c r="K1076" t="n">
        <v>0</v>
      </c>
      <c r="L1076" t="n">
        <v>1</v>
      </c>
      <c r="M1076" t="n">
        <v>0</v>
      </c>
    </row>
    <row r="1077" spans="1:13">
      <c r="A1077" s="1">
        <f>HYPERLINK("http://www.twitter.com/NathanBLawrence/status/984607176617545728", "984607176617545728")</f>
        <v/>
      </c>
      <c r="B1077" s="2" t="n">
        <v>43203.06965277778</v>
      </c>
      <c r="C1077" t="n">
        <v>0</v>
      </c>
      <c r="D1077" t="n">
        <v>1</v>
      </c>
      <c r="E1077" t="s">
        <v>1078</v>
      </c>
      <c r="F1077" t="s"/>
      <c r="G1077" t="s"/>
      <c r="H1077" t="s"/>
      <c r="I1077" t="s"/>
      <c r="J1077" t="n">
        <v>-0.802</v>
      </c>
      <c r="K1077" t="n">
        <v>0.316</v>
      </c>
      <c r="L1077" t="n">
        <v>0.612</v>
      </c>
      <c r="M1077" t="n">
        <v>0.07099999999999999</v>
      </c>
    </row>
    <row r="1078" spans="1:13">
      <c r="A1078" s="1">
        <f>HYPERLINK("http://www.twitter.com/NathanBLawrence/status/984605959212486658", "984605959212486658")</f>
        <v/>
      </c>
      <c r="B1078" s="2" t="n">
        <v>43203.0662962963</v>
      </c>
      <c r="C1078" t="n">
        <v>0</v>
      </c>
      <c r="D1078" t="n">
        <v>0</v>
      </c>
      <c r="E1078" t="s">
        <v>1079</v>
      </c>
      <c r="F1078" t="s"/>
      <c r="G1078" t="s"/>
      <c r="H1078" t="s"/>
      <c r="I1078" t="s"/>
      <c r="J1078" t="n">
        <v>0.6817</v>
      </c>
      <c r="K1078" t="n">
        <v>0.09</v>
      </c>
      <c r="L1078" t="n">
        <v>0.666</v>
      </c>
      <c r="M1078" t="n">
        <v>0.244</v>
      </c>
    </row>
    <row r="1079" spans="1:13">
      <c r="A1079" s="1">
        <f>HYPERLINK("http://www.twitter.com/NathanBLawrence/status/984604085826539520", "984604085826539520")</f>
        <v/>
      </c>
      <c r="B1079" s="2" t="n">
        <v>43203.06112268518</v>
      </c>
      <c r="C1079" t="n">
        <v>0</v>
      </c>
      <c r="D1079" t="n">
        <v>37</v>
      </c>
      <c r="E1079" t="s">
        <v>1080</v>
      </c>
      <c r="F1079" t="s"/>
      <c r="G1079" t="s"/>
      <c r="H1079" t="s"/>
      <c r="I1079" t="s"/>
      <c r="J1079" t="n">
        <v>0.4019</v>
      </c>
      <c r="K1079" t="n">
        <v>0</v>
      </c>
      <c r="L1079" t="n">
        <v>0.891</v>
      </c>
      <c r="M1079" t="n">
        <v>0.109</v>
      </c>
    </row>
    <row r="1080" spans="1:13">
      <c r="A1080" s="1">
        <f>HYPERLINK("http://www.twitter.com/NathanBLawrence/status/984601237613096960", "984601237613096960")</f>
        <v/>
      </c>
      <c r="B1080" s="2" t="n">
        <v>43203.05326388889</v>
      </c>
      <c r="C1080" t="n">
        <v>44</v>
      </c>
      <c r="D1080" t="n">
        <v>37</v>
      </c>
      <c r="E1080" t="s">
        <v>1081</v>
      </c>
      <c r="F1080" t="s"/>
      <c r="G1080" t="s"/>
      <c r="H1080" t="s"/>
      <c r="I1080" t="s"/>
      <c r="J1080" t="n">
        <v>-0.7125</v>
      </c>
      <c r="K1080" t="n">
        <v>0.135</v>
      </c>
      <c r="L1080" t="n">
        <v>0.8169999999999999</v>
      </c>
      <c r="M1080" t="n">
        <v>0.048</v>
      </c>
    </row>
    <row r="1081" spans="1:13">
      <c r="A1081" s="1">
        <f>HYPERLINK("http://www.twitter.com/NathanBLawrence/status/984594490206846976", "984594490206846976")</f>
        <v/>
      </c>
      <c r="B1081" s="2" t="n">
        <v>43203.03465277778</v>
      </c>
      <c r="C1081" t="n">
        <v>0</v>
      </c>
      <c r="D1081" t="n">
        <v>11</v>
      </c>
      <c r="E1081" t="s">
        <v>1082</v>
      </c>
      <c r="F1081">
        <f>HYPERLINK("http://pbs.twimg.com/media/DanxzxmW0AECNJM.jpg", "http://pbs.twimg.com/media/DanxzxmW0AECNJM.jpg")</f>
        <v/>
      </c>
      <c r="G1081" t="s"/>
      <c r="H1081" t="s"/>
      <c r="I1081" t="s"/>
      <c r="J1081" t="n">
        <v>-0.34</v>
      </c>
      <c r="K1081" t="n">
        <v>0.112</v>
      </c>
      <c r="L1081" t="n">
        <v>0.888</v>
      </c>
      <c r="M1081" t="n">
        <v>0</v>
      </c>
    </row>
    <row r="1082" spans="1:13">
      <c r="A1082" s="1">
        <f>HYPERLINK("http://www.twitter.com/NathanBLawrence/status/984588443157229569", "984588443157229569")</f>
        <v/>
      </c>
      <c r="B1082" s="2" t="n">
        <v>43203.01796296296</v>
      </c>
      <c r="C1082" t="n">
        <v>4</v>
      </c>
      <c r="D1082" t="n">
        <v>1</v>
      </c>
      <c r="E1082" t="s">
        <v>1083</v>
      </c>
      <c r="F1082" t="s"/>
      <c r="G1082" t="s"/>
      <c r="H1082" t="s"/>
      <c r="I1082" t="s"/>
      <c r="J1082" t="n">
        <v>-0.694</v>
      </c>
      <c r="K1082" t="n">
        <v>0.252</v>
      </c>
      <c r="L1082" t="n">
        <v>0.611</v>
      </c>
      <c r="M1082" t="n">
        <v>0.137</v>
      </c>
    </row>
    <row r="1083" spans="1:13">
      <c r="A1083" s="1">
        <f>HYPERLINK("http://www.twitter.com/NathanBLawrence/status/984579135623360513", "984579135623360513")</f>
        <v/>
      </c>
      <c r="B1083" s="2" t="n">
        <v>43202.99228009259</v>
      </c>
      <c r="C1083" t="n">
        <v>0</v>
      </c>
      <c r="D1083" t="n">
        <v>241</v>
      </c>
      <c r="E1083" t="s">
        <v>1084</v>
      </c>
      <c r="F1083">
        <f>HYPERLINK("http://pbs.twimg.com/media/Dane9bTWkAEBWod.jpg", "http://pbs.twimg.com/media/Dane9bTWkAEBWod.jpg")</f>
        <v/>
      </c>
      <c r="G1083" t="s"/>
      <c r="H1083" t="s"/>
      <c r="I1083" t="s"/>
      <c r="J1083" t="n">
        <v>0.6408</v>
      </c>
      <c r="K1083" t="n">
        <v>0</v>
      </c>
      <c r="L1083" t="n">
        <v>0.775</v>
      </c>
      <c r="M1083" t="n">
        <v>0.225</v>
      </c>
    </row>
    <row r="1084" spans="1:13">
      <c r="A1084" s="1">
        <f>HYPERLINK("http://www.twitter.com/NathanBLawrence/status/984577947993608192", "984577947993608192")</f>
        <v/>
      </c>
      <c r="B1084" s="2" t="n">
        <v>43202.98900462963</v>
      </c>
      <c r="C1084" t="n">
        <v>0</v>
      </c>
      <c r="D1084" t="n">
        <v>23</v>
      </c>
      <c r="E1084" t="s">
        <v>1085</v>
      </c>
      <c r="F1084">
        <f>HYPERLINK("http://pbs.twimg.com/media/DamaWz0VAAAWVLo.jpg", "http://pbs.twimg.com/media/DamaWz0VAAAWVLo.jpg")</f>
        <v/>
      </c>
      <c r="G1084" t="s"/>
      <c r="H1084" t="s"/>
      <c r="I1084" t="s"/>
      <c r="J1084" t="n">
        <v>0</v>
      </c>
      <c r="K1084" t="n">
        <v>0</v>
      </c>
      <c r="L1084" t="n">
        <v>1</v>
      </c>
      <c r="M1084" t="n">
        <v>0</v>
      </c>
    </row>
    <row r="1085" spans="1:13">
      <c r="A1085" s="1">
        <f>HYPERLINK("http://www.twitter.com/NathanBLawrence/status/984577872181506049", "984577872181506049")</f>
        <v/>
      </c>
      <c r="B1085" s="2" t="n">
        <v>43202.98878472222</v>
      </c>
      <c r="C1085" t="n">
        <v>0</v>
      </c>
      <c r="D1085" t="n">
        <v>13</v>
      </c>
      <c r="E1085" t="s">
        <v>1086</v>
      </c>
      <c r="F1085">
        <f>HYPERLINK("http://pbs.twimg.com/media/DanWu-0UMAERk5P.jpg", "http://pbs.twimg.com/media/DanWu-0UMAERk5P.jpg")</f>
        <v/>
      </c>
      <c r="G1085">
        <f>HYPERLINK("http://pbs.twimg.com/media/DanWvA0UwAAqY92.jpg", "http://pbs.twimg.com/media/DanWvA0UwAAqY92.jpg")</f>
        <v/>
      </c>
      <c r="H1085" t="s"/>
      <c r="I1085" t="s"/>
      <c r="J1085" t="n">
        <v>-0.2732</v>
      </c>
      <c r="K1085" t="n">
        <v>0.118</v>
      </c>
      <c r="L1085" t="n">
        <v>0.8139999999999999</v>
      </c>
      <c r="M1085" t="n">
        <v>0.068</v>
      </c>
    </row>
    <row r="1086" spans="1:13">
      <c r="A1086" s="1">
        <f>HYPERLINK("http://www.twitter.com/NathanBLawrence/status/984577841403711488", "984577841403711488")</f>
        <v/>
      </c>
      <c r="B1086" s="2" t="n">
        <v>43202.9887037037</v>
      </c>
      <c r="C1086" t="n">
        <v>0</v>
      </c>
      <c r="D1086" t="n">
        <v>13</v>
      </c>
      <c r="E1086" t="s">
        <v>1087</v>
      </c>
      <c r="F1086">
        <f>HYPERLINK("http://pbs.twimg.com/media/DanW6kwUQAAygAc.jpg", "http://pbs.twimg.com/media/DanW6kwUQAAygAc.jpg")</f>
        <v/>
      </c>
      <c r="G1086">
        <f>HYPERLINK("http://pbs.twimg.com/media/DanW6paVAAAJXVw.jpg", "http://pbs.twimg.com/media/DanW6paVAAAJXVw.jpg")</f>
        <v/>
      </c>
      <c r="H1086" t="s"/>
      <c r="I1086" t="s"/>
      <c r="J1086" t="n">
        <v>0.6486</v>
      </c>
      <c r="K1086" t="n">
        <v>0</v>
      </c>
      <c r="L1086" t="n">
        <v>0.76</v>
      </c>
      <c r="M1086" t="n">
        <v>0.24</v>
      </c>
    </row>
    <row r="1087" spans="1:13">
      <c r="A1087" s="1">
        <f>HYPERLINK("http://www.twitter.com/NathanBLawrence/status/984577780263342080", "984577780263342080")</f>
        <v/>
      </c>
      <c r="B1087" s="2" t="n">
        <v>43202.98854166667</v>
      </c>
      <c r="C1087" t="n">
        <v>0</v>
      </c>
      <c r="D1087" t="n">
        <v>11</v>
      </c>
      <c r="E1087" t="s">
        <v>1088</v>
      </c>
      <c r="F1087">
        <f>HYPERLINK("http://pbs.twimg.com/media/DamGYdGUwAAKrlU.jpg", "http://pbs.twimg.com/media/DamGYdGUwAAKrlU.jpg")</f>
        <v/>
      </c>
      <c r="G1087" t="s"/>
      <c r="H1087" t="s"/>
      <c r="I1087" t="s"/>
      <c r="J1087" t="n">
        <v>0</v>
      </c>
      <c r="K1087" t="n">
        <v>0</v>
      </c>
      <c r="L1087" t="n">
        <v>1</v>
      </c>
      <c r="M1087" t="n">
        <v>0</v>
      </c>
    </row>
    <row r="1088" spans="1:13">
      <c r="A1088" s="1">
        <f>HYPERLINK("http://www.twitter.com/NathanBLawrence/status/984577757043679232", "984577757043679232")</f>
        <v/>
      </c>
      <c r="B1088" s="2" t="n">
        <v>43202.98847222222</v>
      </c>
      <c r="C1088" t="n">
        <v>0</v>
      </c>
      <c r="D1088" t="n">
        <v>14</v>
      </c>
      <c r="E1088" t="s">
        <v>1089</v>
      </c>
      <c r="F1088">
        <f>HYPERLINK("http://pbs.twimg.com/media/DamGtUyVwAAqC8f.jpg", "http://pbs.twimg.com/media/DamGtUyVwAAqC8f.jpg")</f>
        <v/>
      </c>
      <c r="G1088" t="s"/>
      <c r="H1088" t="s"/>
      <c r="I1088" t="s"/>
      <c r="J1088" t="n">
        <v>0.128</v>
      </c>
      <c r="K1088" t="n">
        <v>0</v>
      </c>
      <c r="L1088" t="n">
        <v>0.9330000000000001</v>
      </c>
      <c r="M1088" t="n">
        <v>0.067</v>
      </c>
    </row>
    <row r="1089" spans="1:13">
      <c r="A1089" s="1">
        <f>HYPERLINK("http://www.twitter.com/NathanBLawrence/status/984577696645763073", "984577696645763073")</f>
        <v/>
      </c>
      <c r="B1089" s="2" t="n">
        <v>43202.98831018519</v>
      </c>
      <c r="C1089" t="n">
        <v>0</v>
      </c>
      <c r="D1089" t="n">
        <v>4</v>
      </c>
      <c r="E1089" t="s">
        <v>1090</v>
      </c>
      <c r="F1089">
        <f>HYPERLINK("http://pbs.twimg.com/media/DahGoICVMAAL_pv.jpg", "http://pbs.twimg.com/media/DahGoICVMAAL_pv.jpg")</f>
        <v/>
      </c>
      <c r="G1089" t="s"/>
      <c r="H1089" t="s"/>
      <c r="I1089" t="s"/>
      <c r="J1089" t="n">
        <v>-0.5266999999999999</v>
      </c>
      <c r="K1089" t="n">
        <v>0.175</v>
      </c>
      <c r="L1089" t="n">
        <v>0.825</v>
      </c>
      <c r="M1089" t="n">
        <v>0</v>
      </c>
    </row>
    <row r="1090" spans="1:13">
      <c r="A1090" s="1">
        <f>HYPERLINK("http://www.twitter.com/NathanBLawrence/status/984560902430224385", "984560902430224385")</f>
        <v/>
      </c>
      <c r="B1090" s="2" t="n">
        <v>43202.94196759259</v>
      </c>
      <c r="C1090" t="n">
        <v>0</v>
      </c>
      <c r="D1090" t="n">
        <v>0</v>
      </c>
      <c r="E1090" t="s">
        <v>1091</v>
      </c>
      <c r="F1090" t="s"/>
      <c r="G1090" t="s"/>
      <c r="H1090" t="s"/>
      <c r="I1090" t="s"/>
      <c r="J1090" t="n">
        <v>-0.347</v>
      </c>
      <c r="K1090" t="n">
        <v>0.136</v>
      </c>
      <c r="L1090" t="n">
        <v>0.785</v>
      </c>
      <c r="M1090" t="n">
        <v>0.079</v>
      </c>
    </row>
    <row r="1091" spans="1:13">
      <c r="A1091" s="1">
        <f>HYPERLINK("http://www.twitter.com/NathanBLawrence/status/984556075528671234", "984556075528671234")</f>
        <v/>
      </c>
      <c r="B1091" s="2" t="n">
        <v>43202.92864583333</v>
      </c>
      <c r="C1091" t="n">
        <v>1</v>
      </c>
      <c r="D1091" t="n">
        <v>0</v>
      </c>
      <c r="E1091" t="s">
        <v>1092</v>
      </c>
      <c r="F1091" t="s"/>
      <c r="G1091" t="s"/>
      <c r="H1091" t="s"/>
      <c r="I1091" t="s"/>
      <c r="J1091" t="n">
        <v>0</v>
      </c>
      <c r="K1091" t="n">
        <v>0</v>
      </c>
      <c r="L1091" t="n">
        <v>1</v>
      </c>
      <c r="M1091" t="n">
        <v>0</v>
      </c>
    </row>
    <row r="1092" spans="1:13">
      <c r="A1092" s="1">
        <f>HYPERLINK("http://www.twitter.com/NathanBLawrence/status/984556038153277440", "984556038153277440")</f>
        <v/>
      </c>
      <c r="B1092" s="2" t="n">
        <v>43202.92854166667</v>
      </c>
      <c r="C1092" t="n">
        <v>0</v>
      </c>
      <c r="D1092" t="n">
        <v>15</v>
      </c>
      <c r="E1092" t="s">
        <v>1093</v>
      </c>
      <c r="F1092" t="s"/>
      <c r="G1092" t="s"/>
      <c r="H1092" t="s"/>
      <c r="I1092" t="s"/>
      <c r="J1092" t="n">
        <v>0</v>
      </c>
      <c r="K1092" t="n">
        <v>0</v>
      </c>
      <c r="L1092" t="n">
        <v>1</v>
      </c>
      <c r="M1092" t="n">
        <v>0</v>
      </c>
    </row>
    <row r="1093" spans="1:13">
      <c r="A1093" s="1">
        <f>HYPERLINK("http://www.twitter.com/NathanBLawrence/status/984555211971801088", "984555211971801088")</f>
        <v/>
      </c>
      <c r="B1093" s="2" t="n">
        <v>43202.92626157407</v>
      </c>
      <c r="C1093" t="n">
        <v>1</v>
      </c>
      <c r="D1093" t="n">
        <v>1</v>
      </c>
      <c r="E1093" t="s">
        <v>1094</v>
      </c>
      <c r="F1093" t="s"/>
      <c r="G1093" t="s"/>
      <c r="H1093" t="s"/>
      <c r="I1093" t="s"/>
      <c r="J1093" t="n">
        <v>0</v>
      </c>
      <c r="K1093" t="n">
        <v>0</v>
      </c>
      <c r="L1093" t="n">
        <v>1</v>
      </c>
      <c r="M1093" t="n">
        <v>0</v>
      </c>
    </row>
    <row r="1094" spans="1:13">
      <c r="A1094" s="1">
        <f>HYPERLINK("http://www.twitter.com/NathanBLawrence/status/984555177456951296", "984555177456951296")</f>
        <v/>
      </c>
      <c r="B1094" s="2" t="n">
        <v>43202.92616898148</v>
      </c>
      <c r="C1094" t="n">
        <v>0</v>
      </c>
      <c r="D1094" t="n">
        <v>14</v>
      </c>
      <c r="E1094" t="s">
        <v>1095</v>
      </c>
      <c r="F1094" t="s"/>
      <c r="G1094" t="s"/>
      <c r="H1094" t="s"/>
      <c r="I1094" t="s"/>
      <c r="J1094" t="n">
        <v>0</v>
      </c>
      <c r="K1094" t="n">
        <v>0</v>
      </c>
      <c r="L1094" t="n">
        <v>1</v>
      </c>
      <c r="M1094" t="n">
        <v>0</v>
      </c>
    </row>
    <row r="1095" spans="1:13">
      <c r="A1095" s="1">
        <f>HYPERLINK("http://www.twitter.com/NathanBLawrence/status/984552181302005760", "984552181302005760")</f>
        <v/>
      </c>
      <c r="B1095" s="2" t="n">
        <v>43202.91789351852</v>
      </c>
      <c r="C1095" t="n">
        <v>8</v>
      </c>
      <c r="D1095" t="n">
        <v>5</v>
      </c>
      <c r="E1095" t="s">
        <v>1096</v>
      </c>
      <c r="F1095">
        <f>HYPERLINK("http://pbs.twimg.com/media/DanU-u-WAAUuW62.jpg", "http://pbs.twimg.com/media/DanU-u-WAAUuW62.jpg")</f>
        <v/>
      </c>
      <c r="G1095" t="s"/>
      <c r="H1095" t="s"/>
      <c r="I1095" t="s"/>
      <c r="J1095" t="n">
        <v>-0.7814</v>
      </c>
      <c r="K1095" t="n">
        <v>0.159</v>
      </c>
      <c r="L1095" t="n">
        <v>0.771</v>
      </c>
      <c r="M1095" t="n">
        <v>0.07000000000000001</v>
      </c>
    </row>
    <row r="1096" spans="1:13">
      <c r="A1096" s="1">
        <f>HYPERLINK("http://www.twitter.com/NathanBLawrence/status/984524283018928128", "984524283018928128")</f>
        <v/>
      </c>
      <c r="B1096" s="2" t="n">
        <v>43202.84091435185</v>
      </c>
      <c r="C1096" t="n">
        <v>19</v>
      </c>
      <c r="D1096" t="n">
        <v>14</v>
      </c>
      <c r="E1096" t="s">
        <v>1097</v>
      </c>
      <c r="F1096" t="s"/>
      <c r="G1096" t="s"/>
      <c r="H1096" t="s"/>
      <c r="I1096" t="s"/>
      <c r="J1096" t="n">
        <v>-0.3382</v>
      </c>
      <c r="K1096" t="n">
        <v>0.197</v>
      </c>
      <c r="L1096" t="n">
        <v>0.651</v>
      </c>
      <c r="M1096" t="n">
        <v>0.151</v>
      </c>
    </row>
    <row r="1097" spans="1:13">
      <c r="A1097" s="1">
        <f>HYPERLINK("http://www.twitter.com/NathanBLawrence/status/984513292638048256", "984513292638048256")</f>
        <v/>
      </c>
      <c r="B1097" s="2" t="n">
        <v>43202.81057870371</v>
      </c>
      <c r="C1097" t="n">
        <v>1</v>
      </c>
      <c r="D1097" t="n">
        <v>0</v>
      </c>
      <c r="E1097" t="s">
        <v>1098</v>
      </c>
      <c r="F1097" t="s"/>
      <c r="G1097" t="s"/>
      <c r="H1097" t="s"/>
      <c r="I1097" t="s"/>
      <c r="J1097" t="n">
        <v>0</v>
      </c>
      <c r="K1097" t="n">
        <v>0</v>
      </c>
      <c r="L1097" t="n">
        <v>1</v>
      </c>
      <c r="M1097" t="n">
        <v>0</v>
      </c>
    </row>
    <row r="1098" spans="1:13">
      <c r="A1098" s="1">
        <f>HYPERLINK("http://www.twitter.com/NathanBLawrence/status/984507946901131268", "984507946901131268")</f>
        <v/>
      </c>
      <c r="B1098" s="2" t="n">
        <v>43202.79583333333</v>
      </c>
      <c r="C1098" t="n">
        <v>0</v>
      </c>
      <c r="D1098" t="n">
        <v>5</v>
      </c>
      <c r="E1098" t="s">
        <v>1099</v>
      </c>
      <c r="F1098" t="s"/>
      <c r="G1098" t="s"/>
      <c r="H1098" t="s"/>
      <c r="I1098" t="s"/>
      <c r="J1098" t="n">
        <v>0</v>
      </c>
      <c r="K1098" t="n">
        <v>0</v>
      </c>
      <c r="L1098" t="n">
        <v>1</v>
      </c>
      <c r="M1098" t="n">
        <v>0</v>
      </c>
    </row>
    <row r="1099" spans="1:13">
      <c r="A1099" s="1">
        <f>HYPERLINK("http://www.twitter.com/NathanBLawrence/status/984506268734894080", "984506268734894080")</f>
        <v/>
      </c>
      <c r="B1099" s="2" t="n">
        <v>43202.7912037037</v>
      </c>
      <c r="C1099" t="n">
        <v>0</v>
      </c>
      <c r="D1099" t="n">
        <v>1653</v>
      </c>
      <c r="E1099" t="s">
        <v>1100</v>
      </c>
      <c r="F1099">
        <f>HYPERLINK("https://video.twimg.com/ext_tw_video/969700649532207105/pu/vid/720x720/m6ROtkQOJpb_nGOw.mp4", "https://video.twimg.com/ext_tw_video/969700649532207105/pu/vid/720x720/m6ROtkQOJpb_nGOw.mp4")</f>
        <v/>
      </c>
      <c r="G1099" t="s"/>
      <c r="H1099" t="s"/>
      <c r="I1099" t="s"/>
      <c r="J1099" t="n">
        <v>-0.8126</v>
      </c>
      <c r="K1099" t="n">
        <v>0.372</v>
      </c>
      <c r="L1099" t="n">
        <v>0.507</v>
      </c>
      <c r="M1099" t="n">
        <v>0.122</v>
      </c>
    </row>
    <row r="1100" spans="1:13">
      <c r="A1100" s="1">
        <f>HYPERLINK("http://www.twitter.com/NathanBLawrence/status/984498132267552769", "984498132267552769")</f>
        <v/>
      </c>
      <c r="B1100" s="2" t="n">
        <v>43202.76875</v>
      </c>
      <c r="C1100" t="n">
        <v>0</v>
      </c>
      <c r="D1100" t="n">
        <v>0</v>
      </c>
      <c r="E1100" t="s">
        <v>1101</v>
      </c>
      <c r="F1100" t="s"/>
      <c r="G1100" t="s"/>
      <c r="H1100" t="s"/>
      <c r="I1100" t="s"/>
      <c r="J1100" t="n">
        <v>0</v>
      </c>
      <c r="K1100" t="n">
        <v>0</v>
      </c>
      <c r="L1100" t="n">
        <v>1</v>
      </c>
      <c r="M1100" t="n">
        <v>0</v>
      </c>
    </row>
    <row r="1101" spans="1:13">
      <c r="A1101" s="1">
        <f>HYPERLINK("http://www.twitter.com/NathanBLawrence/status/984498042194812932", "984498042194812932")</f>
        <v/>
      </c>
      <c r="B1101" s="2" t="n">
        <v>43202.76850694444</v>
      </c>
      <c r="C1101" t="n">
        <v>0</v>
      </c>
      <c r="D1101" t="n">
        <v>0</v>
      </c>
      <c r="E1101" t="s">
        <v>1102</v>
      </c>
      <c r="F1101" t="s"/>
      <c r="G1101" t="s"/>
      <c r="H1101" t="s"/>
      <c r="I1101" t="s"/>
      <c r="J1101" t="n">
        <v>0</v>
      </c>
      <c r="K1101" t="n">
        <v>0</v>
      </c>
      <c r="L1101" t="n">
        <v>1</v>
      </c>
      <c r="M1101" t="n">
        <v>0</v>
      </c>
    </row>
    <row r="1102" spans="1:13">
      <c r="A1102" s="1">
        <f>HYPERLINK("http://www.twitter.com/NathanBLawrence/status/984494791030464515", "984494791030464515")</f>
        <v/>
      </c>
      <c r="B1102" s="2" t="n">
        <v>43202.75952546296</v>
      </c>
      <c r="C1102" t="n">
        <v>10</v>
      </c>
      <c r="D1102" t="n">
        <v>8</v>
      </c>
      <c r="E1102" t="s">
        <v>1103</v>
      </c>
      <c r="F1102" t="s"/>
      <c r="G1102" t="s"/>
      <c r="H1102" t="s"/>
      <c r="I1102" t="s"/>
      <c r="J1102" t="n">
        <v>0.6597</v>
      </c>
      <c r="K1102" t="n">
        <v>0</v>
      </c>
      <c r="L1102" t="n">
        <v>0.838</v>
      </c>
      <c r="M1102" t="n">
        <v>0.162</v>
      </c>
    </row>
    <row r="1103" spans="1:13">
      <c r="A1103" s="1">
        <f>HYPERLINK("http://www.twitter.com/NathanBLawrence/status/984490516820758530", "984490516820758530")</f>
        <v/>
      </c>
      <c r="B1103" s="2" t="n">
        <v>43202.74773148148</v>
      </c>
      <c r="C1103" t="n">
        <v>0</v>
      </c>
      <c r="D1103" t="n">
        <v>787</v>
      </c>
      <c r="E1103" t="s">
        <v>1104</v>
      </c>
      <c r="F1103">
        <f>HYPERLINK("https://video.twimg.com/amplify_video/984368318072213504/vid/1280x720/I3bX_A0HF35gt8XN.mp4?tag=2", "https://video.twimg.com/amplify_video/984368318072213504/vid/1280x720/I3bX_A0HF35gt8XN.mp4?tag=2")</f>
        <v/>
      </c>
      <c r="G1103" t="s"/>
      <c r="H1103" t="s"/>
      <c r="I1103" t="s"/>
      <c r="J1103" t="n">
        <v>-0.4767</v>
      </c>
      <c r="K1103" t="n">
        <v>0.119</v>
      </c>
      <c r="L1103" t="n">
        <v>0.881</v>
      </c>
      <c r="M1103" t="n">
        <v>0</v>
      </c>
    </row>
    <row r="1104" spans="1:13">
      <c r="A1104" s="1">
        <f>HYPERLINK("http://www.twitter.com/NathanBLawrence/status/984487631680606210", "984487631680606210")</f>
        <v/>
      </c>
      <c r="B1104" s="2" t="n">
        <v>43202.73976851852</v>
      </c>
      <c r="C1104" t="n">
        <v>1</v>
      </c>
      <c r="D1104" t="n">
        <v>2</v>
      </c>
      <c r="E1104" t="s">
        <v>1105</v>
      </c>
      <c r="F1104" t="s"/>
      <c r="G1104" t="s"/>
      <c r="H1104" t="s"/>
      <c r="I1104" t="s"/>
      <c r="J1104" t="n">
        <v>0</v>
      </c>
      <c r="K1104" t="n">
        <v>0</v>
      </c>
      <c r="L1104" t="n">
        <v>1</v>
      </c>
      <c r="M1104" t="n">
        <v>0</v>
      </c>
    </row>
    <row r="1105" spans="1:13">
      <c r="A1105" s="1">
        <f>HYPERLINK("http://www.twitter.com/NathanBLawrence/status/984486834758672386", "984486834758672386")</f>
        <v/>
      </c>
      <c r="B1105" s="2" t="n">
        <v>43202.73756944444</v>
      </c>
      <c r="C1105" t="n">
        <v>1</v>
      </c>
      <c r="D1105" t="n">
        <v>0</v>
      </c>
      <c r="E1105" t="s">
        <v>1106</v>
      </c>
      <c r="F1105" t="s"/>
      <c r="G1105" t="s"/>
      <c r="H1105" t="s"/>
      <c r="I1105" t="s"/>
      <c r="J1105" t="n">
        <v>0</v>
      </c>
      <c r="K1105" t="n">
        <v>0</v>
      </c>
      <c r="L1105" t="n">
        <v>1</v>
      </c>
      <c r="M1105" t="n">
        <v>0</v>
      </c>
    </row>
    <row r="1106" spans="1:13">
      <c r="A1106" s="1">
        <f>HYPERLINK("http://www.twitter.com/NathanBLawrence/status/984486468608544769", "984486468608544769")</f>
        <v/>
      </c>
      <c r="B1106" s="2" t="n">
        <v>43202.7365625</v>
      </c>
      <c r="C1106" t="n">
        <v>43</v>
      </c>
      <c r="D1106" t="n">
        <v>48</v>
      </c>
      <c r="E1106" t="s">
        <v>1107</v>
      </c>
      <c r="F1106">
        <f>HYPERLINK("http://pbs.twimg.com/media/DamZNw0WAAIm8Kv.jpg", "http://pbs.twimg.com/media/DamZNw0WAAIm8Kv.jpg")</f>
        <v/>
      </c>
      <c r="G1106" t="s"/>
      <c r="H1106" t="s"/>
      <c r="I1106" t="s"/>
      <c r="J1106" t="n">
        <v>-0.9157</v>
      </c>
      <c r="K1106" t="n">
        <v>0.262</v>
      </c>
      <c r="L1106" t="n">
        <v>0.738</v>
      </c>
      <c r="M1106" t="n">
        <v>0</v>
      </c>
    </row>
    <row r="1107" spans="1:13">
      <c r="A1107" s="1">
        <f>HYPERLINK("http://www.twitter.com/NathanBLawrence/status/984474451248066563", "984474451248066563")</f>
        <v/>
      </c>
      <c r="B1107" s="2" t="n">
        <v>43202.70340277778</v>
      </c>
      <c r="C1107" t="n">
        <v>0</v>
      </c>
      <c r="D1107" t="n">
        <v>6</v>
      </c>
      <c r="E1107" t="s">
        <v>1108</v>
      </c>
      <c r="F1107" t="s"/>
      <c r="G1107" t="s"/>
      <c r="H1107" t="s"/>
      <c r="I1107" t="s"/>
      <c r="J1107" t="n">
        <v>0</v>
      </c>
      <c r="K1107" t="n">
        <v>0</v>
      </c>
      <c r="L1107" t="n">
        <v>1</v>
      </c>
      <c r="M1107" t="n">
        <v>0</v>
      </c>
    </row>
    <row r="1108" spans="1:13">
      <c r="A1108" s="1">
        <f>HYPERLINK("http://www.twitter.com/NathanBLawrence/status/984381516934516736", "984381516934516736")</f>
        <v/>
      </c>
      <c r="B1108" s="2" t="n">
        <v>43202.44695601852</v>
      </c>
      <c r="C1108" t="n">
        <v>0</v>
      </c>
      <c r="D1108" t="n">
        <v>639</v>
      </c>
      <c r="E1108" t="s">
        <v>1109</v>
      </c>
      <c r="F1108">
        <f>HYPERLINK("http://pbs.twimg.com/media/DaiYhcLWkAILhlE.jpg", "http://pbs.twimg.com/media/DaiYhcLWkAILhlE.jpg")</f>
        <v/>
      </c>
      <c r="G1108" t="s"/>
      <c r="H1108" t="s"/>
      <c r="I1108" t="s"/>
      <c r="J1108" t="n">
        <v>0.5093</v>
      </c>
      <c r="K1108" t="n">
        <v>0</v>
      </c>
      <c r="L1108" t="n">
        <v>0.829</v>
      </c>
      <c r="M1108" t="n">
        <v>0.171</v>
      </c>
    </row>
    <row r="1109" spans="1:13">
      <c r="A1109" s="1">
        <f>HYPERLINK("http://www.twitter.com/NathanBLawrence/status/984380172223811584", "984380172223811584")</f>
        <v/>
      </c>
      <c r="B1109" s="2" t="n">
        <v>43202.44324074074</v>
      </c>
      <c r="C1109" t="n">
        <v>0</v>
      </c>
      <c r="D1109" t="n">
        <v>346</v>
      </c>
      <c r="E1109" t="s">
        <v>1110</v>
      </c>
      <c r="F1109" t="s"/>
      <c r="G1109" t="s"/>
      <c r="H1109" t="s"/>
      <c r="I1109" t="s"/>
      <c r="J1109" t="n">
        <v>-0.7003</v>
      </c>
      <c r="K1109" t="n">
        <v>0.299</v>
      </c>
      <c r="L1109" t="n">
        <v>0.612</v>
      </c>
      <c r="M1109" t="n">
        <v>0.09</v>
      </c>
    </row>
    <row r="1110" spans="1:13">
      <c r="A1110" s="1">
        <f>HYPERLINK("http://www.twitter.com/NathanBLawrence/status/984379638955888640", "984379638955888640")</f>
        <v/>
      </c>
      <c r="B1110" s="2" t="n">
        <v>43202.44177083333</v>
      </c>
      <c r="C1110" t="n">
        <v>0</v>
      </c>
      <c r="D1110" t="n">
        <v>119</v>
      </c>
      <c r="E1110" t="s">
        <v>1111</v>
      </c>
      <c r="F1110">
        <f>HYPERLINK("https://video.twimg.com/ext_tw_video/984118720090927104/pu/vid/720x720/IyEPtHMogC9tuLPm.mp4?tag=2", "https://video.twimg.com/ext_tw_video/984118720090927104/pu/vid/720x720/IyEPtHMogC9tuLPm.mp4?tag=2")</f>
        <v/>
      </c>
      <c r="G1110" t="s"/>
      <c r="H1110" t="s"/>
      <c r="I1110" t="s"/>
      <c r="J1110" t="n">
        <v>-0.8115</v>
      </c>
      <c r="K1110" t="n">
        <v>0.28</v>
      </c>
      <c r="L1110" t="n">
        <v>0.72</v>
      </c>
      <c r="M1110" t="n">
        <v>0</v>
      </c>
    </row>
    <row r="1111" spans="1:13">
      <c r="A1111" s="1">
        <f>HYPERLINK("http://www.twitter.com/NathanBLawrence/status/984342134772944896", "984342134772944896")</f>
        <v/>
      </c>
      <c r="B1111" s="2" t="n">
        <v>43202.33827546296</v>
      </c>
      <c r="C1111" t="n">
        <v>0</v>
      </c>
      <c r="D1111" t="n">
        <v>1</v>
      </c>
      <c r="E1111" t="s">
        <v>1112</v>
      </c>
      <c r="F1111" t="s"/>
      <c r="G1111" t="s"/>
      <c r="H1111" t="s"/>
      <c r="I1111" t="s"/>
      <c r="J1111" t="n">
        <v>-0.4215</v>
      </c>
      <c r="K1111" t="n">
        <v>0.153</v>
      </c>
      <c r="L1111" t="n">
        <v>0.847</v>
      </c>
      <c r="M1111" t="n">
        <v>0</v>
      </c>
    </row>
    <row r="1112" spans="1:13">
      <c r="A1112" s="1">
        <f>HYPERLINK("http://www.twitter.com/NathanBLawrence/status/984341621566328832", "984341621566328832")</f>
        <v/>
      </c>
      <c r="B1112" s="2" t="n">
        <v>43202.33686342592</v>
      </c>
      <c r="C1112" t="n">
        <v>0</v>
      </c>
      <c r="D1112" t="n">
        <v>1</v>
      </c>
      <c r="E1112" t="s">
        <v>1113</v>
      </c>
      <c r="F1112" t="s"/>
      <c r="G1112" t="s"/>
      <c r="H1112" t="s"/>
      <c r="I1112" t="s"/>
      <c r="J1112" t="n">
        <v>-0.5893</v>
      </c>
      <c r="K1112" t="n">
        <v>0.233</v>
      </c>
      <c r="L1112" t="n">
        <v>0.657</v>
      </c>
      <c r="M1112" t="n">
        <v>0.11</v>
      </c>
    </row>
    <row r="1113" spans="1:13">
      <c r="A1113" s="1">
        <f>HYPERLINK("http://www.twitter.com/NathanBLawrence/status/984298646677217280", "984298646677217280")</f>
        <v/>
      </c>
      <c r="B1113" s="2" t="n">
        <v>43202.21827546296</v>
      </c>
      <c r="C1113" t="n">
        <v>5</v>
      </c>
      <c r="D1113" t="n">
        <v>3</v>
      </c>
      <c r="E1113" t="s">
        <v>1114</v>
      </c>
      <c r="F1113" t="s"/>
      <c r="G1113" t="s"/>
      <c r="H1113" t="s"/>
      <c r="I1113" t="s"/>
      <c r="J1113" t="n">
        <v>-0.6359</v>
      </c>
      <c r="K1113" t="n">
        <v>0.165</v>
      </c>
      <c r="L1113" t="n">
        <v>0.749</v>
      </c>
      <c r="M1113" t="n">
        <v>0.08599999999999999</v>
      </c>
    </row>
    <row r="1114" spans="1:13">
      <c r="A1114" s="1">
        <f>HYPERLINK("http://www.twitter.com/NathanBLawrence/status/984278850216562689", "984278850216562689")</f>
        <v/>
      </c>
      <c r="B1114" s="2" t="n">
        <v>43202.16364583333</v>
      </c>
      <c r="C1114" t="n">
        <v>10</v>
      </c>
      <c r="D1114" t="n">
        <v>9</v>
      </c>
      <c r="E1114" t="s">
        <v>1115</v>
      </c>
      <c r="F1114">
        <f>HYPERLINK("http://pbs.twimg.com/media/DajcX0tX0AAVKCl.jpg", "http://pbs.twimg.com/media/DajcX0tX0AAVKCl.jpg")</f>
        <v/>
      </c>
      <c r="G1114" t="s"/>
      <c r="H1114" t="s"/>
      <c r="I1114" t="s"/>
      <c r="J1114" t="n">
        <v>0.5099</v>
      </c>
      <c r="K1114" t="n">
        <v>0.134</v>
      </c>
      <c r="L1114" t="n">
        <v>0.681</v>
      </c>
      <c r="M1114" t="n">
        <v>0.186</v>
      </c>
    </row>
    <row r="1115" spans="1:13">
      <c r="A1115" s="1">
        <f>HYPERLINK("http://www.twitter.com/NathanBLawrence/status/984269786807926786", "984269786807926786")</f>
        <v/>
      </c>
      <c r="B1115" s="2" t="n">
        <v>43202.13863425926</v>
      </c>
      <c r="C1115" t="n">
        <v>0</v>
      </c>
      <c r="D1115" t="n">
        <v>5</v>
      </c>
      <c r="E1115" t="s">
        <v>1116</v>
      </c>
      <c r="F1115" t="s"/>
      <c r="G1115" t="s"/>
      <c r="H1115" t="s"/>
      <c r="I1115" t="s"/>
      <c r="J1115" t="n">
        <v>0</v>
      </c>
      <c r="K1115" t="n">
        <v>0</v>
      </c>
      <c r="L1115" t="n">
        <v>1</v>
      </c>
      <c r="M1115" t="n">
        <v>0</v>
      </c>
    </row>
    <row r="1116" spans="1:13">
      <c r="A1116" s="1">
        <f>HYPERLINK("http://www.twitter.com/NathanBLawrence/status/984269680671182853", "984269680671182853")</f>
        <v/>
      </c>
      <c r="B1116" s="2" t="n">
        <v>43202.13834490741</v>
      </c>
      <c r="C1116" t="n">
        <v>0</v>
      </c>
      <c r="D1116" t="n">
        <v>7</v>
      </c>
      <c r="E1116" t="s">
        <v>1117</v>
      </c>
      <c r="F1116" t="s"/>
      <c r="G1116" t="s"/>
      <c r="H1116" t="s"/>
      <c r="I1116" t="s"/>
      <c r="J1116" t="n">
        <v>0</v>
      </c>
      <c r="K1116" t="n">
        <v>0</v>
      </c>
      <c r="L1116" t="n">
        <v>1</v>
      </c>
      <c r="M1116" t="n">
        <v>0</v>
      </c>
    </row>
    <row r="1117" spans="1:13">
      <c r="A1117" s="1">
        <f>HYPERLINK("http://www.twitter.com/NathanBLawrence/status/984263733051523078", "984263733051523078")</f>
        <v/>
      </c>
      <c r="B1117" s="2" t="n">
        <v>43202.12193287037</v>
      </c>
      <c r="C1117" t="n">
        <v>0</v>
      </c>
      <c r="D1117" t="n">
        <v>13</v>
      </c>
      <c r="E1117" t="s">
        <v>1118</v>
      </c>
      <c r="F1117">
        <f>HYPERLINK("http://pbs.twimg.com/media/DajMWuKUMAAv462.jpg", "http://pbs.twimg.com/media/DajMWuKUMAAv462.jpg")</f>
        <v/>
      </c>
      <c r="G1117" t="s"/>
      <c r="H1117" t="s"/>
      <c r="I1117" t="s"/>
      <c r="J1117" t="n">
        <v>0.1531</v>
      </c>
      <c r="K1117" t="n">
        <v>0</v>
      </c>
      <c r="L1117" t="n">
        <v>0.904</v>
      </c>
      <c r="M1117" t="n">
        <v>0.096</v>
      </c>
    </row>
    <row r="1118" spans="1:13">
      <c r="A1118" s="1">
        <f>HYPERLINK("http://www.twitter.com/NathanBLawrence/status/984258137787195392", "984258137787195392")</f>
        <v/>
      </c>
      <c r="B1118" s="2" t="n">
        <v>43202.10649305556</v>
      </c>
      <c r="C1118" t="n">
        <v>0</v>
      </c>
      <c r="D1118" t="n">
        <v>8</v>
      </c>
      <c r="E1118" t="s">
        <v>1119</v>
      </c>
      <c r="F1118">
        <f>HYPERLINK("http://pbs.twimg.com/media/Dai_POpXUAAyh-3.jpg", "http://pbs.twimg.com/media/Dai_POpXUAAyh-3.jpg")</f>
        <v/>
      </c>
      <c r="G1118" t="s"/>
      <c r="H1118" t="s"/>
      <c r="I1118" t="s"/>
      <c r="J1118" t="n">
        <v>-0.836</v>
      </c>
      <c r="K1118" t="n">
        <v>0.305</v>
      </c>
      <c r="L1118" t="n">
        <v>0.695</v>
      </c>
      <c r="M1118" t="n">
        <v>0</v>
      </c>
    </row>
    <row r="1119" spans="1:13">
      <c r="A1119" s="1">
        <f>HYPERLINK("http://www.twitter.com/NathanBLawrence/status/984258006761328640", "984258006761328640")</f>
        <v/>
      </c>
      <c r="B1119" s="2" t="n">
        <v>43202.10613425926</v>
      </c>
      <c r="C1119" t="n">
        <v>0</v>
      </c>
      <c r="D1119" t="n">
        <v>13</v>
      </c>
      <c r="E1119" t="s">
        <v>1120</v>
      </c>
      <c r="F1119">
        <f>HYPERLINK("http://pbs.twimg.com/media/Dai_POpXUAAyh-3.jpg", "http://pbs.twimg.com/media/Dai_POpXUAAyh-3.jpg")</f>
        <v/>
      </c>
      <c r="G1119" t="s"/>
      <c r="H1119" t="s"/>
      <c r="I1119" t="s"/>
      <c r="J1119" t="n">
        <v>-0.836</v>
      </c>
      <c r="K1119" t="n">
        <v>0.294</v>
      </c>
      <c r="L1119" t="n">
        <v>0.706</v>
      </c>
      <c r="M1119" t="n">
        <v>0</v>
      </c>
    </row>
    <row r="1120" spans="1:13">
      <c r="A1120" s="1">
        <f>HYPERLINK("http://www.twitter.com/NathanBLawrence/status/984148385241489408", "984148385241489408")</f>
        <v/>
      </c>
      <c r="B1120" s="2" t="n">
        <v>43201.80363425926</v>
      </c>
      <c r="C1120" t="n">
        <v>5</v>
      </c>
      <c r="D1120" t="n">
        <v>4</v>
      </c>
      <c r="E1120" t="s">
        <v>1121</v>
      </c>
      <c r="F1120" t="s"/>
      <c r="G1120" t="s"/>
      <c r="H1120" t="s"/>
      <c r="I1120" t="s"/>
      <c r="J1120" t="n">
        <v>0</v>
      </c>
      <c r="K1120" t="n">
        <v>0</v>
      </c>
      <c r="L1120" t="n">
        <v>1</v>
      </c>
      <c r="M1120" t="n">
        <v>0</v>
      </c>
    </row>
    <row r="1121" spans="1:13">
      <c r="A1121" s="1">
        <f>HYPERLINK("http://www.twitter.com/NathanBLawrence/status/984148206371172352", "984148206371172352")</f>
        <v/>
      </c>
      <c r="B1121" s="2" t="n">
        <v>43201.80313657408</v>
      </c>
      <c r="C1121" t="n">
        <v>0</v>
      </c>
      <c r="D1121" t="n">
        <v>45</v>
      </c>
      <c r="E1121" t="s">
        <v>1122</v>
      </c>
      <c r="F1121">
        <f>HYPERLINK("http://pbs.twimg.com/media/DQ7wYXEUEAAtaCd.jpg", "http://pbs.twimg.com/media/DQ7wYXEUEAAtaCd.jpg")</f>
        <v/>
      </c>
      <c r="G1121" t="s"/>
      <c r="H1121" t="s"/>
      <c r="I1121" t="s"/>
      <c r="J1121" t="n">
        <v>-0.5719</v>
      </c>
      <c r="K1121" t="n">
        <v>0.19</v>
      </c>
      <c r="L1121" t="n">
        <v>0.8100000000000001</v>
      </c>
      <c r="M1121" t="n">
        <v>0</v>
      </c>
    </row>
    <row r="1122" spans="1:13">
      <c r="A1122" s="1">
        <f>HYPERLINK("http://www.twitter.com/NathanBLawrence/status/984093221486841856", "984093221486841856")</f>
        <v/>
      </c>
      <c r="B1122" s="2" t="n">
        <v>43201.65141203703</v>
      </c>
      <c r="C1122" t="n">
        <v>0</v>
      </c>
      <c r="D1122" t="n">
        <v>51</v>
      </c>
      <c r="E1122" t="s">
        <v>1123</v>
      </c>
      <c r="F1122" t="s"/>
      <c r="G1122" t="s"/>
      <c r="H1122" t="s"/>
      <c r="I1122" t="s"/>
      <c r="J1122" t="n">
        <v>0.6494</v>
      </c>
      <c r="K1122" t="n">
        <v>0.161</v>
      </c>
      <c r="L1122" t="n">
        <v>0.5570000000000001</v>
      </c>
      <c r="M1122" t="n">
        <v>0.281</v>
      </c>
    </row>
    <row r="1123" spans="1:13">
      <c r="A1123" s="1">
        <f>HYPERLINK("http://www.twitter.com/NathanBLawrence/status/984090228112744448", "984090228112744448")</f>
        <v/>
      </c>
      <c r="B1123" s="2" t="n">
        <v>43201.64314814815</v>
      </c>
      <c r="C1123" t="n">
        <v>0</v>
      </c>
      <c r="D1123" t="n">
        <v>170</v>
      </c>
      <c r="E1123" t="s">
        <v>1124</v>
      </c>
      <c r="F1123">
        <f>HYPERLINK("http://pbs.twimg.com/media/DPFn0G6XcAIMjTN.jpg", "http://pbs.twimg.com/media/DPFn0G6XcAIMjTN.jpg")</f>
        <v/>
      </c>
      <c r="G1123" t="s"/>
      <c r="H1123" t="s"/>
      <c r="I1123" t="s"/>
      <c r="J1123" t="n">
        <v>0.8542999999999999</v>
      </c>
      <c r="K1123" t="n">
        <v>0</v>
      </c>
      <c r="L1123" t="n">
        <v>0.658</v>
      </c>
      <c r="M1123" t="n">
        <v>0.342</v>
      </c>
    </row>
    <row r="1124" spans="1:13">
      <c r="A1124" s="1">
        <f>HYPERLINK("http://www.twitter.com/NathanBLawrence/status/984078316108992512", "984078316108992512")</f>
        <v/>
      </c>
      <c r="B1124" s="2" t="n">
        <v>43201.61027777778</v>
      </c>
      <c r="C1124" t="n">
        <v>0</v>
      </c>
      <c r="D1124" t="n">
        <v>1587</v>
      </c>
      <c r="E1124" t="s">
        <v>1125</v>
      </c>
      <c r="F1124">
        <f>HYPERLINK("http://pbs.twimg.com/media/DaWHuT1VAAAQet4.jpg", "http://pbs.twimg.com/media/DaWHuT1VAAAQet4.jpg")</f>
        <v/>
      </c>
      <c r="G1124">
        <f>HYPERLINK("http://pbs.twimg.com/media/DaWHuT1U8AAEr2k.jpg", "http://pbs.twimg.com/media/DaWHuT1U8AAEr2k.jpg")</f>
        <v/>
      </c>
      <c r="H1124">
        <f>HYPERLINK("http://pbs.twimg.com/media/DaWHuT3VMAA-zt4.jpg", "http://pbs.twimg.com/media/DaWHuT3VMAA-zt4.jpg")</f>
        <v/>
      </c>
      <c r="I1124" t="s"/>
      <c r="J1124" t="n">
        <v>-0.68</v>
      </c>
      <c r="K1124" t="n">
        <v>0.209</v>
      </c>
      <c r="L1124" t="n">
        <v>0.745</v>
      </c>
      <c r="M1124" t="n">
        <v>0.046</v>
      </c>
    </row>
    <row r="1125" spans="1:13">
      <c r="A1125" s="1">
        <f>HYPERLINK("http://www.twitter.com/NathanBLawrence/status/983878924466819073", "983878924466819073")</f>
        <v/>
      </c>
      <c r="B1125" s="2" t="n">
        <v>43201.06005787037</v>
      </c>
      <c r="C1125" t="n">
        <v>0</v>
      </c>
      <c r="D1125" t="n">
        <v>3653</v>
      </c>
      <c r="E1125" t="s">
        <v>1126</v>
      </c>
      <c r="F1125" t="s"/>
      <c r="G1125" t="s"/>
      <c r="H1125" t="s"/>
      <c r="I1125" t="s"/>
      <c r="J1125" t="n">
        <v>0.7264</v>
      </c>
      <c r="K1125" t="n">
        <v>0</v>
      </c>
      <c r="L1125" t="n">
        <v>0.717</v>
      </c>
      <c r="M1125" t="n">
        <v>0.283</v>
      </c>
    </row>
    <row r="1126" spans="1:13">
      <c r="A1126" s="1">
        <f>HYPERLINK("http://www.twitter.com/NathanBLawrence/status/983873435884498945", "983873435884498945")</f>
        <v/>
      </c>
      <c r="B1126" s="2" t="n">
        <v>43201.04491898148</v>
      </c>
      <c r="C1126" t="n">
        <v>0</v>
      </c>
      <c r="D1126" t="n">
        <v>9</v>
      </c>
      <c r="E1126" t="s">
        <v>1127</v>
      </c>
      <c r="F1126">
        <f>HYPERLINK("http://pbs.twimg.com/media/Dadnqr6UwAIJdIq.jpg", "http://pbs.twimg.com/media/Dadnqr6UwAIJdIq.jpg")</f>
        <v/>
      </c>
      <c r="G1126" t="s"/>
      <c r="H1126" t="s"/>
      <c r="I1126" t="s"/>
      <c r="J1126" t="n">
        <v>0.7506</v>
      </c>
      <c r="K1126" t="n">
        <v>0</v>
      </c>
      <c r="L1126" t="n">
        <v>0.632</v>
      </c>
      <c r="M1126" t="n">
        <v>0.368</v>
      </c>
    </row>
    <row r="1127" spans="1:13">
      <c r="A1127" s="1">
        <f>HYPERLINK("http://www.twitter.com/NathanBLawrence/status/983857874802757632", "983857874802757632")</f>
        <v/>
      </c>
      <c r="B1127" s="2" t="n">
        <v>43201.00197916666</v>
      </c>
      <c r="C1127" t="n">
        <v>0</v>
      </c>
      <c r="D1127" t="n">
        <v>34</v>
      </c>
      <c r="E1127" t="s">
        <v>1128</v>
      </c>
      <c r="F1127" t="s"/>
      <c r="G1127" t="s"/>
      <c r="H1127" t="s"/>
      <c r="I1127" t="s"/>
      <c r="J1127" t="n">
        <v>0</v>
      </c>
      <c r="K1127" t="n">
        <v>0</v>
      </c>
      <c r="L1127" t="n">
        <v>1</v>
      </c>
      <c r="M1127" t="n">
        <v>0</v>
      </c>
    </row>
    <row r="1128" spans="1:13">
      <c r="A1128" s="1">
        <f>HYPERLINK("http://www.twitter.com/NathanBLawrence/status/983850534766632960", "983850534766632960")</f>
        <v/>
      </c>
      <c r="B1128" s="2" t="n">
        <v>43200.98172453704</v>
      </c>
      <c r="C1128" t="n">
        <v>0</v>
      </c>
      <c r="D1128" t="n">
        <v>43</v>
      </c>
      <c r="E1128" t="s">
        <v>1129</v>
      </c>
      <c r="F1128" t="s"/>
      <c r="G1128" t="s"/>
      <c r="H1128" t="s"/>
      <c r="I1128" t="s"/>
      <c r="J1128" t="n">
        <v>0.4588</v>
      </c>
      <c r="K1128" t="n">
        <v>0.07099999999999999</v>
      </c>
      <c r="L1128" t="n">
        <v>0.784</v>
      </c>
      <c r="M1128" t="n">
        <v>0.146</v>
      </c>
    </row>
    <row r="1129" spans="1:13">
      <c r="A1129" s="1">
        <f>HYPERLINK("http://www.twitter.com/NathanBLawrence/status/983850436833763328", "983850436833763328")</f>
        <v/>
      </c>
      <c r="B1129" s="2" t="n">
        <v>43200.98144675926</v>
      </c>
      <c r="C1129" t="n">
        <v>0</v>
      </c>
      <c r="D1129" t="n">
        <v>11</v>
      </c>
      <c r="E1129" t="s">
        <v>1130</v>
      </c>
      <c r="F1129">
        <f>HYPERLINK("http://pbs.twimg.com/media/DSAc-LYUQAAWbu6.jpg", "http://pbs.twimg.com/media/DSAc-LYUQAAWbu6.jpg")</f>
        <v/>
      </c>
      <c r="G1129" t="s"/>
      <c r="H1129" t="s"/>
      <c r="I1129" t="s"/>
      <c r="J1129" t="n">
        <v>0.7531</v>
      </c>
      <c r="K1129" t="n">
        <v>0</v>
      </c>
      <c r="L1129" t="n">
        <v>0.713</v>
      </c>
      <c r="M1129" t="n">
        <v>0.287</v>
      </c>
    </row>
    <row r="1130" spans="1:13">
      <c r="A1130" s="1">
        <f>HYPERLINK("http://www.twitter.com/NathanBLawrence/status/983845507234779137", "983845507234779137")</f>
        <v/>
      </c>
      <c r="B1130" s="2" t="n">
        <v>43200.96784722222</v>
      </c>
      <c r="C1130" t="n">
        <v>0</v>
      </c>
      <c r="D1130" t="n">
        <v>6</v>
      </c>
      <c r="E1130" t="s">
        <v>1131</v>
      </c>
      <c r="F1130">
        <f>HYPERLINK("http://pbs.twimg.com/media/Dac6YzCWAAA1pXk.jpg", "http://pbs.twimg.com/media/Dac6YzCWAAA1pXk.jpg")</f>
        <v/>
      </c>
      <c r="G1130" t="s"/>
      <c r="H1130" t="s"/>
      <c r="I1130" t="s"/>
      <c r="J1130" t="n">
        <v>-0.7003</v>
      </c>
      <c r="K1130" t="n">
        <v>0.201</v>
      </c>
      <c r="L1130" t="n">
        <v>0.799</v>
      </c>
      <c r="M1130" t="n">
        <v>0</v>
      </c>
    </row>
    <row r="1131" spans="1:13">
      <c r="A1131" s="1">
        <f>HYPERLINK("http://www.twitter.com/NathanBLawrence/status/983843565934665728", "983843565934665728")</f>
        <v/>
      </c>
      <c r="B1131" s="2" t="n">
        <v>43200.96248842592</v>
      </c>
      <c r="C1131" t="n">
        <v>0</v>
      </c>
      <c r="D1131" t="n">
        <v>12</v>
      </c>
      <c r="E1131" t="s">
        <v>1132</v>
      </c>
      <c r="F1131" t="s"/>
      <c r="G1131" t="s"/>
      <c r="H1131" t="s"/>
      <c r="I1131" t="s"/>
      <c r="J1131" t="n">
        <v>-0.34</v>
      </c>
      <c r="K1131" t="n">
        <v>0.13</v>
      </c>
      <c r="L1131" t="n">
        <v>0.87</v>
      </c>
      <c r="M1131" t="n">
        <v>0</v>
      </c>
    </row>
    <row r="1132" spans="1:13">
      <c r="A1132" s="1">
        <f>HYPERLINK("http://www.twitter.com/NathanBLawrence/status/983814129738797057", "983814129738797057")</f>
        <v/>
      </c>
      <c r="B1132" s="2" t="n">
        <v>43200.88126157408</v>
      </c>
      <c r="C1132" t="n">
        <v>0</v>
      </c>
      <c r="D1132" t="n">
        <v>8</v>
      </c>
      <c r="E1132" t="s">
        <v>1133</v>
      </c>
      <c r="F1132" t="s"/>
      <c r="G1132" t="s"/>
      <c r="H1132" t="s"/>
      <c r="I1132" t="s"/>
      <c r="J1132" t="n">
        <v>0.3182</v>
      </c>
      <c r="K1132" t="n">
        <v>0.081</v>
      </c>
      <c r="L1132" t="n">
        <v>0.709</v>
      </c>
      <c r="M1132" t="n">
        <v>0.211</v>
      </c>
    </row>
    <row r="1133" spans="1:13">
      <c r="A1133" s="1">
        <f>HYPERLINK("http://www.twitter.com/NathanBLawrence/status/983813003941416960", "983813003941416960")</f>
        <v/>
      </c>
      <c r="B1133" s="2" t="n">
        <v>43200.87815972222</v>
      </c>
      <c r="C1133" t="n">
        <v>0</v>
      </c>
      <c r="D1133" t="n">
        <v>44</v>
      </c>
      <c r="E1133" t="s">
        <v>1134</v>
      </c>
      <c r="F1133" t="s"/>
      <c r="G1133" t="s"/>
      <c r="H1133" t="s"/>
      <c r="I1133" t="s"/>
      <c r="J1133" t="n">
        <v>0</v>
      </c>
      <c r="K1133" t="n">
        <v>0</v>
      </c>
      <c r="L1133" t="n">
        <v>1</v>
      </c>
      <c r="M1133" t="n">
        <v>0</v>
      </c>
    </row>
    <row r="1134" spans="1:13">
      <c r="A1134" s="1">
        <f>HYPERLINK("http://www.twitter.com/NathanBLawrence/status/983808169553092608", "983808169553092608")</f>
        <v/>
      </c>
      <c r="B1134" s="2" t="n">
        <v>43200.86481481481</v>
      </c>
      <c r="C1134" t="n">
        <v>0</v>
      </c>
      <c r="D1134" t="n">
        <v>14</v>
      </c>
      <c r="E1134" t="s">
        <v>1135</v>
      </c>
      <c r="F1134">
        <f>HYPERLINK("http://pbs.twimg.com/media/Daca9pAXcAA72xD.jpg", "http://pbs.twimg.com/media/Daca9pAXcAA72xD.jpg")</f>
        <v/>
      </c>
      <c r="G1134">
        <f>HYPERLINK("http://pbs.twimg.com/media/Daca_biXkAAOHYK.jpg", "http://pbs.twimg.com/media/Daca_biXkAAOHYK.jpg")</f>
        <v/>
      </c>
      <c r="H1134">
        <f>HYPERLINK("http://pbs.twimg.com/media/DacbBDQWsAAkEKx.jpg", "http://pbs.twimg.com/media/DacbBDQWsAAkEKx.jpg")</f>
        <v/>
      </c>
      <c r="I1134">
        <f>HYPERLINK("http://pbs.twimg.com/media/DacbCkZX0AYiCh_.jpg", "http://pbs.twimg.com/media/DacbCkZX0AYiCh_.jpg")</f>
        <v/>
      </c>
      <c r="J1134" t="n">
        <v>0.5411</v>
      </c>
      <c r="K1134" t="n">
        <v>0</v>
      </c>
      <c r="L1134" t="n">
        <v>0.759</v>
      </c>
      <c r="M1134" t="n">
        <v>0.241</v>
      </c>
    </row>
    <row r="1135" spans="1:13">
      <c r="A1135" s="1">
        <f>HYPERLINK("http://www.twitter.com/NathanBLawrence/status/983808148149620736", "983808148149620736")</f>
        <v/>
      </c>
      <c r="B1135" s="2" t="n">
        <v>43200.86475694444</v>
      </c>
      <c r="C1135" t="n">
        <v>0</v>
      </c>
      <c r="D1135" t="n">
        <v>4</v>
      </c>
      <c r="E1135" t="s">
        <v>1136</v>
      </c>
      <c r="F1135">
        <f>HYPERLINK("http://pbs.twimg.com/media/DacbGADX0AAS28S.jpg", "http://pbs.twimg.com/media/DacbGADX0AAS28S.jpg")</f>
        <v/>
      </c>
      <c r="G1135">
        <f>HYPERLINK("http://pbs.twimg.com/media/DacbHe9WsAAB-pl.jpg", "http://pbs.twimg.com/media/DacbHe9WsAAB-pl.jpg")</f>
        <v/>
      </c>
      <c r="H1135">
        <f>HYPERLINK("http://pbs.twimg.com/media/DacbI-zX0AEkBsB.jpg", "http://pbs.twimg.com/media/DacbI-zX0AEkBsB.jpg")</f>
        <v/>
      </c>
      <c r="I1135" t="s"/>
      <c r="J1135" t="n">
        <v>0</v>
      </c>
      <c r="K1135" t="n">
        <v>0</v>
      </c>
      <c r="L1135" t="n">
        <v>1</v>
      </c>
      <c r="M1135" t="n">
        <v>0</v>
      </c>
    </row>
    <row r="1136" spans="1:13">
      <c r="A1136" s="1">
        <f>HYPERLINK("http://www.twitter.com/NathanBLawrence/status/983802289877082112", "983802289877082112")</f>
        <v/>
      </c>
      <c r="B1136" s="2" t="n">
        <v>43200.84858796297</v>
      </c>
      <c r="C1136" t="n">
        <v>0</v>
      </c>
      <c r="D1136" t="n">
        <v>97</v>
      </c>
      <c r="E1136" t="s">
        <v>1137</v>
      </c>
      <c r="F1136" t="s"/>
      <c r="G1136" t="s"/>
      <c r="H1136" t="s"/>
      <c r="I1136" t="s"/>
      <c r="J1136" t="n">
        <v>0.4284</v>
      </c>
      <c r="K1136" t="n">
        <v>0.097</v>
      </c>
      <c r="L1136" t="n">
        <v>0.6899999999999999</v>
      </c>
      <c r="M1136" t="n">
        <v>0.213</v>
      </c>
    </row>
    <row r="1137" spans="1:13">
      <c r="A1137" s="1">
        <f>HYPERLINK("http://www.twitter.com/NathanBLawrence/status/983784589981376513", "983784589981376513")</f>
        <v/>
      </c>
      <c r="B1137" s="2" t="n">
        <v>43200.79974537037</v>
      </c>
      <c r="C1137" t="n">
        <v>0</v>
      </c>
      <c r="D1137" t="n">
        <v>54</v>
      </c>
      <c r="E1137" t="s">
        <v>1138</v>
      </c>
      <c r="F1137">
        <f>HYPERLINK("http://pbs.twimg.com/media/DaOI7X1VAAANZOy.jpg", "http://pbs.twimg.com/media/DaOI7X1VAAANZOy.jpg")</f>
        <v/>
      </c>
      <c r="G1137" t="s"/>
      <c r="H1137" t="s"/>
      <c r="I1137" t="s"/>
      <c r="J1137" t="n">
        <v>-0.5719</v>
      </c>
      <c r="K1137" t="n">
        <v>0.171</v>
      </c>
      <c r="L1137" t="n">
        <v>0.829</v>
      </c>
      <c r="M1137" t="n">
        <v>0</v>
      </c>
    </row>
    <row r="1138" spans="1:13">
      <c r="A1138" s="1">
        <f>HYPERLINK("http://www.twitter.com/NathanBLawrence/status/983784077366095874", "983784077366095874")</f>
        <v/>
      </c>
      <c r="B1138" s="2" t="n">
        <v>43200.79833333333</v>
      </c>
      <c r="C1138" t="n">
        <v>0</v>
      </c>
      <c r="D1138" t="n">
        <v>2</v>
      </c>
      <c r="E1138" t="s">
        <v>1139</v>
      </c>
      <c r="F1138" t="s"/>
      <c r="G1138" t="s"/>
      <c r="H1138" t="s"/>
      <c r="I1138" t="s"/>
      <c r="J1138" t="n">
        <v>0.6588000000000001</v>
      </c>
      <c r="K1138" t="n">
        <v>0</v>
      </c>
      <c r="L1138" t="n">
        <v>0.804</v>
      </c>
      <c r="M1138" t="n">
        <v>0.196</v>
      </c>
    </row>
    <row r="1139" spans="1:13">
      <c r="A1139" s="1">
        <f>HYPERLINK("http://www.twitter.com/NathanBLawrence/status/983772489338773505", "983772489338773505")</f>
        <v/>
      </c>
      <c r="B1139" s="2" t="n">
        <v>43200.76635416667</v>
      </c>
      <c r="C1139" t="n">
        <v>0</v>
      </c>
      <c r="D1139" t="n">
        <v>13</v>
      </c>
      <c r="E1139" t="s">
        <v>765</v>
      </c>
      <c r="F1139">
        <f>HYPERLINK("http://pbs.twimg.com/media/DacHjiAWAAAKsz-.jpg", "http://pbs.twimg.com/media/DacHjiAWAAAKsz-.jpg")</f>
        <v/>
      </c>
      <c r="G1139" t="s"/>
      <c r="H1139" t="s"/>
      <c r="I1139" t="s"/>
      <c r="J1139" t="n">
        <v>-0.5266999999999999</v>
      </c>
      <c r="K1139" t="n">
        <v>0.227</v>
      </c>
      <c r="L1139" t="n">
        <v>0.773</v>
      </c>
      <c r="M1139" t="n">
        <v>0</v>
      </c>
    </row>
    <row r="1140" spans="1:13">
      <c r="A1140" s="1">
        <f>HYPERLINK("http://www.twitter.com/NathanBLawrence/status/983761181931376640", "983761181931376640")</f>
        <v/>
      </c>
      <c r="B1140" s="2" t="n">
        <v>43200.73515046296</v>
      </c>
      <c r="C1140" t="n">
        <v>0</v>
      </c>
      <c r="D1140" t="n">
        <v>11</v>
      </c>
      <c r="E1140" t="s">
        <v>765</v>
      </c>
      <c r="F1140">
        <f>HYPERLINK("http://pbs.twimg.com/media/DaXBBz8U8AAOH2V.jpg", "http://pbs.twimg.com/media/DaXBBz8U8AAOH2V.jpg")</f>
        <v/>
      </c>
      <c r="G1140">
        <f>HYPERLINK("http://pbs.twimg.com/media/DaXBBz-U0AEmjAG.jpg", "http://pbs.twimg.com/media/DaXBBz-U0AEmjAG.jpg")</f>
        <v/>
      </c>
      <c r="H1140">
        <f>HYPERLINK("http://pbs.twimg.com/media/DaXBB09V4AE-6xh.jpg", "http://pbs.twimg.com/media/DaXBB09V4AE-6xh.jpg")</f>
        <v/>
      </c>
      <c r="I1140">
        <f>HYPERLINK("http://pbs.twimg.com/media/DaXBB08U8AAdFYD.jpg", "http://pbs.twimg.com/media/DaXBB08U8AAdFYD.jpg")</f>
        <v/>
      </c>
      <c r="J1140" t="n">
        <v>-0.5266999999999999</v>
      </c>
      <c r="K1140" t="n">
        <v>0.227</v>
      </c>
      <c r="L1140" t="n">
        <v>0.773</v>
      </c>
      <c r="M1140" t="n">
        <v>0</v>
      </c>
    </row>
    <row r="1141" spans="1:13">
      <c r="A1141" s="1">
        <f>HYPERLINK("http://www.twitter.com/NathanBLawrence/status/983733388984160256", "983733388984160256")</f>
        <v/>
      </c>
      <c r="B1141" s="2" t="n">
        <v>43200.65846064815</v>
      </c>
      <c r="C1141" t="n">
        <v>1</v>
      </c>
      <c r="D1141" t="n">
        <v>1</v>
      </c>
      <c r="E1141" t="s">
        <v>1140</v>
      </c>
      <c r="F1141" t="s"/>
      <c r="G1141" t="s"/>
      <c r="H1141" t="s"/>
      <c r="I1141" t="s"/>
      <c r="J1141" t="n">
        <v>-0.4149</v>
      </c>
      <c r="K1141" t="n">
        <v>0.08400000000000001</v>
      </c>
      <c r="L1141" t="n">
        <v>0.916</v>
      </c>
      <c r="M1141" t="n">
        <v>0</v>
      </c>
    </row>
    <row r="1142" spans="1:13">
      <c r="A1142" s="1">
        <f>HYPERLINK("http://www.twitter.com/NathanBLawrence/status/983732010261909504", "983732010261909504")</f>
        <v/>
      </c>
      <c r="B1142" s="2" t="n">
        <v>43200.65465277778</v>
      </c>
      <c r="C1142" t="n">
        <v>1</v>
      </c>
      <c r="D1142" t="n">
        <v>1</v>
      </c>
      <c r="E1142" t="s">
        <v>1141</v>
      </c>
      <c r="F1142" t="s"/>
      <c r="G1142" t="s"/>
      <c r="H1142" t="s"/>
      <c r="I1142" t="s"/>
      <c r="J1142" t="n">
        <v>-0.8999</v>
      </c>
      <c r="K1142" t="n">
        <v>0.201</v>
      </c>
      <c r="L1142" t="n">
        <v>0.764</v>
      </c>
      <c r="M1142" t="n">
        <v>0.036</v>
      </c>
    </row>
    <row r="1143" spans="1:13">
      <c r="A1143" s="1">
        <f>HYPERLINK("http://www.twitter.com/NathanBLawrence/status/983666581942259712", "983666581942259712")</f>
        <v/>
      </c>
      <c r="B1143" s="2" t="n">
        <v>43200.4741087963</v>
      </c>
      <c r="C1143" t="n">
        <v>0</v>
      </c>
      <c r="D1143" t="n">
        <v>231</v>
      </c>
      <c r="E1143" t="s">
        <v>1142</v>
      </c>
      <c r="F1143">
        <f>HYPERLINK("http://pbs.twimg.com/media/DaaXV5FW0AAwPWl.jpg", "http://pbs.twimg.com/media/DaaXV5FW0AAwPWl.jpg")</f>
        <v/>
      </c>
      <c r="G1143" t="s"/>
      <c r="H1143" t="s"/>
      <c r="I1143" t="s"/>
      <c r="J1143" t="n">
        <v>0.8552999999999999</v>
      </c>
      <c r="K1143" t="n">
        <v>0</v>
      </c>
      <c r="L1143" t="n">
        <v>0.67</v>
      </c>
      <c r="M1143" t="n">
        <v>0.33</v>
      </c>
    </row>
    <row r="1144" spans="1:13">
      <c r="A1144" s="1">
        <f>HYPERLINK("http://www.twitter.com/NathanBLawrence/status/983612608749166593", "983612608749166593")</f>
        <v/>
      </c>
      <c r="B1144" s="2" t="n">
        <v>43200.32517361111</v>
      </c>
      <c r="C1144" t="n">
        <v>0</v>
      </c>
      <c r="D1144" t="n">
        <v>1956</v>
      </c>
      <c r="E1144" t="s">
        <v>1143</v>
      </c>
      <c r="F1144" t="s"/>
      <c r="G1144" t="s"/>
      <c r="H1144" t="s"/>
      <c r="I1144" t="s"/>
      <c r="J1144" t="n">
        <v>0.5399</v>
      </c>
      <c r="K1144" t="n">
        <v>0</v>
      </c>
      <c r="L1144" t="n">
        <v>0.852</v>
      </c>
      <c r="M1144" t="n">
        <v>0.148</v>
      </c>
    </row>
    <row r="1145" spans="1:13">
      <c r="A1145" s="1">
        <f>HYPERLINK("http://www.twitter.com/NathanBLawrence/status/983611967620440064", "983611967620440064")</f>
        <v/>
      </c>
      <c r="B1145" s="2" t="n">
        <v>43200.32340277778</v>
      </c>
      <c r="C1145" t="n">
        <v>0</v>
      </c>
      <c r="D1145" t="n">
        <v>1762</v>
      </c>
      <c r="E1145" t="s">
        <v>1144</v>
      </c>
      <c r="F1145" t="s"/>
      <c r="G1145" t="s"/>
      <c r="H1145" t="s"/>
      <c r="I1145" t="s"/>
      <c r="J1145" t="n">
        <v>0.3612</v>
      </c>
      <c r="K1145" t="n">
        <v>0</v>
      </c>
      <c r="L1145" t="n">
        <v>0.898</v>
      </c>
      <c r="M1145" t="n">
        <v>0.102</v>
      </c>
    </row>
    <row r="1146" spans="1:13">
      <c r="A1146" s="1">
        <f>HYPERLINK("http://www.twitter.com/NathanBLawrence/status/983605044204490752", "983605044204490752")</f>
        <v/>
      </c>
      <c r="B1146" s="2" t="n">
        <v>43200.30429398148</v>
      </c>
      <c r="C1146" t="n">
        <v>3</v>
      </c>
      <c r="D1146" t="n">
        <v>0</v>
      </c>
      <c r="E1146" t="s">
        <v>1145</v>
      </c>
      <c r="F1146" t="s"/>
      <c r="G1146" t="s"/>
      <c r="H1146" t="s"/>
      <c r="I1146" t="s"/>
      <c r="J1146" t="n">
        <v>-0.0494</v>
      </c>
      <c r="K1146" t="n">
        <v>0.09</v>
      </c>
      <c r="L1146" t="n">
        <v>0.795</v>
      </c>
      <c r="M1146" t="n">
        <v>0.115</v>
      </c>
    </row>
    <row r="1147" spans="1:13">
      <c r="A1147" s="1">
        <f>HYPERLINK("http://www.twitter.com/NathanBLawrence/status/983599123050975233", "983599123050975233")</f>
        <v/>
      </c>
      <c r="B1147" s="2" t="n">
        <v>43200.28795138889</v>
      </c>
      <c r="C1147" t="n">
        <v>3</v>
      </c>
      <c r="D1147" t="n">
        <v>0</v>
      </c>
      <c r="E1147" t="s">
        <v>1146</v>
      </c>
      <c r="F1147" t="s"/>
      <c r="G1147" t="s"/>
      <c r="H1147" t="s"/>
      <c r="I1147" t="s"/>
      <c r="J1147" t="n">
        <v>0</v>
      </c>
      <c r="K1147" t="n">
        <v>0</v>
      </c>
      <c r="L1147" t="n">
        <v>1</v>
      </c>
      <c r="M1147" t="n">
        <v>0</v>
      </c>
    </row>
    <row r="1148" spans="1:13">
      <c r="A1148" s="1">
        <f>HYPERLINK("http://www.twitter.com/NathanBLawrence/status/983598015817633792", "983598015817633792")</f>
        <v/>
      </c>
      <c r="B1148" s="2" t="n">
        <v>43200.28489583333</v>
      </c>
      <c r="C1148" t="n">
        <v>1</v>
      </c>
      <c r="D1148" t="n">
        <v>0</v>
      </c>
      <c r="E1148" t="s">
        <v>1147</v>
      </c>
      <c r="F1148" t="s"/>
      <c r="G1148" t="s"/>
      <c r="H1148" t="s"/>
      <c r="I1148" t="s"/>
      <c r="J1148" t="n">
        <v>0.5562</v>
      </c>
      <c r="K1148" t="n">
        <v>0</v>
      </c>
      <c r="L1148" t="n">
        <v>0.854</v>
      </c>
      <c r="M1148" t="n">
        <v>0.146</v>
      </c>
    </row>
    <row r="1149" spans="1:13">
      <c r="A1149" s="1">
        <f>HYPERLINK("http://www.twitter.com/NathanBLawrence/status/983592278496342017", "983592278496342017")</f>
        <v/>
      </c>
      <c r="B1149" s="2" t="n">
        <v>43200.26907407407</v>
      </c>
      <c r="C1149" t="n">
        <v>2</v>
      </c>
      <c r="D1149" t="n">
        <v>0</v>
      </c>
      <c r="E1149" t="s">
        <v>1148</v>
      </c>
      <c r="F1149" t="s"/>
      <c r="G1149" t="s"/>
      <c r="H1149" t="s"/>
      <c r="I1149" t="s"/>
      <c r="J1149" t="n">
        <v>0.4019</v>
      </c>
      <c r="K1149" t="n">
        <v>0.052</v>
      </c>
      <c r="L1149" t="n">
        <v>0.822</v>
      </c>
      <c r="M1149" t="n">
        <v>0.126</v>
      </c>
    </row>
    <row r="1150" spans="1:13">
      <c r="A1150" s="1">
        <f>HYPERLINK("http://www.twitter.com/NathanBLawrence/status/983586085677731841", "983586085677731841")</f>
        <v/>
      </c>
      <c r="B1150" s="2" t="n">
        <v>43200.25197916666</v>
      </c>
      <c r="C1150" t="n">
        <v>4</v>
      </c>
      <c r="D1150" t="n">
        <v>0</v>
      </c>
      <c r="E1150" t="s">
        <v>1149</v>
      </c>
      <c r="F1150" t="s"/>
      <c r="G1150" t="s"/>
      <c r="H1150" t="s"/>
      <c r="I1150" t="s"/>
      <c r="J1150" t="n">
        <v>-0.2023</v>
      </c>
      <c r="K1150" t="n">
        <v>0.121</v>
      </c>
      <c r="L1150" t="n">
        <v>0.799</v>
      </c>
      <c r="M1150" t="n">
        <v>0.08</v>
      </c>
    </row>
    <row r="1151" spans="1:13">
      <c r="A1151" s="1">
        <f>HYPERLINK("http://www.twitter.com/NathanBLawrence/status/983576142975262721", "983576142975262721")</f>
        <v/>
      </c>
      <c r="B1151" s="2" t="n">
        <v>43200.22454861111</v>
      </c>
      <c r="C1151" t="n">
        <v>0</v>
      </c>
      <c r="D1151" t="n">
        <v>95</v>
      </c>
      <c r="E1151" t="s">
        <v>1150</v>
      </c>
      <c r="F1151" t="s"/>
      <c r="G1151" t="s"/>
      <c r="H1151" t="s"/>
      <c r="I1151" t="s"/>
      <c r="J1151" t="n">
        <v>-0.4767</v>
      </c>
      <c r="K1151" t="n">
        <v>0.119</v>
      </c>
      <c r="L1151" t="n">
        <v>0.881</v>
      </c>
      <c r="M1151" t="n">
        <v>0</v>
      </c>
    </row>
    <row r="1152" spans="1:13">
      <c r="A1152" s="1">
        <f>HYPERLINK("http://www.twitter.com/NathanBLawrence/status/983559321333174272", "983559321333174272")</f>
        <v/>
      </c>
      <c r="B1152" s="2" t="n">
        <v>43200.178125</v>
      </c>
      <c r="C1152" t="n">
        <v>0</v>
      </c>
      <c r="D1152" t="n">
        <v>281</v>
      </c>
      <c r="E1152" t="s">
        <v>1151</v>
      </c>
      <c r="F1152" t="s"/>
      <c r="G1152" t="s"/>
      <c r="H1152" t="s"/>
      <c r="I1152" t="s"/>
      <c r="J1152" t="n">
        <v>-0.3595</v>
      </c>
      <c r="K1152" t="n">
        <v>0.116</v>
      </c>
      <c r="L1152" t="n">
        <v>0.884</v>
      </c>
      <c r="M1152" t="n">
        <v>0</v>
      </c>
    </row>
    <row r="1153" spans="1:13">
      <c r="A1153" s="1">
        <f>HYPERLINK("http://www.twitter.com/NathanBLawrence/status/983554130051551233", "983554130051551233")</f>
        <v/>
      </c>
      <c r="B1153" s="2" t="n">
        <v>43200.1637962963</v>
      </c>
      <c r="C1153" t="n">
        <v>0</v>
      </c>
      <c r="D1153" t="n">
        <v>1629</v>
      </c>
      <c r="E1153" t="s">
        <v>1152</v>
      </c>
      <c r="F1153" t="s"/>
      <c r="G1153" t="s"/>
      <c r="H1153" t="s"/>
      <c r="I1153" t="s"/>
      <c r="J1153" t="n">
        <v>0</v>
      </c>
      <c r="K1153" t="n">
        <v>0</v>
      </c>
      <c r="L1153" t="n">
        <v>1</v>
      </c>
      <c r="M1153" t="n">
        <v>0</v>
      </c>
    </row>
    <row r="1154" spans="1:13">
      <c r="A1154" s="1">
        <f>HYPERLINK("http://www.twitter.com/NathanBLawrence/status/983549676543795200", "983549676543795200")</f>
        <v/>
      </c>
      <c r="B1154" s="2" t="n">
        <v>43200.1515162037</v>
      </c>
      <c r="C1154" t="n">
        <v>0</v>
      </c>
      <c r="D1154" t="n">
        <v>208</v>
      </c>
      <c r="E1154" t="s">
        <v>1153</v>
      </c>
      <c r="F1154" t="s"/>
      <c r="G1154" t="s"/>
      <c r="H1154" t="s"/>
      <c r="I1154" t="s"/>
      <c r="J1154" t="n">
        <v>0.1531</v>
      </c>
      <c r="K1154" t="n">
        <v>0.055</v>
      </c>
      <c r="L1154" t="n">
        <v>0.864</v>
      </c>
      <c r="M1154" t="n">
        <v>0.082</v>
      </c>
    </row>
    <row r="1155" spans="1:13">
      <c r="A1155" s="1">
        <f>HYPERLINK("http://www.twitter.com/NathanBLawrence/status/983545356192333824", "983545356192333824")</f>
        <v/>
      </c>
      <c r="B1155" s="2" t="n">
        <v>43200.13958333333</v>
      </c>
      <c r="C1155" t="n">
        <v>0</v>
      </c>
      <c r="D1155" t="n">
        <v>1</v>
      </c>
      <c r="E1155" t="s">
        <v>1154</v>
      </c>
      <c r="F1155" t="s"/>
      <c r="G1155" t="s"/>
      <c r="H1155" t="s"/>
      <c r="I1155" t="s"/>
      <c r="J1155" t="n">
        <v>-0.5719</v>
      </c>
      <c r="K1155" t="n">
        <v>0.198</v>
      </c>
      <c r="L1155" t="n">
        <v>0.802</v>
      </c>
      <c r="M1155" t="n">
        <v>0</v>
      </c>
    </row>
    <row r="1156" spans="1:13">
      <c r="A1156" s="1">
        <f>HYPERLINK("http://www.twitter.com/NathanBLawrence/status/983510476905689088", "983510476905689088")</f>
        <v/>
      </c>
      <c r="B1156" s="2" t="n">
        <v>43200.0433449074</v>
      </c>
      <c r="C1156" t="n">
        <v>0</v>
      </c>
      <c r="D1156" t="n">
        <v>52</v>
      </c>
      <c r="E1156" t="s">
        <v>1155</v>
      </c>
      <c r="F1156" t="s"/>
      <c r="G1156" t="s"/>
      <c r="H1156" t="s"/>
      <c r="I1156" t="s"/>
      <c r="J1156" t="n">
        <v>0</v>
      </c>
      <c r="K1156" t="n">
        <v>0</v>
      </c>
      <c r="L1156" t="n">
        <v>1</v>
      </c>
      <c r="M1156" t="n">
        <v>0</v>
      </c>
    </row>
    <row r="1157" spans="1:13">
      <c r="A1157" s="1">
        <f>HYPERLINK("http://www.twitter.com/NathanBLawrence/status/983473749012951040", "983473749012951040")</f>
        <v/>
      </c>
      <c r="B1157" s="2" t="n">
        <v>43199.94199074074</v>
      </c>
      <c r="C1157" t="n">
        <v>2</v>
      </c>
      <c r="D1157" t="n">
        <v>0</v>
      </c>
      <c r="E1157" t="s">
        <v>1156</v>
      </c>
      <c r="F1157" t="s"/>
      <c r="G1157" t="s"/>
      <c r="H1157" t="s"/>
      <c r="I1157" t="s"/>
      <c r="J1157" t="n">
        <v>-0.4939</v>
      </c>
      <c r="K1157" t="n">
        <v>0.118</v>
      </c>
      <c r="L1157" t="n">
        <v>0.824</v>
      </c>
      <c r="M1157" t="n">
        <v>0.058</v>
      </c>
    </row>
    <row r="1158" spans="1:13">
      <c r="A1158" s="1">
        <f>HYPERLINK("http://www.twitter.com/NathanBLawrence/status/983466011084148736", "983466011084148736")</f>
        <v/>
      </c>
      <c r="B1158" s="2" t="n">
        <v>43199.92063657408</v>
      </c>
      <c r="C1158" t="n">
        <v>0</v>
      </c>
      <c r="D1158" t="n">
        <v>34</v>
      </c>
      <c r="E1158" t="s">
        <v>1157</v>
      </c>
      <c r="F1158">
        <f>HYPERLINK("http://pbs.twimg.com/media/DaXto3mXcAUGbbf.jpg", "http://pbs.twimg.com/media/DaXto3mXcAUGbbf.jpg")</f>
        <v/>
      </c>
      <c r="G1158" t="s"/>
      <c r="H1158" t="s"/>
      <c r="I1158" t="s"/>
      <c r="J1158" t="n">
        <v>0</v>
      </c>
      <c r="K1158" t="n">
        <v>0</v>
      </c>
      <c r="L1158" t="n">
        <v>1</v>
      </c>
      <c r="M1158" t="n">
        <v>0</v>
      </c>
    </row>
    <row r="1159" spans="1:13">
      <c r="A1159" s="1">
        <f>HYPERLINK("http://www.twitter.com/NathanBLawrence/status/983465950342254592", "983465950342254592")</f>
        <v/>
      </c>
      <c r="B1159" s="2" t="n">
        <v>43199.92047453704</v>
      </c>
      <c r="C1159" t="n">
        <v>0</v>
      </c>
      <c r="D1159" t="n">
        <v>40</v>
      </c>
      <c r="E1159" t="s">
        <v>1158</v>
      </c>
      <c r="F1159">
        <f>HYPERLINK("http://pbs.twimg.com/media/DaXtXgfW0AENBwC.jpg", "http://pbs.twimg.com/media/DaXtXgfW0AENBwC.jpg")</f>
        <v/>
      </c>
      <c r="G1159" t="s"/>
      <c r="H1159" t="s"/>
      <c r="I1159" t="s"/>
      <c r="J1159" t="n">
        <v>0.5106000000000001</v>
      </c>
      <c r="K1159" t="n">
        <v>0</v>
      </c>
      <c r="L1159" t="n">
        <v>0.798</v>
      </c>
      <c r="M1159" t="n">
        <v>0.202</v>
      </c>
    </row>
    <row r="1160" spans="1:13">
      <c r="A1160" s="1">
        <f>HYPERLINK("http://www.twitter.com/NathanBLawrence/status/983453986262011907", "983453986262011907")</f>
        <v/>
      </c>
      <c r="B1160" s="2" t="n">
        <v>43199.8874537037</v>
      </c>
      <c r="C1160" t="n">
        <v>0</v>
      </c>
      <c r="D1160" t="n">
        <v>12</v>
      </c>
      <c r="E1160" t="s">
        <v>1159</v>
      </c>
      <c r="F1160" t="s"/>
      <c r="G1160" t="s"/>
      <c r="H1160" t="s"/>
      <c r="I1160" t="s"/>
      <c r="J1160" t="n">
        <v>-0.4767</v>
      </c>
      <c r="K1160" t="n">
        <v>0.162</v>
      </c>
      <c r="L1160" t="n">
        <v>0.838</v>
      </c>
      <c r="M1160" t="n">
        <v>0</v>
      </c>
    </row>
    <row r="1161" spans="1:13">
      <c r="A1161" s="1">
        <f>HYPERLINK("http://www.twitter.com/NathanBLawrence/status/983402542511075328", "983402542511075328")</f>
        <v/>
      </c>
      <c r="B1161" s="2" t="n">
        <v>43199.74549768519</v>
      </c>
      <c r="C1161" t="n">
        <v>0</v>
      </c>
      <c r="D1161" t="n">
        <v>81</v>
      </c>
      <c r="E1161" t="s">
        <v>1160</v>
      </c>
      <c r="F1161" t="s"/>
      <c r="G1161" t="s"/>
      <c r="H1161" t="s"/>
      <c r="I1161" t="s"/>
      <c r="J1161" t="n">
        <v>0.4215</v>
      </c>
      <c r="K1161" t="n">
        <v>0</v>
      </c>
      <c r="L1161" t="n">
        <v>0.859</v>
      </c>
      <c r="M1161" t="n">
        <v>0.141</v>
      </c>
    </row>
    <row r="1162" spans="1:13">
      <c r="A1162" s="1">
        <f>HYPERLINK("http://www.twitter.com/NathanBLawrence/status/983400274671951872", "983400274671951872")</f>
        <v/>
      </c>
      <c r="B1162" s="2" t="n">
        <v>43199.73923611111</v>
      </c>
      <c r="C1162" t="n">
        <v>0</v>
      </c>
      <c r="D1162" t="n">
        <v>14</v>
      </c>
      <c r="E1162" t="s">
        <v>1161</v>
      </c>
      <c r="F1162" t="s"/>
      <c r="G1162" t="s"/>
      <c r="H1162" t="s"/>
      <c r="I1162" t="s"/>
      <c r="J1162" t="n">
        <v>0</v>
      </c>
      <c r="K1162" t="n">
        <v>0</v>
      </c>
      <c r="L1162" t="n">
        <v>1</v>
      </c>
      <c r="M1162" t="n">
        <v>0</v>
      </c>
    </row>
    <row r="1163" spans="1:13">
      <c r="A1163" s="1">
        <f>HYPERLINK("http://www.twitter.com/NathanBLawrence/status/983382944482983938", "983382944482983938")</f>
        <v/>
      </c>
      <c r="B1163" s="2" t="n">
        <v>43199.69141203703</v>
      </c>
      <c r="C1163" t="n">
        <v>0</v>
      </c>
      <c r="D1163" t="n">
        <v>1542</v>
      </c>
      <c r="E1163" t="s">
        <v>1162</v>
      </c>
      <c r="F1163">
        <f>HYPERLINK("http://pbs.twimg.com/media/DaTiYL_VAAAN53H.jpg", "http://pbs.twimg.com/media/DaTiYL_VAAAN53H.jpg")</f>
        <v/>
      </c>
      <c r="G1163">
        <f>HYPERLINK("http://pbs.twimg.com/media/DaTiYpBU0AALXHA.jpg", "http://pbs.twimg.com/media/DaTiYpBU0AALXHA.jpg")</f>
        <v/>
      </c>
      <c r="H1163" t="s"/>
      <c r="I1163" t="s"/>
      <c r="J1163" t="n">
        <v>-0.3612</v>
      </c>
      <c r="K1163" t="n">
        <v>0.135</v>
      </c>
      <c r="L1163" t="n">
        <v>0.865</v>
      </c>
      <c r="M1163" t="n">
        <v>0</v>
      </c>
    </row>
    <row r="1164" spans="1:13">
      <c r="A1164" s="1">
        <f>HYPERLINK("http://www.twitter.com/NathanBLawrence/status/983374068144574465", "983374068144574465")</f>
        <v/>
      </c>
      <c r="B1164" s="2" t="n">
        <v>43199.6669212963</v>
      </c>
      <c r="C1164" t="n">
        <v>0</v>
      </c>
      <c r="D1164" t="n">
        <v>26</v>
      </c>
      <c r="E1164" t="s">
        <v>1163</v>
      </c>
      <c r="F1164" t="s"/>
      <c r="G1164" t="s"/>
      <c r="H1164" t="s"/>
      <c r="I1164" t="s"/>
      <c r="J1164" t="n">
        <v>0</v>
      </c>
      <c r="K1164" t="n">
        <v>0</v>
      </c>
      <c r="L1164" t="n">
        <v>1</v>
      </c>
      <c r="M1164" t="n">
        <v>0</v>
      </c>
    </row>
    <row r="1165" spans="1:13">
      <c r="A1165" s="1">
        <f>HYPERLINK("http://www.twitter.com/NathanBLawrence/status/983363946907348992", "983363946907348992")</f>
        <v/>
      </c>
      <c r="B1165" s="2" t="n">
        <v>43199.63899305555</v>
      </c>
      <c r="C1165" t="n">
        <v>0</v>
      </c>
      <c r="D1165" t="n">
        <v>2</v>
      </c>
      <c r="E1165" t="s">
        <v>1164</v>
      </c>
      <c r="F1165" t="s"/>
      <c r="G1165" t="s"/>
      <c r="H1165" t="s"/>
      <c r="I1165" t="s"/>
      <c r="J1165" t="n">
        <v>0</v>
      </c>
      <c r="K1165" t="n">
        <v>0</v>
      </c>
      <c r="L1165" t="n">
        <v>1</v>
      </c>
      <c r="M1165" t="n">
        <v>0</v>
      </c>
    </row>
    <row r="1166" spans="1:13">
      <c r="A1166" s="1">
        <f>HYPERLINK("http://www.twitter.com/NathanBLawrence/status/983361450197635072", "983361450197635072")</f>
        <v/>
      </c>
      <c r="B1166" s="2" t="n">
        <v>43199.63210648148</v>
      </c>
      <c r="C1166" t="n">
        <v>0</v>
      </c>
      <c r="D1166" t="n">
        <v>28</v>
      </c>
      <c r="E1166" t="s">
        <v>1165</v>
      </c>
      <c r="F1166">
        <f>HYPERLINK("http://pbs.twimg.com/media/DaUprJJW4AAxtwP.jpg", "http://pbs.twimg.com/media/DaUprJJW4AAxtwP.jpg")</f>
        <v/>
      </c>
      <c r="G1166" t="s"/>
      <c r="H1166" t="s"/>
      <c r="I1166" t="s"/>
      <c r="J1166" t="n">
        <v>-0.5106000000000001</v>
      </c>
      <c r="K1166" t="n">
        <v>0.134</v>
      </c>
      <c r="L1166" t="n">
        <v>0.8179999999999999</v>
      </c>
      <c r="M1166" t="n">
        <v>0.048</v>
      </c>
    </row>
    <row r="1167" spans="1:13">
      <c r="A1167" s="1">
        <f>HYPERLINK("http://www.twitter.com/NathanBLawrence/status/983361011800530945", "983361011800530945")</f>
        <v/>
      </c>
      <c r="B1167" s="2" t="n">
        <v>43199.63089120371</v>
      </c>
      <c r="C1167" t="n">
        <v>0</v>
      </c>
      <c r="D1167" t="n">
        <v>4</v>
      </c>
      <c r="E1167" t="s">
        <v>1166</v>
      </c>
      <c r="F1167" t="s"/>
      <c r="G1167" t="s"/>
      <c r="H1167" t="s"/>
      <c r="I1167" t="s"/>
      <c r="J1167" t="n">
        <v>-0.296</v>
      </c>
      <c r="K1167" t="n">
        <v>0.08400000000000001</v>
      </c>
      <c r="L1167" t="n">
        <v>0.916</v>
      </c>
      <c r="M1167" t="n">
        <v>0</v>
      </c>
    </row>
    <row r="1168" spans="1:13">
      <c r="A1168" s="1">
        <f>HYPERLINK("http://www.twitter.com/NathanBLawrence/status/983360703443668993", "983360703443668993")</f>
        <v/>
      </c>
      <c r="B1168" s="2" t="n">
        <v>43199.6300462963</v>
      </c>
      <c r="C1168" t="n">
        <v>0</v>
      </c>
      <c r="D1168" t="n">
        <v>3</v>
      </c>
      <c r="E1168" t="s">
        <v>1167</v>
      </c>
      <c r="F1168" t="s"/>
      <c r="G1168" t="s"/>
      <c r="H1168" t="s"/>
      <c r="I1168" t="s"/>
      <c r="J1168" t="n">
        <v>0</v>
      </c>
      <c r="K1168" t="n">
        <v>0</v>
      </c>
      <c r="L1168" t="n">
        <v>1</v>
      </c>
      <c r="M1168" t="n">
        <v>0</v>
      </c>
    </row>
    <row r="1169" spans="1:13">
      <c r="A1169" s="1">
        <f>HYPERLINK("http://www.twitter.com/NathanBLawrence/status/983353818988580865", "983353818988580865")</f>
        <v/>
      </c>
      <c r="B1169" s="2" t="n">
        <v>43199.61104166666</v>
      </c>
      <c r="C1169" t="n">
        <v>12</v>
      </c>
      <c r="D1169" t="n">
        <v>8</v>
      </c>
      <c r="E1169" t="s">
        <v>1168</v>
      </c>
      <c r="F1169" t="s"/>
      <c r="G1169" t="s"/>
      <c r="H1169" t="s"/>
      <c r="I1169" t="s"/>
      <c r="J1169" t="n">
        <v>-0.126</v>
      </c>
      <c r="K1169" t="n">
        <v>0.098</v>
      </c>
      <c r="L1169" t="n">
        <v>0.829</v>
      </c>
      <c r="M1169" t="n">
        <v>0.073</v>
      </c>
    </row>
    <row r="1170" spans="1:13">
      <c r="A1170" s="1">
        <f>HYPERLINK("http://www.twitter.com/NathanBLawrence/status/983300191532052480", "983300191532052480")</f>
        <v/>
      </c>
      <c r="B1170" s="2" t="n">
        <v>43199.46306712963</v>
      </c>
      <c r="C1170" t="n">
        <v>0</v>
      </c>
      <c r="D1170" t="n">
        <v>141</v>
      </c>
      <c r="E1170" t="s">
        <v>1169</v>
      </c>
      <c r="F1170">
        <f>HYPERLINK("http://pbs.twimg.com/media/DaS7KfJVQAIGJMz.png", "http://pbs.twimg.com/media/DaS7KfJVQAIGJMz.png")</f>
        <v/>
      </c>
      <c r="G1170">
        <f>HYPERLINK("http://pbs.twimg.com/media/DaS7Om3UMAAa4tU.jpg", "http://pbs.twimg.com/media/DaS7Om3UMAAa4tU.jpg")</f>
        <v/>
      </c>
      <c r="H1170" t="s"/>
      <c r="I1170" t="s"/>
      <c r="J1170" t="n">
        <v>-0.5848</v>
      </c>
      <c r="K1170" t="n">
        <v>0.179</v>
      </c>
      <c r="L1170" t="n">
        <v>0.821</v>
      </c>
      <c r="M1170" t="n">
        <v>0</v>
      </c>
    </row>
    <row r="1171" spans="1:13">
      <c r="A1171" s="1">
        <f>HYPERLINK("http://www.twitter.com/NathanBLawrence/status/983295930995826689", "983295930995826689")</f>
        <v/>
      </c>
      <c r="B1171" s="2" t="n">
        <v>43199.45130787037</v>
      </c>
      <c r="C1171" t="n">
        <v>0</v>
      </c>
      <c r="D1171" t="n">
        <v>580</v>
      </c>
      <c r="E1171" t="s">
        <v>1170</v>
      </c>
      <c r="F1171" t="s"/>
      <c r="G1171" t="s"/>
      <c r="H1171" t="s"/>
      <c r="I1171" t="s"/>
      <c r="J1171" t="n">
        <v>-0.5266999999999999</v>
      </c>
      <c r="K1171" t="n">
        <v>0.258</v>
      </c>
      <c r="L1171" t="n">
        <v>0.625</v>
      </c>
      <c r="M1171" t="n">
        <v>0.117</v>
      </c>
    </row>
    <row r="1172" spans="1:13">
      <c r="A1172" s="1">
        <f>HYPERLINK("http://www.twitter.com/NathanBLawrence/status/983295915539795968", "983295915539795968")</f>
        <v/>
      </c>
      <c r="B1172" s="2" t="n">
        <v>43199.45126157408</v>
      </c>
      <c r="C1172" t="n">
        <v>0</v>
      </c>
      <c r="D1172" t="n">
        <v>921</v>
      </c>
      <c r="E1172" t="s">
        <v>1171</v>
      </c>
      <c r="F1172" t="s"/>
      <c r="G1172" t="s"/>
      <c r="H1172" t="s"/>
      <c r="I1172" t="s"/>
      <c r="J1172" t="n">
        <v>0.6103</v>
      </c>
      <c r="K1172" t="n">
        <v>0.06900000000000001</v>
      </c>
      <c r="L1172" t="n">
        <v>0.659</v>
      </c>
      <c r="M1172" t="n">
        <v>0.271</v>
      </c>
    </row>
    <row r="1173" spans="1:13">
      <c r="A1173" s="1">
        <f>HYPERLINK("http://www.twitter.com/NathanBLawrence/status/983295856077131778", "983295856077131778")</f>
        <v/>
      </c>
      <c r="B1173" s="2" t="n">
        <v>43199.45109953704</v>
      </c>
      <c r="C1173" t="n">
        <v>0</v>
      </c>
      <c r="D1173" t="n">
        <v>992</v>
      </c>
      <c r="E1173" t="s">
        <v>1172</v>
      </c>
      <c r="F1173" t="s"/>
      <c r="G1173" t="s"/>
      <c r="H1173" t="s"/>
      <c r="I1173" t="s"/>
      <c r="J1173" t="n">
        <v>0.6808</v>
      </c>
      <c r="K1173" t="n">
        <v>0</v>
      </c>
      <c r="L1173" t="n">
        <v>0.797</v>
      </c>
      <c r="M1173" t="n">
        <v>0.203</v>
      </c>
    </row>
    <row r="1174" spans="1:13">
      <c r="A1174" s="1">
        <f>HYPERLINK("http://www.twitter.com/NathanBLawrence/status/983294757869948928", "983294757869948928")</f>
        <v/>
      </c>
      <c r="B1174" s="2" t="n">
        <v>43199.44806712963</v>
      </c>
      <c r="C1174" t="n">
        <v>0</v>
      </c>
      <c r="D1174" t="n">
        <v>8</v>
      </c>
      <c r="E1174" t="s">
        <v>1173</v>
      </c>
      <c r="F1174" t="s"/>
      <c r="G1174" t="s"/>
      <c r="H1174" t="s"/>
      <c r="I1174" t="s"/>
      <c r="J1174" t="n">
        <v>0</v>
      </c>
      <c r="K1174" t="n">
        <v>0</v>
      </c>
      <c r="L1174" t="n">
        <v>1</v>
      </c>
      <c r="M1174" t="n">
        <v>0</v>
      </c>
    </row>
    <row r="1175" spans="1:13">
      <c r="A1175" s="1">
        <f>HYPERLINK("http://www.twitter.com/NathanBLawrence/status/983294711480901632", "983294711480901632")</f>
        <v/>
      </c>
      <c r="B1175" s="2" t="n">
        <v>43199.44793981482</v>
      </c>
      <c r="C1175" t="n">
        <v>0</v>
      </c>
      <c r="D1175" t="n">
        <v>4</v>
      </c>
      <c r="E1175" t="s">
        <v>1174</v>
      </c>
      <c r="F1175" t="s"/>
      <c r="G1175" t="s"/>
      <c r="H1175" t="s"/>
      <c r="I1175" t="s"/>
      <c r="J1175" t="n">
        <v>-0.8270999999999999</v>
      </c>
      <c r="K1175" t="n">
        <v>0.303</v>
      </c>
      <c r="L1175" t="n">
        <v>0.697</v>
      </c>
      <c r="M1175" t="n">
        <v>0</v>
      </c>
    </row>
    <row r="1176" spans="1:13">
      <c r="A1176" s="1">
        <f>HYPERLINK("http://www.twitter.com/NathanBLawrence/status/983292569609175040", "983292569609175040")</f>
        <v/>
      </c>
      <c r="B1176" s="2" t="n">
        <v>43199.44202546297</v>
      </c>
      <c r="C1176" t="n">
        <v>0</v>
      </c>
      <c r="D1176" t="n">
        <v>2</v>
      </c>
      <c r="E1176" t="s">
        <v>1175</v>
      </c>
      <c r="F1176">
        <f>HYPERLINK("http://pbs.twimg.com/media/DaVa9k_VMAAoMV_.jpg", "http://pbs.twimg.com/media/DaVa9k_VMAAoMV_.jpg")</f>
        <v/>
      </c>
      <c r="G1176" t="s"/>
      <c r="H1176" t="s"/>
      <c r="I1176" t="s"/>
      <c r="J1176" t="n">
        <v>0</v>
      </c>
      <c r="K1176" t="n">
        <v>0</v>
      </c>
      <c r="L1176" t="n">
        <v>1</v>
      </c>
      <c r="M1176" t="n">
        <v>0</v>
      </c>
    </row>
    <row r="1177" spans="1:13">
      <c r="A1177" s="1">
        <f>HYPERLINK("http://www.twitter.com/NathanBLawrence/status/983291247849824256", "983291247849824256")</f>
        <v/>
      </c>
      <c r="B1177" s="2" t="n">
        <v>43199.43837962963</v>
      </c>
      <c r="C1177" t="n">
        <v>0</v>
      </c>
      <c r="D1177" t="n">
        <v>1</v>
      </c>
      <c r="E1177" t="s">
        <v>1176</v>
      </c>
      <c r="F1177" t="s"/>
      <c r="G1177" t="s"/>
      <c r="H1177" t="s"/>
      <c r="I1177" t="s"/>
      <c r="J1177" t="n">
        <v>-0.1027</v>
      </c>
      <c r="K1177" t="n">
        <v>0.254</v>
      </c>
      <c r="L1177" t="n">
        <v>0.507</v>
      </c>
      <c r="M1177" t="n">
        <v>0.239</v>
      </c>
    </row>
    <row r="1178" spans="1:13">
      <c r="A1178" s="1">
        <f>HYPERLINK("http://www.twitter.com/NathanBLawrence/status/983291195139948544", "983291195139948544")</f>
        <v/>
      </c>
      <c r="B1178" s="2" t="n">
        <v>43199.43824074074</v>
      </c>
      <c r="C1178" t="n">
        <v>0</v>
      </c>
      <c r="D1178" t="n">
        <v>1</v>
      </c>
      <c r="E1178" t="s">
        <v>1177</v>
      </c>
      <c r="F1178" t="s"/>
      <c r="G1178" t="s"/>
      <c r="H1178" t="s"/>
      <c r="I1178" t="s"/>
      <c r="J1178" t="n">
        <v>0.7845</v>
      </c>
      <c r="K1178" t="n">
        <v>0</v>
      </c>
      <c r="L1178" t="n">
        <v>0.6830000000000001</v>
      </c>
      <c r="M1178" t="n">
        <v>0.317</v>
      </c>
    </row>
    <row r="1179" spans="1:13">
      <c r="A1179" s="1">
        <f>HYPERLINK("http://www.twitter.com/NathanBLawrence/status/983287656711966720", "983287656711966720")</f>
        <v/>
      </c>
      <c r="B1179" s="2" t="n">
        <v>43199.42847222222</v>
      </c>
      <c r="C1179" t="n">
        <v>0</v>
      </c>
      <c r="D1179" t="n">
        <v>4376</v>
      </c>
      <c r="E1179" t="s">
        <v>1178</v>
      </c>
      <c r="F1179" t="s"/>
      <c r="G1179" t="s"/>
      <c r="H1179" t="s"/>
      <c r="I1179" t="s"/>
      <c r="J1179" t="n">
        <v>0.1779</v>
      </c>
      <c r="K1179" t="n">
        <v>0.057</v>
      </c>
      <c r="L1179" t="n">
        <v>0.857</v>
      </c>
      <c r="M1179" t="n">
        <v>0.08599999999999999</v>
      </c>
    </row>
    <row r="1180" spans="1:13">
      <c r="A1180" s="1">
        <f>HYPERLINK("http://www.twitter.com/NathanBLawrence/status/983287447097397248", "983287447097397248")</f>
        <v/>
      </c>
      <c r="B1180" s="2" t="n">
        <v>43199.42789351852</v>
      </c>
      <c r="C1180" t="n">
        <v>0</v>
      </c>
      <c r="D1180" t="n">
        <v>1321</v>
      </c>
      <c r="E1180" t="s">
        <v>1179</v>
      </c>
      <c r="F1180" t="s"/>
      <c r="G1180" t="s"/>
      <c r="H1180" t="s"/>
      <c r="I1180" t="s"/>
      <c r="J1180" t="n">
        <v>-0.5319</v>
      </c>
      <c r="K1180" t="n">
        <v>0.222</v>
      </c>
      <c r="L1180" t="n">
        <v>0.678</v>
      </c>
      <c r="M1180" t="n">
        <v>0.1</v>
      </c>
    </row>
    <row r="1181" spans="1:13">
      <c r="A1181" s="1">
        <f>HYPERLINK("http://www.twitter.com/NathanBLawrence/status/983287252292980736", "983287252292980736")</f>
        <v/>
      </c>
      <c r="B1181" s="2" t="n">
        <v>43199.42736111111</v>
      </c>
      <c r="C1181" t="n">
        <v>0</v>
      </c>
      <c r="D1181" t="n">
        <v>887</v>
      </c>
      <c r="E1181" t="s">
        <v>1180</v>
      </c>
      <c r="F1181">
        <f>HYPERLINK("http://pbs.twimg.com/media/DaRoOFFU0AAhhfV.jpg", "http://pbs.twimg.com/media/DaRoOFFU0AAhhfV.jpg")</f>
        <v/>
      </c>
      <c r="G1181" t="s"/>
      <c r="H1181" t="s"/>
      <c r="I1181" t="s"/>
      <c r="J1181" t="n">
        <v>0</v>
      </c>
      <c r="K1181" t="n">
        <v>0</v>
      </c>
      <c r="L1181" t="n">
        <v>1</v>
      </c>
      <c r="M1181" t="n">
        <v>0</v>
      </c>
    </row>
    <row r="1182" spans="1:13">
      <c r="A1182" s="1">
        <f>HYPERLINK("http://www.twitter.com/NathanBLawrence/status/983286973862432768", "983286973862432768")</f>
        <v/>
      </c>
      <c r="B1182" s="2" t="n">
        <v>43199.42658564815</v>
      </c>
      <c r="C1182" t="n">
        <v>0</v>
      </c>
      <c r="D1182" t="n">
        <v>3924</v>
      </c>
      <c r="E1182" t="s">
        <v>1181</v>
      </c>
      <c r="F1182">
        <f>HYPERLINK("http://pbs.twimg.com/media/DVoieHpUMAEAaoJ.jpg", "http://pbs.twimg.com/media/DVoieHpUMAEAaoJ.jpg")</f>
        <v/>
      </c>
      <c r="G1182" t="s"/>
      <c r="H1182" t="s"/>
      <c r="I1182" t="s"/>
      <c r="J1182" t="n">
        <v>0.0772</v>
      </c>
      <c r="K1182" t="n">
        <v>0</v>
      </c>
      <c r="L1182" t="n">
        <v>0.9360000000000001</v>
      </c>
      <c r="M1182" t="n">
        <v>0.064</v>
      </c>
    </row>
    <row r="1183" spans="1:13">
      <c r="A1183" s="1">
        <f>HYPERLINK("http://www.twitter.com/NathanBLawrence/status/983286873371107328", "983286873371107328")</f>
        <v/>
      </c>
      <c r="B1183" s="2" t="n">
        <v>43199.42630787037</v>
      </c>
      <c r="C1183" t="n">
        <v>0</v>
      </c>
      <c r="D1183" t="n">
        <v>412</v>
      </c>
      <c r="E1183" t="s">
        <v>1182</v>
      </c>
      <c r="F1183" t="s"/>
      <c r="G1183" t="s"/>
      <c r="H1183" t="s"/>
      <c r="I1183" t="s"/>
      <c r="J1183" t="n">
        <v>0.3818</v>
      </c>
      <c r="K1183" t="n">
        <v>0</v>
      </c>
      <c r="L1183" t="n">
        <v>0.89</v>
      </c>
      <c r="M1183" t="n">
        <v>0.11</v>
      </c>
    </row>
    <row r="1184" spans="1:13">
      <c r="A1184" s="1">
        <f>HYPERLINK("http://www.twitter.com/NathanBLawrence/status/983286510345773056", "983286510345773056")</f>
        <v/>
      </c>
      <c r="B1184" s="2" t="n">
        <v>43199.4253125</v>
      </c>
      <c r="C1184" t="n">
        <v>0</v>
      </c>
      <c r="D1184" t="n">
        <v>15</v>
      </c>
      <c r="E1184" t="s">
        <v>1183</v>
      </c>
      <c r="F1184">
        <f>HYPERLINK("http://pbs.twimg.com/media/DaTC-lEVMAImhVT.jpg", "http://pbs.twimg.com/media/DaTC-lEVMAImhVT.jpg")</f>
        <v/>
      </c>
      <c r="G1184">
        <f>HYPERLINK("http://pbs.twimg.com/media/DaTDExsU8AEtTQj.jpg", "http://pbs.twimg.com/media/DaTDExsU8AEtTQj.jpg")</f>
        <v/>
      </c>
      <c r="H1184">
        <f>HYPERLINK("http://pbs.twimg.com/media/DaTDFeqVMAAvrly.jpg", "http://pbs.twimg.com/media/DaTDFeqVMAAvrly.jpg")</f>
        <v/>
      </c>
      <c r="I1184">
        <f>HYPERLINK("http://pbs.twimg.com/media/DaTDGUaVAAAaVXE.jpg", "http://pbs.twimg.com/media/DaTDGUaVAAAaVXE.jpg")</f>
        <v/>
      </c>
      <c r="J1184" t="n">
        <v>0</v>
      </c>
      <c r="K1184" t="n">
        <v>0</v>
      </c>
      <c r="L1184" t="n">
        <v>1</v>
      </c>
      <c r="M1184" t="n">
        <v>0</v>
      </c>
    </row>
    <row r="1185" spans="1:13">
      <c r="A1185" s="1">
        <f>HYPERLINK("http://www.twitter.com/NathanBLawrence/status/983285770868920320", "983285770868920320")</f>
        <v/>
      </c>
      <c r="B1185" s="2" t="n">
        <v>43199.42326388889</v>
      </c>
      <c r="C1185" t="n">
        <v>0</v>
      </c>
      <c r="D1185" t="n">
        <v>18</v>
      </c>
      <c r="E1185" t="s">
        <v>1184</v>
      </c>
      <c r="F1185">
        <f>HYPERLINK("http://pbs.twimg.com/media/C9C7oecUwAAbZr7.jpg", "http://pbs.twimg.com/media/C9C7oecUwAAbZr7.jpg")</f>
        <v/>
      </c>
      <c r="G1185" t="s"/>
      <c r="H1185" t="s"/>
      <c r="I1185" t="s"/>
      <c r="J1185" t="n">
        <v>0.6908</v>
      </c>
      <c r="K1185" t="n">
        <v>0.054</v>
      </c>
      <c r="L1185" t="n">
        <v>0.736</v>
      </c>
      <c r="M1185" t="n">
        <v>0.211</v>
      </c>
    </row>
    <row r="1186" spans="1:13">
      <c r="A1186" s="1">
        <f>HYPERLINK("http://www.twitter.com/NathanBLawrence/status/983224908393205760", "983224908393205760")</f>
        <v/>
      </c>
      <c r="B1186" s="2" t="n">
        <v>43199.25532407407</v>
      </c>
      <c r="C1186" t="n">
        <v>0</v>
      </c>
      <c r="D1186" t="n">
        <v>1105</v>
      </c>
      <c r="E1186" t="s">
        <v>1185</v>
      </c>
      <c r="F1186">
        <f>HYPERLINK("http://pbs.twimg.com/media/DaR_vn1X4AAA_Q5.jpg", "http://pbs.twimg.com/media/DaR_vn1X4AAA_Q5.jpg")</f>
        <v/>
      </c>
      <c r="G1186" t="s"/>
      <c r="H1186" t="s"/>
      <c r="I1186" t="s"/>
      <c r="J1186" t="n">
        <v>-0.6597</v>
      </c>
      <c r="K1186" t="n">
        <v>0.167</v>
      </c>
      <c r="L1186" t="n">
        <v>0.833</v>
      </c>
      <c r="M1186" t="n">
        <v>0</v>
      </c>
    </row>
    <row r="1187" spans="1:13">
      <c r="A1187" s="1">
        <f>HYPERLINK("http://www.twitter.com/NathanBLawrence/status/983219367138725891", "983219367138725891")</f>
        <v/>
      </c>
      <c r="B1187" s="2" t="n">
        <v>43199.24003472222</v>
      </c>
      <c r="C1187" t="n">
        <v>0</v>
      </c>
      <c r="D1187" t="n">
        <v>43</v>
      </c>
      <c r="E1187" t="s">
        <v>1186</v>
      </c>
      <c r="F1187" t="s"/>
      <c r="G1187" t="s"/>
      <c r="H1187" t="s"/>
      <c r="I1187" t="s"/>
      <c r="J1187" t="n">
        <v>-0.25</v>
      </c>
      <c r="K1187" t="n">
        <v>0.132</v>
      </c>
      <c r="L1187" t="n">
        <v>0.772</v>
      </c>
      <c r="M1187" t="n">
        <v>0.096</v>
      </c>
    </row>
    <row r="1188" spans="1:13">
      <c r="A1188" s="1">
        <f>HYPERLINK("http://www.twitter.com/NathanBLawrence/status/983201751691071489", "983201751691071489")</f>
        <v/>
      </c>
      <c r="B1188" s="2" t="n">
        <v>43199.19142361111</v>
      </c>
      <c r="C1188" t="n">
        <v>0</v>
      </c>
      <c r="D1188" t="n">
        <v>2285</v>
      </c>
      <c r="E1188" t="s">
        <v>1187</v>
      </c>
      <c r="F1188" t="s"/>
      <c r="G1188" t="s"/>
      <c r="H1188" t="s"/>
      <c r="I1188" t="s"/>
      <c r="J1188" t="n">
        <v>0.4215</v>
      </c>
      <c r="K1188" t="n">
        <v>0</v>
      </c>
      <c r="L1188" t="n">
        <v>0.833</v>
      </c>
      <c r="M1188" t="n">
        <v>0.167</v>
      </c>
    </row>
    <row r="1189" spans="1:13">
      <c r="A1189" s="1">
        <f>HYPERLINK("http://www.twitter.com/NathanBLawrence/status/983193085332131840", "983193085332131840")</f>
        <v/>
      </c>
      <c r="B1189" s="2" t="n">
        <v>43199.16751157407</v>
      </c>
      <c r="C1189" t="n">
        <v>0</v>
      </c>
      <c r="D1189" t="n">
        <v>2136</v>
      </c>
      <c r="E1189" t="s">
        <v>1188</v>
      </c>
      <c r="F1189" t="s"/>
      <c r="G1189" t="s"/>
      <c r="H1189" t="s"/>
      <c r="I1189" t="s"/>
      <c r="J1189" t="n">
        <v>0.6514</v>
      </c>
      <c r="K1189" t="n">
        <v>0.082</v>
      </c>
      <c r="L1189" t="n">
        <v>0.6840000000000001</v>
      </c>
      <c r="M1189" t="n">
        <v>0.234</v>
      </c>
    </row>
    <row r="1190" spans="1:13">
      <c r="A1190" s="1">
        <f>HYPERLINK("http://www.twitter.com/NathanBLawrence/status/983157483018563584", "983157483018563584")</f>
        <v/>
      </c>
      <c r="B1190" s="2" t="n">
        <v>43199.06925925926</v>
      </c>
      <c r="C1190" t="n">
        <v>0</v>
      </c>
      <c r="D1190" t="n">
        <v>27</v>
      </c>
      <c r="E1190" t="s">
        <v>1189</v>
      </c>
      <c r="F1190">
        <f>HYPERLINK("http://pbs.twimg.com/media/DaTafLiU8AABdoK.jpg", "http://pbs.twimg.com/media/DaTafLiU8AABdoK.jpg")</f>
        <v/>
      </c>
      <c r="G1190">
        <f>HYPERLINK("http://pbs.twimg.com/media/DaTafLiVwAEEhRH.jpg", "http://pbs.twimg.com/media/DaTafLiVwAEEhRH.jpg")</f>
        <v/>
      </c>
      <c r="H1190" t="s"/>
      <c r="I1190" t="s"/>
      <c r="J1190" t="n">
        <v>0</v>
      </c>
      <c r="K1190" t="n">
        <v>0</v>
      </c>
      <c r="L1190" t="n">
        <v>1</v>
      </c>
      <c r="M1190" t="n">
        <v>0</v>
      </c>
    </row>
    <row r="1191" spans="1:13">
      <c r="A1191" s="1">
        <f>HYPERLINK("http://www.twitter.com/NathanBLawrence/status/983135614680879104", "983135614680879104")</f>
        <v/>
      </c>
      <c r="B1191" s="2" t="n">
        <v>43199.00891203704</v>
      </c>
      <c r="C1191" t="n">
        <v>1</v>
      </c>
      <c r="D1191" t="n">
        <v>5</v>
      </c>
      <c r="E1191" t="s">
        <v>1190</v>
      </c>
      <c r="F1191" t="s"/>
      <c r="G1191" t="s"/>
      <c r="H1191" t="s"/>
      <c r="I1191" t="s"/>
      <c r="J1191" t="n">
        <v>0</v>
      </c>
      <c r="K1191" t="n">
        <v>0</v>
      </c>
      <c r="L1191" t="n">
        <v>1</v>
      </c>
      <c r="M1191" t="n">
        <v>0</v>
      </c>
    </row>
    <row r="1192" spans="1:13">
      <c r="A1192" s="1">
        <f>HYPERLINK("http://www.twitter.com/NathanBLawrence/status/983134839137361920", "983134839137361920")</f>
        <v/>
      </c>
      <c r="B1192" s="2" t="n">
        <v>43199.00678240741</v>
      </c>
      <c r="C1192" t="n">
        <v>15</v>
      </c>
      <c r="D1192" t="n">
        <v>16</v>
      </c>
      <c r="E1192" t="s">
        <v>1191</v>
      </c>
      <c r="F1192" t="s"/>
      <c r="G1192" t="s"/>
      <c r="H1192" t="s"/>
      <c r="I1192" t="s"/>
      <c r="J1192" t="n">
        <v>-0.3147</v>
      </c>
      <c r="K1192" t="n">
        <v>0.236</v>
      </c>
      <c r="L1192" t="n">
        <v>0.548</v>
      </c>
      <c r="M1192" t="n">
        <v>0.216</v>
      </c>
    </row>
    <row r="1193" spans="1:13">
      <c r="A1193" s="1">
        <f>HYPERLINK("http://www.twitter.com/NathanBLawrence/status/983102531919282176", "983102531919282176")</f>
        <v/>
      </c>
      <c r="B1193" s="2" t="n">
        <v>43198.91762731481</v>
      </c>
      <c r="C1193" t="n">
        <v>0</v>
      </c>
      <c r="D1193" t="n">
        <v>565</v>
      </c>
      <c r="E1193" t="s">
        <v>1192</v>
      </c>
      <c r="F1193">
        <f>HYPERLINK("http://pbs.twimg.com/media/DaSWbeTWkAAV3vf.jpg", "http://pbs.twimg.com/media/DaSWbeTWkAAV3vf.jpg")</f>
        <v/>
      </c>
      <c r="G1193" t="s"/>
      <c r="H1193" t="s"/>
      <c r="I1193" t="s"/>
      <c r="J1193" t="n">
        <v>0</v>
      </c>
      <c r="K1193" t="n">
        <v>0</v>
      </c>
      <c r="L1193" t="n">
        <v>1</v>
      </c>
      <c r="M1193" t="n">
        <v>0</v>
      </c>
    </row>
    <row r="1194" spans="1:13">
      <c r="A1194" s="1">
        <f>HYPERLINK("http://www.twitter.com/NathanBLawrence/status/983085986283442176", "983085986283442176")</f>
        <v/>
      </c>
      <c r="B1194" s="2" t="n">
        <v>43198.87196759259</v>
      </c>
      <c r="C1194" t="n">
        <v>0</v>
      </c>
      <c r="D1194" t="n">
        <v>62</v>
      </c>
      <c r="E1194" t="s">
        <v>1193</v>
      </c>
      <c r="F1194">
        <f>HYPERLINK("http://pbs.twimg.com/media/DaSddpnWAAAsTC8.jpg", "http://pbs.twimg.com/media/DaSddpnWAAAsTC8.jpg")</f>
        <v/>
      </c>
      <c r="G1194" t="s"/>
      <c r="H1194" t="s"/>
      <c r="I1194" t="s"/>
      <c r="J1194" t="n">
        <v>0</v>
      </c>
      <c r="K1194" t="n">
        <v>0</v>
      </c>
      <c r="L1194" t="n">
        <v>1</v>
      </c>
      <c r="M1194" t="n">
        <v>0</v>
      </c>
    </row>
    <row r="1195" spans="1:13">
      <c r="A1195" s="1">
        <f>HYPERLINK("http://www.twitter.com/NathanBLawrence/status/983085003948089344", "983085003948089344")</f>
        <v/>
      </c>
      <c r="B1195" s="2" t="n">
        <v>43198.86925925926</v>
      </c>
      <c r="C1195" t="n">
        <v>0</v>
      </c>
      <c r="D1195" t="n">
        <v>2942</v>
      </c>
      <c r="E1195" t="s">
        <v>1194</v>
      </c>
      <c r="F1195">
        <f>HYPERLINK("https://video.twimg.com/amplify_video/983077944468934657/vid/1280x720/KspgOFrN9Kotcy9V.mp4?tag=2", "https://video.twimg.com/amplify_video/983077944468934657/vid/1280x720/KspgOFrN9Kotcy9V.mp4?tag=2")</f>
        <v/>
      </c>
      <c r="G1195" t="s"/>
      <c r="H1195" t="s"/>
      <c r="I1195" t="s"/>
      <c r="J1195" t="n">
        <v>0.3612</v>
      </c>
      <c r="K1195" t="n">
        <v>0</v>
      </c>
      <c r="L1195" t="n">
        <v>0.865</v>
      </c>
      <c r="M1195" t="n">
        <v>0.135</v>
      </c>
    </row>
    <row r="1196" spans="1:13">
      <c r="A1196" s="1">
        <f>HYPERLINK("http://www.twitter.com/NathanBLawrence/status/983084294666117120", "983084294666117120")</f>
        <v/>
      </c>
      <c r="B1196" s="2" t="n">
        <v>43198.86730324074</v>
      </c>
      <c r="C1196" t="n">
        <v>0</v>
      </c>
      <c r="D1196" t="n">
        <v>726</v>
      </c>
      <c r="E1196" t="s">
        <v>1195</v>
      </c>
      <c r="F1196">
        <f>HYPERLINK("http://pbs.twimg.com/media/DPvpHYjX4AEgGt6.jpg", "http://pbs.twimg.com/media/DPvpHYjX4AEgGt6.jpg")</f>
        <v/>
      </c>
      <c r="G1196" t="s"/>
      <c r="H1196" t="s"/>
      <c r="I1196" t="s"/>
      <c r="J1196" t="n">
        <v>0.3034</v>
      </c>
      <c r="K1196" t="n">
        <v>0</v>
      </c>
      <c r="L1196" t="n">
        <v>0.87</v>
      </c>
      <c r="M1196" t="n">
        <v>0.13</v>
      </c>
    </row>
    <row r="1197" spans="1:13">
      <c r="A1197" s="1">
        <f>HYPERLINK("http://www.twitter.com/NathanBLawrence/status/983081515331571712", "983081515331571712")</f>
        <v/>
      </c>
      <c r="B1197" s="2" t="n">
        <v>43198.85962962963</v>
      </c>
      <c r="C1197" t="n">
        <v>6</v>
      </c>
      <c r="D1197" t="n">
        <v>7</v>
      </c>
      <c r="E1197" t="s">
        <v>1196</v>
      </c>
      <c r="F1197" t="s"/>
      <c r="G1197" t="s"/>
      <c r="H1197" t="s"/>
      <c r="I1197" t="s"/>
      <c r="J1197" t="n">
        <v>0</v>
      </c>
      <c r="K1197" t="n">
        <v>0</v>
      </c>
      <c r="L1197" t="n">
        <v>1</v>
      </c>
      <c r="M1197" t="n">
        <v>0</v>
      </c>
    </row>
    <row r="1198" spans="1:13">
      <c r="A1198" s="1">
        <f>HYPERLINK("http://www.twitter.com/NathanBLawrence/status/983055149965959171", "983055149965959171")</f>
        <v/>
      </c>
      <c r="B1198" s="2" t="n">
        <v>43198.786875</v>
      </c>
      <c r="C1198" t="n">
        <v>0</v>
      </c>
      <c r="D1198" t="n">
        <v>9816</v>
      </c>
      <c r="E1198" t="s">
        <v>1197</v>
      </c>
      <c r="F1198" t="s"/>
      <c r="G1198" t="s"/>
      <c r="H1198" t="s"/>
      <c r="I1198" t="s"/>
      <c r="J1198" t="n">
        <v>0</v>
      </c>
      <c r="K1198" t="n">
        <v>0</v>
      </c>
      <c r="L1198" t="n">
        <v>1</v>
      </c>
      <c r="M1198" t="n">
        <v>0</v>
      </c>
    </row>
    <row r="1199" spans="1:13">
      <c r="A1199" s="1">
        <f>HYPERLINK("http://www.twitter.com/NathanBLawrence/status/983054679167946752", "983054679167946752")</f>
        <v/>
      </c>
      <c r="B1199" s="2" t="n">
        <v>43198.7855787037</v>
      </c>
      <c r="C1199" t="n">
        <v>0</v>
      </c>
      <c r="D1199" t="n">
        <v>6</v>
      </c>
      <c r="E1199" t="s">
        <v>1198</v>
      </c>
      <c r="F1199" t="s"/>
      <c r="G1199" t="s"/>
      <c r="H1199" t="s"/>
      <c r="I1199" t="s"/>
      <c r="J1199" t="n">
        <v>-0.0343</v>
      </c>
      <c r="K1199" t="n">
        <v>0.12</v>
      </c>
      <c r="L1199" t="n">
        <v>0.765</v>
      </c>
      <c r="M1199" t="n">
        <v>0.115</v>
      </c>
    </row>
    <row r="1200" spans="1:13">
      <c r="A1200" s="1">
        <f>HYPERLINK("http://www.twitter.com/NathanBLawrence/status/983054402310365184", "983054402310365184")</f>
        <v/>
      </c>
      <c r="B1200" s="2" t="n">
        <v>43198.78481481481</v>
      </c>
      <c r="C1200" t="n">
        <v>5</v>
      </c>
      <c r="D1200" t="n">
        <v>6</v>
      </c>
      <c r="E1200" t="s">
        <v>1199</v>
      </c>
      <c r="F1200" t="s"/>
      <c r="G1200" t="s"/>
      <c r="H1200" t="s"/>
      <c r="I1200" t="s"/>
      <c r="J1200" t="n">
        <v>-0.3184</v>
      </c>
      <c r="K1200" t="n">
        <v>0.097</v>
      </c>
      <c r="L1200" t="n">
        <v>0.835</v>
      </c>
      <c r="M1200" t="n">
        <v>0.068</v>
      </c>
    </row>
    <row r="1201" spans="1:13">
      <c r="A1201" s="1">
        <f>HYPERLINK("http://www.twitter.com/NathanBLawrence/status/983051959455440896", "983051959455440896")</f>
        <v/>
      </c>
      <c r="B1201" s="2" t="n">
        <v>43198.7780787037</v>
      </c>
      <c r="C1201" t="n">
        <v>0</v>
      </c>
      <c r="D1201" t="n">
        <v>311</v>
      </c>
      <c r="E1201" t="s">
        <v>1200</v>
      </c>
      <c r="F1201">
        <f>HYPERLINK("https://video.twimg.com/ext_tw_video/982044021039271936/pu/vid/320x180/uljZTikci_1PU0hD.mp4?tag=2", "https://video.twimg.com/ext_tw_video/982044021039271936/pu/vid/320x180/uljZTikci_1PU0hD.mp4?tag=2")</f>
        <v/>
      </c>
      <c r="G1201" t="s"/>
      <c r="H1201" t="s"/>
      <c r="I1201" t="s"/>
      <c r="J1201" t="n">
        <v>-0.3182</v>
      </c>
      <c r="K1201" t="n">
        <v>0.108</v>
      </c>
      <c r="L1201" t="n">
        <v>0.892</v>
      </c>
      <c r="M1201" t="n">
        <v>0</v>
      </c>
    </row>
    <row r="1202" spans="1:13">
      <c r="A1202" s="1">
        <f>HYPERLINK("http://www.twitter.com/NathanBLawrence/status/983051470038880256", "983051470038880256")</f>
        <v/>
      </c>
      <c r="B1202" s="2" t="n">
        <v>43198.77672453703</v>
      </c>
      <c r="C1202" t="n">
        <v>0</v>
      </c>
      <c r="D1202" t="n">
        <v>10</v>
      </c>
      <c r="E1202" t="s">
        <v>1201</v>
      </c>
      <c r="F1202" t="s"/>
      <c r="G1202" t="s"/>
      <c r="H1202" t="s"/>
      <c r="I1202" t="s"/>
      <c r="J1202" t="n">
        <v>0.8478</v>
      </c>
      <c r="K1202" t="n">
        <v>0</v>
      </c>
      <c r="L1202" t="n">
        <v>0.675</v>
      </c>
      <c r="M1202" t="n">
        <v>0.325</v>
      </c>
    </row>
    <row r="1203" spans="1:13">
      <c r="A1203" s="1">
        <f>HYPERLINK("http://www.twitter.com/NathanBLawrence/status/983051391123025920", "983051391123025920")</f>
        <v/>
      </c>
      <c r="B1203" s="2" t="n">
        <v>43198.77650462963</v>
      </c>
      <c r="C1203" t="n">
        <v>0</v>
      </c>
      <c r="D1203" t="n">
        <v>23</v>
      </c>
      <c r="E1203" t="s">
        <v>1202</v>
      </c>
      <c r="F1203">
        <f>HYPERLINK("http://pbs.twimg.com/media/DaRuyO6VAAATwHq.jpg", "http://pbs.twimg.com/media/DaRuyO6VAAATwHq.jpg")</f>
        <v/>
      </c>
      <c r="G1203" t="s"/>
      <c r="H1203" t="s"/>
      <c r="I1203" t="s"/>
      <c r="J1203" t="n">
        <v>0.5574</v>
      </c>
      <c r="K1203" t="n">
        <v>0</v>
      </c>
      <c r="L1203" t="n">
        <v>0.8129999999999999</v>
      </c>
      <c r="M1203" t="n">
        <v>0.187</v>
      </c>
    </row>
    <row r="1204" spans="1:13">
      <c r="A1204" s="1">
        <f>HYPERLINK("http://www.twitter.com/NathanBLawrence/status/983046946813284352", "983046946813284352")</f>
        <v/>
      </c>
      <c r="B1204" s="2" t="n">
        <v>43198.76423611111</v>
      </c>
      <c r="C1204" t="n">
        <v>90</v>
      </c>
      <c r="D1204" t="n">
        <v>133</v>
      </c>
      <c r="E1204" t="s">
        <v>1203</v>
      </c>
      <c r="F1204" t="s"/>
      <c r="G1204" t="s"/>
      <c r="H1204" t="s"/>
      <c r="I1204" t="s"/>
      <c r="J1204" t="n">
        <v>0.8761</v>
      </c>
      <c r="K1204" t="n">
        <v>0</v>
      </c>
      <c r="L1204" t="n">
        <v>0.799</v>
      </c>
      <c r="M1204" t="n">
        <v>0.201</v>
      </c>
    </row>
    <row r="1205" spans="1:13">
      <c r="A1205" s="1">
        <f>HYPERLINK("http://www.twitter.com/NathanBLawrence/status/983035979811475456", "983035979811475456")</f>
        <v/>
      </c>
      <c r="B1205" s="2" t="n">
        <v>43198.73398148148</v>
      </c>
      <c r="C1205" t="n">
        <v>0</v>
      </c>
      <c r="D1205" t="n">
        <v>11</v>
      </c>
      <c r="E1205" t="s">
        <v>1204</v>
      </c>
      <c r="F1205" t="s"/>
      <c r="G1205" t="s"/>
      <c r="H1205" t="s"/>
      <c r="I1205" t="s"/>
      <c r="J1205" t="n">
        <v>0.6486</v>
      </c>
      <c r="K1205" t="n">
        <v>0</v>
      </c>
      <c r="L1205" t="n">
        <v>0.798</v>
      </c>
      <c r="M1205" t="n">
        <v>0.202</v>
      </c>
    </row>
    <row r="1206" spans="1:13">
      <c r="A1206" s="1">
        <f>HYPERLINK("http://www.twitter.com/NathanBLawrence/status/983034508264996864", "983034508264996864")</f>
        <v/>
      </c>
      <c r="B1206" s="2" t="n">
        <v>43198.72991898148</v>
      </c>
      <c r="C1206" t="n">
        <v>0</v>
      </c>
      <c r="D1206" t="n">
        <v>24</v>
      </c>
      <c r="E1206" t="s">
        <v>1205</v>
      </c>
      <c r="F1206" t="s"/>
      <c r="G1206" t="s"/>
      <c r="H1206" t="s"/>
      <c r="I1206" t="s"/>
      <c r="J1206" t="n">
        <v>-0.4648</v>
      </c>
      <c r="K1206" t="n">
        <v>0.144</v>
      </c>
      <c r="L1206" t="n">
        <v>0.856</v>
      </c>
      <c r="M1206" t="n">
        <v>0</v>
      </c>
    </row>
    <row r="1207" spans="1:13">
      <c r="A1207" s="1">
        <f>HYPERLINK("http://www.twitter.com/NathanBLawrence/status/983015866185994240", "983015866185994240")</f>
        <v/>
      </c>
      <c r="B1207" s="2" t="n">
        <v>43198.67847222222</v>
      </c>
      <c r="C1207" t="n">
        <v>0</v>
      </c>
      <c r="D1207" t="n">
        <v>13</v>
      </c>
      <c r="E1207" t="s">
        <v>1206</v>
      </c>
      <c r="F1207" t="s"/>
      <c r="G1207" t="s"/>
      <c r="H1207" t="s"/>
      <c r="I1207" t="s"/>
      <c r="J1207" t="n">
        <v>0</v>
      </c>
      <c r="K1207" t="n">
        <v>0</v>
      </c>
      <c r="L1207" t="n">
        <v>1</v>
      </c>
      <c r="M1207" t="n">
        <v>0</v>
      </c>
    </row>
    <row r="1208" spans="1:13">
      <c r="A1208" s="1">
        <f>HYPERLINK("http://www.twitter.com/NathanBLawrence/status/983004973217828864", "983004973217828864")</f>
        <v/>
      </c>
      <c r="B1208" s="2" t="n">
        <v>43198.64841435185</v>
      </c>
      <c r="C1208" t="n">
        <v>0</v>
      </c>
      <c r="D1208" t="n">
        <v>630</v>
      </c>
      <c r="E1208" t="s">
        <v>1207</v>
      </c>
      <c r="F1208">
        <f>HYPERLINK("http://pbs.twimg.com/media/DaQuPTYW4AAbVoJ.jpg", "http://pbs.twimg.com/media/DaQuPTYW4AAbVoJ.jpg")</f>
        <v/>
      </c>
      <c r="G1208" t="s"/>
      <c r="H1208" t="s"/>
      <c r="I1208" t="s"/>
      <c r="J1208" t="n">
        <v>-0.7717000000000001</v>
      </c>
      <c r="K1208" t="n">
        <v>0.247</v>
      </c>
      <c r="L1208" t="n">
        <v>0.707</v>
      </c>
      <c r="M1208" t="n">
        <v>0.046</v>
      </c>
    </row>
    <row r="1209" spans="1:13">
      <c r="A1209" s="1">
        <f>HYPERLINK("http://www.twitter.com/NathanBLawrence/status/983004542911557633", "983004542911557633")</f>
        <v/>
      </c>
      <c r="B1209" s="2" t="n">
        <v>43198.6472337963</v>
      </c>
      <c r="C1209" t="n">
        <v>0</v>
      </c>
      <c r="D1209" t="n">
        <v>1452</v>
      </c>
      <c r="E1209" t="s">
        <v>1208</v>
      </c>
      <c r="F1209">
        <f>HYPERLINK("http://pbs.twimg.com/media/DaRDGysU0AAsz_N.jpg", "http://pbs.twimg.com/media/DaRDGysU0AAsz_N.jpg")</f>
        <v/>
      </c>
      <c r="G1209" t="s"/>
      <c r="H1209" t="s"/>
      <c r="I1209" t="s"/>
      <c r="J1209" t="n">
        <v>0.4404</v>
      </c>
      <c r="K1209" t="n">
        <v>0</v>
      </c>
      <c r="L1209" t="n">
        <v>0.756</v>
      </c>
      <c r="M1209" t="n">
        <v>0.244</v>
      </c>
    </row>
    <row r="1210" spans="1:13">
      <c r="A1210" s="1">
        <f>HYPERLINK("http://www.twitter.com/NathanBLawrence/status/982795566211100672", "982795566211100672")</f>
        <v/>
      </c>
      <c r="B1210" s="2" t="n">
        <v>43198.07056712963</v>
      </c>
      <c r="C1210" t="n">
        <v>0</v>
      </c>
      <c r="D1210" t="n">
        <v>5219</v>
      </c>
      <c r="E1210" t="s">
        <v>1209</v>
      </c>
      <c r="F1210" t="s"/>
      <c r="G1210" t="s"/>
      <c r="H1210" t="s"/>
      <c r="I1210" t="s"/>
      <c r="J1210" t="n">
        <v>0.5994</v>
      </c>
      <c r="K1210" t="n">
        <v>0.08400000000000001</v>
      </c>
      <c r="L1210" t="n">
        <v>0.697</v>
      </c>
      <c r="M1210" t="n">
        <v>0.22</v>
      </c>
    </row>
    <row r="1211" spans="1:13">
      <c r="A1211" s="1">
        <f>HYPERLINK("http://www.twitter.com/NathanBLawrence/status/982795053541314560", "982795053541314560")</f>
        <v/>
      </c>
      <c r="B1211" s="2" t="n">
        <v>43198.06914351852</v>
      </c>
      <c r="C1211" t="n">
        <v>0</v>
      </c>
      <c r="D1211" t="n">
        <v>1152</v>
      </c>
      <c r="E1211" t="s">
        <v>1210</v>
      </c>
      <c r="F1211" t="s"/>
      <c r="G1211" t="s"/>
      <c r="H1211" t="s"/>
      <c r="I1211" t="s"/>
      <c r="J1211" t="n">
        <v>-0.6997</v>
      </c>
      <c r="K1211" t="n">
        <v>0.234</v>
      </c>
      <c r="L1211" t="n">
        <v>0.766</v>
      </c>
      <c r="M1211" t="n">
        <v>0</v>
      </c>
    </row>
    <row r="1212" spans="1:13">
      <c r="A1212" s="1">
        <f>HYPERLINK("http://www.twitter.com/NathanBLawrence/status/982720842630156289", "982720842630156289")</f>
        <v/>
      </c>
      <c r="B1212" s="2" t="n">
        <v>43197.86436342593</v>
      </c>
      <c r="C1212" t="n">
        <v>0</v>
      </c>
      <c r="D1212" t="n">
        <v>180</v>
      </c>
      <c r="E1212" t="s">
        <v>1211</v>
      </c>
      <c r="F1212" t="s"/>
      <c r="G1212" t="s"/>
      <c r="H1212" t="s"/>
      <c r="I1212" t="s"/>
      <c r="J1212" t="n">
        <v>0.6899999999999999</v>
      </c>
      <c r="K1212" t="n">
        <v>0</v>
      </c>
      <c r="L1212" t="n">
        <v>0.769</v>
      </c>
      <c r="M1212" t="n">
        <v>0.231</v>
      </c>
    </row>
    <row r="1213" spans="1:13">
      <c r="A1213" s="1">
        <f>HYPERLINK("http://www.twitter.com/NathanBLawrence/status/982672376864428033", "982672376864428033")</f>
        <v/>
      </c>
      <c r="B1213" s="2" t="n">
        <v>43197.730625</v>
      </c>
      <c r="C1213" t="n">
        <v>0</v>
      </c>
      <c r="D1213" t="n">
        <v>5</v>
      </c>
      <c r="E1213" t="s">
        <v>1212</v>
      </c>
      <c r="F1213" t="s"/>
      <c r="G1213" t="s"/>
      <c r="H1213" t="s"/>
      <c r="I1213" t="s"/>
      <c r="J1213" t="n">
        <v>0</v>
      </c>
      <c r="K1213" t="n">
        <v>0</v>
      </c>
      <c r="L1213" t="n">
        <v>1</v>
      </c>
      <c r="M1213" t="n">
        <v>0</v>
      </c>
    </row>
    <row r="1214" spans="1:13">
      <c r="A1214" s="1">
        <f>HYPERLINK("http://www.twitter.com/NathanBLawrence/status/982671880145571840", "982671880145571840")</f>
        <v/>
      </c>
      <c r="B1214" s="2" t="n">
        <v>43197.72925925926</v>
      </c>
      <c r="C1214" t="n">
        <v>0</v>
      </c>
      <c r="D1214" t="n">
        <v>15</v>
      </c>
      <c r="E1214" t="s">
        <v>1213</v>
      </c>
      <c r="F1214" t="s"/>
      <c r="G1214" t="s"/>
      <c r="H1214" t="s"/>
      <c r="I1214" t="s"/>
      <c r="J1214" t="n">
        <v>0.4404</v>
      </c>
      <c r="K1214" t="n">
        <v>0.094</v>
      </c>
      <c r="L1214" t="n">
        <v>0.73</v>
      </c>
      <c r="M1214" t="n">
        <v>0.176</v>
      </c>
    </row>
    <row r="1215" spans="1:13">
      <c r="A1215" s="1">
        <f>HYPERLINK("http://www.twitter.com/NathanBLawrence/status/982644419898863616", "982644419898863616")</f>
        <v/>
      </c>
      <c r="B1215" s="2" t="n">
        <v>43197.6534837963</v>
      </c>
      <c r="C1215" t="n">
        <v>0</v>
      </c>
      <c r="D1215" t="n">
        <v>7678</v>
      </c>
      <c r="E1215" t="s">
        <v>1214</v>
      </c>
      <c r="F1215" t="s"/>
      <c r="G1215" t="s"/>
      <c r="H1215" t="s"/>
      <c r="I1215" t="s"/>
      <c r="J1215" t="n">
        <v>0.5266999999999999</v>
      </c>
      <c r="K1215" t="n">
        <v>0</v>
      </c>
      <c r="L1215" t="n">
        <v>0.839</v>
      </c>
      <c r="M1215" t="n">
        <v>0.161</v>
      </c>
    </row>
    <row r="1216" spans="1:13">
      <c r="A1216" s="1">
        <f>HYPERLINK("http://www.twitter.com/NathanBLawrence/status/982644177992409088", "982644177992409088")</f>
        <v/>
      </c>
      <c r="B1216" s="2" t="n">
        <v>43197.6528125</v>
      </c>
      <c r="C1216" t="n">
        <v>0</v>
      </c>
      <c r="D1216" t="n">
        <v>264</v>
      </c>
      <c r="E1216" t="s">
        <v>1215</v>
      </c>
      <c r="F1216" t="s"/>
      <c r="G1216" t="s"/>
      <c r="H1216" t="s"/>
      <c r="I1216" t="s"/>
      <c r="J1216" t="n">
        <v>0</v>
      </c>
      <c r="K1216" t="n">
        <v>0</v>
      </c>
      <c r="L1216" t="n">
        <v>1</v>
      </c>
      <c r="M1216" t="n">
        <v>0</v>
      </c>
    </row>
    <row r="1217" spans="1:13">
      <c r="A1217" s="1">
        <f>HYPERLINK("http://www.twitter.com/NathanBLawrence/status/982643752308281344", "982643752308281344")</f>
        <v/>
      </c>
      <c r="B1217" s="2" t="n">
        <v>43197.65163194444</v>
      </c>
      <c r="C1217" t="n">
        <v>0</v>
      </c>
      <c r="D1217" t="n">
        <v>15</v>
      </c>
      <c r="E1217" t="s">
        <v>1216</v>
      </c>
      <c r="F1217">
        <f>HYPERLINK("http://pbs.twimg.com/media/DaKgTcKVwAApbJu.jpg", "http://pbs.twimg.com/media/DaKgTcKVwAApbJu.jpg")</f>
        <v/>
      </c>
      <c r="G1217" t="s"/>
      <c r="H1217" t="s"/>
      <c r="I1217" t="s"/>
      <c r="J1217" t="n">
        <v>0</v>
      </c>
      <c r="K1217" t="n">
        <v>0</v>
      </c>
      <c r="L1217" t="n">
        <v>1</v>
      </c>
      <c r="M1217" t="n">
        <v>0</v>
      </c>
    </row>
    <row r="1218" spans="1:13">
      <c r="A1218" s="1">
        <f>HYPERLINK("http://www.twitter.com/NathanBLawrence/status/982643662327812097", "982643662327812097")</f>
        <v/>
      </c>
      <c r="B1218" s="2" t="n">
        <v>43197.65138888889</v>
      </c>
      <c r="C1218" t="n">
        <v>0</v>
      </c>
      <c r="D1218" t="n">
        <v>124</v>
      </c>
      <c r="E1218" t="s">
        <v>1217</v>
      </c>
      <c r="F1218" t="s"/>
      <c r="G1218" t="s"/>
      <c r="H1218" t="s"/>
      <c r="I1218" t="s"/>
      <c r="J1218" t="n">
        <v>0.5719</v>
      </c>
      <c r="K1218" t="n">
        <v>0</v>
      </c>
      <c r="L1218" t="n">
        <v>0.824</v>
      </c>
      <c r="M1218" t="n">
        <v>0.176</v>
      </c>
    </row>
    <row r="1219" spans="1:13">
      <c r="A1219" s="1">
        <f>HYPERLINK("http://www.twitter.com/NathanBLawrence/status/982458711116603392", "982458711116603392")</f>
        <v/>
      </c>
      <c r="B1219" s="2" t="n">
        <v>43197.14101851852</v>
      </c>
      <c r="C1219" t="n">
        <v>0</v>
      </c>
      <c r="D1219" t="n">
        <v>2</v>
      </c>
      <c r="E1219" t="s">
        <v>1218</v>
      </c>
      <c r="F1219">
        <f>HYPERLINK("http://pbs.twimg.com/media/DZJyZIyWkAsxpbo.jpg", "http://pbs.twimg.com/media/DZJyZIyWkAsxpbo.jpg")</f>
        <v/>
      </c>
      <c r="G1219" t="s"/>
      <c r="H1219" t="s"/>
      <c r="I1219" t="s"/>
      <c r="J1219" t="n">
        <v>0</v>
      </c>
      <c r="K1219" t="n">
        <v>0</v>
      </c>
      <c r="L1219" t="n">
        <v>1</v>
      </c>
      <c r="M1219" t="n">
        <v>0</v>
      </c>
    </row>
    <row r="1220" spans="1:13">
      <c r="A1220" s="1">
        <f>HYPERLINK("http://www.twitter.com/NathanBLawrence/status/982458462092316672", "982458462092316672")</f>
        <v/>
      </c>
      <c r="B1220" s="2" t="n">
        <v>43197.14033564815</v>
      </c>
      <c r="C1220" t="n">
        <v>0</v>
      </c>
      <c r="D1220" t="n">
        <v>93</v>
      </c>
      <c r="E1220" t="s">
        <v>1219</v>
      </c>
      <c r="F1220" t="s"/>
      <c r="G1220" t="s"/>
      <c r="H1220" t="s"/>
      <c r="I1220" t="s"/>
      <c r="J1220" t="n">
        <v>-0.08069999999999999</v>
      </c>
      <c r="K1220" t="n">
        <v>0.123</v>
      </c>
      <c r="L1220" t="n">
        <v>0.767</v>
      </c>
      <c r="M1220" t="n">
        <v>0.11</v>
      </c>
    </row>
    <row r="1221" spans="1:13">
      <c r="A1221" s="1">
        <f>HYPERLINK("http://www.twitter.com/NathanBLawrence/status/982457608161452032", "982457608161452032")</f>
        <v/>
      </c>
      <c r="B1221" s="2" t="n">
        <v>43197.13797453704</v>
      </c>
      <c r="C1221" t="n">
        <v>0</v>
      </c>
      <c r="D1221" t="n">
        <v>12001</v>
      </c>
      <c r="E1221" t="s">
        <v>1220</v>
      </c>
      <c r="F1221">
        <f>HYPERLINK("https://video.twimg.com/ext_tw_video/982450548384370688/pu/vid/720x1280/QV94ypVKmMzqhV8M.mp4?tag=2", "https://video.twimg.com/ext_tw_video/982450548384370688/pu/vid/720x1280/QV94ypVKmMzqhV8M.mp4?tag=2")</f>
        <v/>
      </c>
      <c r="G1221" t="s"/>
      <c r="H1221" t="s"/>
      <c r="I1221" t="s"/>
      <c r="J1221" t="n">
        <v>0.2732</v>
      </c>
      <c r="K1221" t="n">
        <v>0</v>
      </c>
      <c r="L1221" t="n">
        <v>0.909</v>
      </c>
      <c r="M1221" t="n">
        <v>0.091</v>
      </c>
    </row>
    <row r="1222" spans="1:13">
      <c r="A1222" s="1">
        <f>HYPERLINK("http://www.twitter.com/NathanBLawrence/status/982443211003236352", "982443211003236352")</f>
        <v/>
      </c>
      <c r="B1222" s="2" t="n">
        <v>43197.09825231481</v>
      </c>
      <c r="C1222" t="n">
        <v>0</v>
      </c>
      <c r="D1222" t="n">
        <v>278</v>
      </c>
      <c r="E1222" t="s">
        <v>1221</v>
      </c>
      <c r="F1222" t="s"/>
      <c r="G1222" t="s"/>
      <c r="H1222" t="s"/>
      <c r="I1222" t="s"/>
      <c r="J1222" t="n">
        <v>0.8327</v>
      </c>
      <c r="K1222" t="n">
        <v>0</v>
      </c>
      <c r="L1222" t="n">
        <v>0.6830000000000001</v>
      </c>
      <c r="M1222" t="n">
        <v>0.317</v>
      </c>
    </row>
    <row r="1223" spans="1:13">
      <c r="A1223" s="1">
        <f>HYPERLINK("http://www.twitter.com/NathanBLawrence/status/982374443442941952", "982374443442941952")</f>
        <v/>
      </c>
      <c r="B1223" s="2" t="n">
        <v>43196.90848379629</v>
      </c>
      <c r="C1223" t="n">
        <v>0</v>
      </c>
      <c r="D1223" t="n">
        <v>88</v>
      </c>
      <c r="E1223" t="s">
        <v>1222</v>
      </c>
      <c r="F1223">
        <f>HYPERLINK("http://pbs.twimg.com/media/DaH-FK6U8AAhqoS.jpg", "http://pbs.twimg.com/media/DaH-FK6U8AAhqoS.jpg")</f>
        <v/>
      </c>
      <c r="G1223" t="s"/>
      <c r="H1223" t="s"/>
      <c r="I1223" t="s"/>
      <c r="J1223" t="n">
        <v>0.5574</v>
      </c>
      <c r="K1223" t="n">
        <v>0</v>
      </c>
      <c r="L1223" t="n">
        <v>0.845</v>
      </c>
      <c r="M1223" t="n">
        <v>0.155</v>
      </c>
    </row>
    <row r="1224" spans="1:13">
      <c r="A1224" s="1">
        <f>HYPERLINK("http://www.twitter.com/NathanBLawrence/status/982373399132590080", "982373399132590080")</f>
        <v/>
      </c>
      <c r="B1224" s="2" t="n">
        <v>43196.90560185185</v>
      </c>
      <c r="C1224" t="n">
        <v>3</v>
      </c>
      <c r="D1224" t="n">
        <v>0</v>
      </c>
      <c r="E1224" t="s">
        <v>1223</v>
      </c>
      <c r="F1224" t="s"/>
      <c r="G1224" t="s"/>
      <c r="H1224" t="s"/>
      <c r="I1224" t="s"/>
      <c r="J1224" t="n">
        <v>0.6705</v>
      </c>
      <c r="K1224" t="n">
        <v>0</v>
      </c>
      <c r="L1224" t="n">
        <v>0.621</v>
      </c>
      <c r="M1224" t="n">
        <v>0.379</v>
      </c>
    </row>
    <row r="1225" spans="1:13">
      <c r="A1225" s="1">
        <f>HYPERLINK("http://www.twitter.com/NathanBLawrence/status/982372195178614785", "982372195178614785")</f>
        <v/>
      </c>
      <c r="B1225" s="2" t="n">
        <v>43196.9022800926</v>
      </c>
      <c r="C1225" t="n">
        <v>0</v>
      </c>
      <c r="D1225" t="n">
        <v>545</v>
      </c>
      <c r="E1225" t="s">
        <v>1224</v>
      </c>
      <c r="F1225" t="s"/>
      <c r="G1225" t="s"/>
      <c r="H1225" t="s"/>
      <c r="I1225" t="s"/>
      <c r="J1225" t="n">
        <v>0.7579</v>
      </c>
      <c r="K1225" t="n">
        <v>0</v>
      </c>
      <c r="L1225" t="n">
        <v>0.745</v>
      </c>
      <c r="M1225" t="n">
        <v>0.255</v>
      </c>
    </row>
    <row r="1226" spans="1:13">
      <c r="A1226" s="1">
        <f>HYPERLINK("http://www.twitter.com/NathanBLawrence/status/982366884698972160", "982366884698972160")</f>
        <v/>
      </c>
      <c r="B1226" s="2" t="n">
        <v>43196.88762731481</v>
      </c>
      <c r="C1226" t="n">
        <v>0</v>
      </c>
      <c r="D1226" t="n">
        <v>2932</v>
      </c>
      <c r="E1226" t="s">
        <v>1225</v>
      </c>
      <c r="F1226">
        <f>HYPERLINK("http://pbs.twimg.com/media/DaDQZJHV4AA5o8x.jpg", "http://pbs.twimg.com/media/DaDQZJHV4AA5o8x.jpg")</f>
        <v/>
      </c>
      <c r="G1226" t="s"/>
      <c r="H1226" t="s"/>
      <c r="I1226" t="s"/>
      <c r="J1226" t="n">
        <v>-0.2714</v>
      </c>
      <c r="K1226" t="n">
        <v>0.169</v>
      </c>
      <c r="L1226" t="n">
        <v>0.718</v>
      </c>
      <c r="M1226" t="n">
        <v>0.113</v>
      </c>
    </row>
    <row r="1227" spans="1:13">
      <c r="A1227" s="1">
        <f>HYPERLINK("http://www.twitter.com/NathanBLawrence/status/982364368414396417", "982364368414396417")</f>
        <v/>
      </c>
      <c r="B1227" s="2" t="n">
        <v>43196.88068287037</v>
      </c>
      <c r="C1227" t="n">
        <v>0</v>
      </c>
      <c r="D1227" t="n">
        <v>174</v>
      </c>
      <c r="E1227" t="s">
        <v>1226</v>
      </c>
      <c r="F1227">
        <f>HYPERLINK("http://pbs.twimg.com/media/DaIOqxhW4AACOJc.jpg", "http://pbs.twimg.com/media/DaIOqxhW4AACOJc.jpg")</f>
        <v/>
      </c>
      <c r="G1227" t="s"/>
      <c r="H1227" t="s"/>
      <c r="I1227" t="s"/>
      <c r="J1227" t="n">
        <v>0.4753</v>
      </c>
      <c r="K1227" t="n">
        <v>0</v>
      </c>
      <c r="L1227" t="n">
        <v>0.492</v>
      </c>
      <c r="M1227" t="n">
        <v>0.508</v>
      </c>
    </row>
    <row r="1228" spans="1:13">
      <c r="A1228" s="1">
        <f>HYPERLINK("http://www.twitter.com/NathanBLawrence/status/982361187236175872", "982361187236175872")</f>
        <v/>
      </c>
      <c r="B1228" s="2" t="n">
        <v>43196.87190972222</v>
      </c>
      <c r="C1228" t="n">
        <v>0</v>
      </c>
      <c r="D1228" t="n">
        <v>11</v>
      </c>
      <c r="E1228" t="s">
        <v>1227</v>
      </c>
      <c r="F1228" t="s"/>
      <c r="G1228" t="s"/>
      <c r="H1228" t="s"/>
      <c r="I1228" t="s"/>
      <c r="J1228" t="n">
        <v>0</v>
      </c>
      <c r="K1228" t="n">
        <v>0</v>
      </c>
      <c r="L1228" t="n">
        <v>1</v>
      </c>
      <c r="M1228" t="n">
        <v>0</v>
      </c>
    </row>
    <row r="1229" spans="1:13">
      <c r="A1229" s="1">
        <f>HYPERLINK("http://www.twitter.com/NathanBLawrence/status/982312015988486144", "982312015988486144")</f>
        <v/>
      </c>
      <c r="B1229" s="2" t="n">
        <v>43196.73621527778</v>
      </c>
      <c r="C1229" t="n">
        <v>0</v>
      </c>
      <c r="D1229" t="n">
        <v>3</v>
      </c>
      <c r="E1229" t="s">
        <v>1228</v>
      </c>
      <c r="F1229">
        <f>HYPERLINK("http://pbs.twimg.com/media/DaHer8YVwAUME8U.jpg", "http://pbs.twimg.com/media/DaHer8YVwAUME8U.jpg")</f>
        <v/>
      </c>
      <c r="G1229" t="s"/>
      <c r="H1229" t="s"/>
      <c r="I1229" t="s"/>
      <c r="J1229" t="n">
        <v>0.1531</v>
      </c>
      <c r="K1229" t="n">
        <v>0.218</v>
      </c>
      <c r="L1229" t="n">
        <v>0.544</v>
      </c>
      <c r="M1229" t="n">
        <v>0.238</v>
      </c>
    </row>
    <row r="1230" spans="1:13">
      <c r="A1230" s="1">
        <f>HYPERLINK("http://www.twitter.com/NathanBLawrence/status/982310248835895296", "982310248835895296")</f>
        <v/>
      </c>
      <c r="B1230" s="2" t="n">
        <v>43196.73134259259</v>
      </c>
      <c r="C1230" t="n">
        <v>1</v>
      </c>
      <c r="D1230" t="n">
        <v>1</v>
      </c>
      <c r="E1230" t="s">
        <v>1229</v>
      </c>
      <c r="F1230" t="s"/>
      <c r="G1230" t="s"/>
      <c r="H1230" t="s"/>
      <c r="I1230" t="s"/>
      <c r="J1230" t="n">
        <v>0.508</v>
      </c>
      <c r="K1230" t="n">
        <v>0</v>
      </c>
      <c r="L1230" t="n">
        <v>0.709</v>
      </c>
      <c r="M1230" t="n">
        <v>0.291</v>
      </c>
    </row>
    <row r="1231" spans="1:13">
      <c r="A1231" s="1">
        <f>HYPERLINK("http://www.twitter.com/NathanBLawrence/status/982301319586287616", "982301319586287616")</f>
        <v/>
      </c>
      <c r="B1231" s="2" t="n">
        <v>43196.70670138889</v>
      </c>
      <c r="C1231" t="n">
        <v>0</v>
      </c>
      <c r="D1231" t="n">
        <v>76</v>
      </c>
      <c r="E1231" t="s">
        <v>1230</v>
      </c>
      <c r="F1231" t="s"/>
      <c r="G1231" t="s"/>
      <c r="H1231" t="s"/>
      <c r="I1231" t="s"/>
      <c r="J1231" t="n">
        <v>0.3182</v>
      </c>
      <c r="K1231" t="n">
        <v>0</v>
      </c>
      <c r="L1231" t="n">
        <v>0.867</v>
      </c>
      <c r="M1231" t="n">
        <v>0.133</v>
      </c>
    </row>
    <row r="1232" spans="1:13">
      <c r="A1232" s="1">
        <f>HYPERLINK("http://www.twitter.com/NathanBLawrence/status/982301123519352832", "982301123519352832")</f>
        <v/>
      </c>
      <c r="B1232" s="2" t="n">
        <v>43196.70615740741</v>
      </c>
      <c r="C1232" t="n">
        <v>0</v>
      </c>
      <c r="D1232" t="n">
        <v>6428</v>
      </c>
      <c r="E1232" t="s">
        <v>1231</v>
      </c>
      <c r="F1232" t="s"/>
      <c r="G1232" t="s"/>
      <c r="H1232" t="s"/>
      <c r="I1232" t="s"/>
      <c r="J1232" t="n">
        <v>0.7184</v>
      </c>
      <c r="K1232" t="n">
        <v>0</v>
      </c>
      <c r="L1232" t="n">
        <v>0.769</v>
      </c>
      <c r="M1232" t="n">
        <v>0.231</v>
      </c>
    </row>
    <row r="1233" spans="1:13">
      <c r="A1233" s="1">
        <f>HYPERLINK("http://www.twitter.com/NathanBLawrence/status/982300270049873920", "982300270049873920")</f>
        <v/>
      </c>
      <c r="B1233" s="2" t="n">
        <v>43196.70380787037</v>
      </c>
      <c r="C1233" t="n">
        <v>0</v>
      </c>
      <c r="D1233" t="n">
        <v>27</v>
      </c>
      <c r="E1233" t="s">
        <v>1232</v>
      </c>
      <c r="F1233">
        <f>HYPERLINK("http://pbs.twimg.com/media/DaG-mQCUwAotzV6.jpg", "http://pbs.twimg.com/media/DaG-mQCUwAotzV6.jpg")</f>
        <v/>
      </c>
      <c r="G1233">
        <f>HYPERLINK("http://pbs.twimg.com/media/DaG-mQ7U8AAJ6Wv.jpg", "http://pbs.twimg.com/media/DaG-mQ7U8AAJ6Wv.jpg")</f>
        <v/>
      </c>
      <c r="H1233">
        <f>HYPERLINK("http://pbs.twimg.com/media/DaG-mQ_UMAErV9U.jpg", "http://pbs.twimg.com/media/DaG-mQ_UMAErV9U.jpg")</f>
        <v/>
      </c>
      <c r="I1233" t="s"/>
      <c r="J1233" t="n">
        <v>0.6369</v>
      </c>
      <c r="K1233" t="n">
        <v>0</v>
      </c>
      <c r="L1233" t="n">
        <v>0.741</v>
      </c>
      <c r="M1233" t="n">
        <v>0.259</v>
      </c>
    </row>
    <row r="1234" spans="1:13">
      <c r="A1234" s="1">
        <f>HYPERLINK("http://www.twitter.com/NathanBLawrence/status/982280581105905665", "982280581105905665")</f>
        <v/>
      </c>
      <c r="B1234" s="2" t="n">
        <v>43196.64947916667</v>
      </c>
      <c r="C1234" t="n">
        <v>0</v>
      </c>
      <c r="D1234" t="n">
        <v>3495</v>
      </c>
      <c r="E1234" t="s">
        <v>1233</v>
      </c>
      <c r="F1234">
        <f>HYPERLINK("https://video.twimg.com/amplify_video/981891390815731712/vid/1280x720/xlpdDFEQtPNJEaWd.mp4?tag=2", "https://video.twimg.com/amplify_video/981891390815731712/vid/1280x720/xlpdDFEQtPNJEaWd.mp4?tag=2")</f>
        <v/>
      </c>
      <c r="G1234" t="s"/>
      <c r="H1234" t="s"/>
      <c r="I1234" t="s"/>
      <c r="J1234" t="n">
        <v>0.6327</v>
      </c>
      <c r="K1234" t="n">
        <v>0.132</v>
      </c>
      <c r="L1234" t="n">
        <v>0.62</v>
      </c>
      <c r="M1234" t="n">
        <v>0.248</v>
      </c>
    </row>
    <row r="1235" spans="1:13">
      <c r="A1235" s="1">
        <f>HYPERLINK("http://www.twitter.com/NathanBLawrence/status/982274651555442691", "982274651555442691")</f>
        <v/>
      </c>
      <c r="B1235" s="2" t="n">
        <v>43196.63311342592</v>
      </c>
      <c r="C1235" t="n">
        <v>0</v>
      </c>
      <c r="D1235" t="n">
        <v>124</v>
      </c>
      <c r="E1235" t="s">
        <v>1234</v>
      </c>
      <c r="F1235" t="s"/>
      <c r="G1235" t="s"/>
      <c r="H1235" t="s"/>
      <c r="I1235" t="s"/>
      <c r="J1235" t="n">
        <v>0</v>
      </c>
      <c r="K1235" t="n">
        <v>0</v>
      </c>
      <c r="L1235" t="n">
        <v>1</v>
      </c>
      <c r="M1235" t="n">
        <v>0</v>
      </c>
    </row>
    <row r="1236" spans="1:13">
      <c r="A1236" s="1">
        <f>HYPERLINK("http://www.twitter.com/NathanBLawrence/status/982265408320258049", "982265408320258049")</f>
        <v/>
      </c>
      <c r="B1236" s="2" t="n">
        <v>43196.60760416667</v>
      </c>
      <c r="C1236" t="n">
        <v>0</v>
      </c>
      <c r="D1236" t="n">
        <v>1</v>
      </c>
      <c r="E1236" t="s">
        <v>1235</v>
      </c>
      <c r="F1236" t="s"/>
      <c r="G1236" t="s"/>
      <c r="H1236" t="s"/>
      <c r="I1236" t="s"/>
      <c r="J1236" t="n">
        <v>0.1298</v>
      </c>
      <c r="K1236" t="n">
        <v>0.146</v>
      </c>
      <c r="L1236" t="n">
        <v>0.6870000000000001</v>
      </c>
      <c r="M1236" t="n">
        <v>0.167</v>
      </c>
    </row>
    <row r="1237" spans="1:13">
      <c r="A1237" s="1">
        <f>HYPERLINK("http://www.twitter.com/NathanBLawrence/status/982203583209734144", "982203583209734144")</f>
        <v/>
      </c>
      <c r="B1237" s="2" t="n">
        <v>43196.43700231481</v>
      </c>
      <c r="C1237" t="n">
        <v>0</v>
      </c>
      <c r="D1237" t="n">
        <v>8</v>
      </c>
      <c r="E1237" t="s">
        <v>1236</v>
      </c>
      <c r="F1237">
        <f>HYPERLINK("http://pbs.twimg.com/media/DaEXTslX4AAE4aa.jpg", "http://pbs.twimg.com/media/DaEXTslX4AAE4aa.jpg")</f>
        <v/>
      </c>
      <c r="G1237" t="s"/>
      <c r="H1237" t="s"/>
      <c r="I1237" t="s"/>
      <c r="J1237" t="n">
        <v>0.3182</v>
      </c>
      <c r="K1237" t="n">
        <v>0</v>
      </c>
      <c r="L1237" t="n">
        <v>0.909</v>
      </c>
      <c r="M1237" t="n">
        <v>0.091</v>
      </c>
    </row>
    <row r="1238" spans="1:13">
      <c r="A1238" s="1">
        <f>HYPERLINK("http://www.twitter.com/NathanBLawrence/status/982203253952659458", "982203253952659458")</f>
        <v/>
      </c>
      <c r="B1238" s="2" t="n">
        <v>43196.43608796296</v>
      </c>
      <c r="C1238" t="n">
        <v>0</v>
      </c>
      <c r="D1238" t="n">
        <v>744</v>
      </c>
      <c r="E1238" t="s">
        <v>1237</v>
      </c>
      <c r="F1238">
        <f>HYPERLINK("http://pbs.twimg.com/media/DaE7dMGUMAArL5l.jpg", "http://pbs.twimg.com/media/DaE7dMGUMAArL5l.jpg")</f>
        <v/>
      </c>
      <c r="G1238" t="s"/>
      <c r="H1238" t="s"/>
      <c r="I1238" t="s"/>
      <c r="J1238" t="n">
        <v>0.3597</v>
      </c>
      <c r="K1238" t="n">
        <v>0.104</v>
      </c>
      <c r="L1238" t="n">
        <v>0.707</v>
      </c>
      <c r="M1238" t="n">
        <v>0.188</v>
      </c>
    </row>
    <row r="1239" spans="1:13">
      <c r="A1239" s="1">
        <f>HYPERLINK("http://www.twitter.com/NathanBLawrence/status/982201795953897473", "982201795953897473")</f>
        <v/>
      </c>
      <c r="B1239" s="2" t="n">
        <v>43196.43207175926</v>
      </c>
      <c r="C1239" t="n">
        <v>0</v>
      </c>
      <c r="D1239" t="n">
        <v>91</v>
      </c>
      <c r="E1239" t="s">
        <v>1238</v>
      </c>
      <c r="F1239" t="s"/>
      <c r="G1239" t="s"/>
      <c r="H1239" t="s"/>
      <c r="I1239" t="s"/>
      <c r="J1239" t="n">
        <v>0</v>
      </c>
      <c r="K1239" t="n">
        <v>0</v>
      </c>
      <c r="L1239" t="n">
        <v>1</v>
      </c>
      <c r="M1239" t="n">
        <v>0</v>
      </c>
    </row>
    <row r="1240" spans="1:13">
      <c r="A1240" s="1">
        <f>HYPERLINK("http://www.twitter.com/NathanBLawrence/status/982200065702834177", "982200065702834177")</f>
        <v/>
      </c>
      <c r="B1240" s="2" t="n">
        <v>43196.42729166667</v>
      </c>
      <c r="C1240" t="n">
        <v>0</v>
      </c>
      <c r="D1240" t="n">
        <v>205</v>
      </c>
      <c r="E1240" t="s">
        <v>1239</v>
      </c>
      <c r="F1240" t="s"/>
      <c r="G1240" t="s"/>
      <c r="H1240" t="s"/>
      <c r="I1240" t="s"/>
      <c r="J1240" t="n">
        <v>0.5266999999999999</v>
      </c>
      <c r="K1240" t="n">
        <v>0</v>
      </c>
      <c r="L1240" t="n">
        <v>0.861</v>
      </c>
      <c r="M1240" t="n">
        <v>0.139</v>
      </c>
    </row>
    <row r="1241" spans="1:13">
      <c r="A1241" s="1">
        <f>HYPERLINK("http://www.twitter.com/NathanBLawrence/status/982182358559342594", "982182358559342594")</f>
        <v/>
      </c>
      <c r="B1241" s="2" t="n">
        <v>43196.3784375</v>
      </c>
      <c r="C1241" t="n">
        <v>0</v>
      </c>
      <c r="D1241" t="n">
        <v>1</v>
      </c>
      <c r="E1241" t="s">
        <v>1240</v>
      </c>
      <c r="F1241">
        <f>HYPERLINK("http://pbs.twimg.com/media/DYwWVSYU0AAbSsc.jpg", "http://pbs.twimg.com/media/DYwWVSYU0AAbSsc.jpg")</f>
        <v/>
      </c>
      <c r="G1241" t="s"/>
      <c r="H1241" t="s"/>
      <c r="I1241" t="s"/>
      <c r="J1241" t="n">
        <v>0</v>
      </c>
      <c r="K1241" t="n">
        <v>0</v>
      </c>
      <c r="L1241" t="n">
        <v>1</v>
      </c>
      <c r="M1241" t="n">
        <v>0</v>
      </c>
    </row>
    <row r="1242" spans="1:13">
      <c r="A1242" s="1">
        <f>HYPERLINK("http://www.twitter.com/NathanBLawrence/status/982181629396377600", "982181629396377600")</f>
        <v/>
      </c>
      <c r="B1242" s="2" t="n">
        <v>43196.37642361111</v>
      </c>
      <c r="C1242" t="n">
        <v>0</v>
      </c>
      <c r="D1242" t="n">
        <v>118</v>
      </c>
      <c r="E1242" t="s">
        <v>1241</v>
      </c>
      <c r="F1242">
        <f>HYPERLINK("http://pbs.twimg.com/media/DZNYhopW0AIQwOo.jpg", "http://pbs.twimg.com/media/DZNYhopW0AIQwOo.jpg")</f>
        <v/>
      </c>
      <c r="G1242" t="s"/>
      <c r="H1242" t="s"/>
      <c r="I1242" t="s"/>
      <c r="J1242" t="n">
        <v>0</v>
      </c>
      <c r="K1242" t="n">
        <v>0</v>
      </c>
      <c r="L1242" t="n">
        <v>1</v>
      </c>
      <c r="M1242" t="n">
        <v>0</v>
      </c>
    </row>
    <row r="1243" spans="1:13">
      <c r="A1243" s="1">
        <f>HYPERLINK("http://www.twitter.com/NathanBLawrence/status/982177390007697408", "982177390007697408")</f>
        <v/>
      </c>
      <c r="B1243" s="2" t="n">
        <v>43196.36472222222</v>
      </c>
      <c r="C1243" t="n">
        <v>0</v>
      </c>
      <c r="D1243" t="n">
        <v>56</v>
      </c>
      <c r="E1243" t="s">
        <v>1242</v>
      </c>
      <c r="F1243">
        <f>HYPERLINK("http://pbs.twimg.com/media/DaEygV5U0AI6UMH.jpg", "http://pbs.twimg.com/media/DaEygV5U0AI6UMH.jpg")</f>
        <v/>
      </c>
      <c r="G1243" t="s"/>
      <c r="H1243" t="s"/>
      <c r="I1243" t="s"/>
      <c r="J1243" t="n">
        <v>0</v>
      </c>
      <c r="K1243" t="n">
        <v>0</v>
      </c>
      <c r="L1243" t="n">
        <v>1</v>
      </c>
      <c r="M1243" t="n">
        <v>0</v>
      </c>
    </row>
    <row r="1244" spans="1:13">
      <c r="A1244" s="1">
        <f>HYPERLINK("http://www.twitter.com/NathanBLawrence/status/982174559905366023", "982174559905366023")</f>
        <v/>
      </c>
      <c r="B1244" s="2" t="n">
        <v>43196.35690972222</v>
      </c>
      <c r="C1244" t="n">
        <v>0</v>
      </c>
      <c r="D1244" t="n">
        <v>8115</v>
      </c>
      <c r="E1244" t="s">
        <v>1243</v>
      </c>
      <c r="F1244">
        <f>HYPERLINK("http://pbs.twimg.com/media/Cjc2SjCVAAAncTB.jpg", "http://pbs.twimg.com/media/Cjc2SjCVAAAncTB.jpg")</f>
        <v/>
      </c>
      <c r="G1244">
        <f>HYPERLINK("http://pbs.twimg.com/media/Cjc2SR1UYAApprj.jpg", "http://pbs.twimg.com/media/Cjc2SR1UYAApprj.jpg")</f>
        <v/>
      </c>
      <c r="H1244" t="s"/>
      <c r="I1244" t="s"/>
      <c r="J1244" t="n">
        <v>0.5904</v>
      </c>
      <c r="K1244" t="n">
        <v>0</v>
      </c>
      <c r="L1244" t="n">
        <v>0.8070000000000001</v>
      </c>
      <c r="M1244" t="n">
        <v>0.193</v>
      </c>
    </row>
    <row r="1245" spans="1:13">
      <c r="A1245" s="1">
        <f>HYPERLINK("http://www.twitter.com/NathanBLawrence/status/982099277936721920", "982099277936721920")</f>
        <v/>
      </c>
      <c r="B1245" s="2" t="n">
        <v>43196.14917824074</v>
      </c>
      <c r="C1245" t="n">
        <v>0</v>
      </c>
      <c r="D1245" t="n">
        <v>14</v>
      </c>
      <c r="E1245" t="s">
        <v>1244</v>
      </c>
      <c r="F1245">
        <f>HYPERLINK("http://pbs.twimg.com/media/DaEPfvJVAAIV_cI.jpg", "http://pbs.twimg.com/media/DaEPfvJVAAIV_cI.jpg")</f>
        <v/>
      </c>
      <c r="G1245" t="s"/>
      <c r="H1245" t="s"/>
      <c r="I1245" t="s"/>
      <c r="J1245" t="n">
        <v>0.3716</v>
      </c>
      <c r="K1245" t="n">
        <v>0</v>
      </c>
      <c r="L1245" t="n">
        <v>0.8120000000000001</v>
      </c>
      <c r="M1245" t="n">
        <v>0.188</v>
      </c>
    </row>
    <row r="1246" spans="1:13">
      <c r="A1246" s="1">
        <f>HYPERLINK("http://www.twitter.com/NathanBLawrence/status/982092752757420032", "982092752757420032")</f>
        <v/>
      </c>
      <c r="B1246" s="2" t="n">
        <v>43196.13116898148</v>
      </c>
      <c r="C1246" t="n">
        <v>0</v>
      </c>
      <c r="D1246" t="n">
        <v>186</v>
      </c>
      <c r="E1246" t="s">
        <v>1245</v>
      </c>
      <c r="F1246">
        <f>HYPERLINK("http://pbs.twimg.com/media/DaES5ooVAAE_QL9.jpg", "http://pbs.twimg.com/media/DaES5ooVAAE_QL9.jpg")</f>
        <v/>
      </c>
      <c r="G1246">
        <f>HYPERLINK("http://pbs.twimg.com/media/DaES5ooUQAEWsuN.jpg", "http://pbs.twimg.com/media/DaES5ooUQAEWsuN.jpg")</f>
        <v/>
      </c>
      <c r="H1246">
        <f>HYPERLINK("http://pbs.twimg.com/media/DaES5odU0AAcsj1.jpg", "http://pbs.twimg.com/media/DaES5odU0AAcsj1.jpg")</f>
        <v/>
      </c>
      <c r="I1246">
        <f>HYPERLINK("http://pbs.twimg.com/media/DaES5qWUMAESPFh.jpg", "http://pbs.twimg.com/media/DaES5qWUMAESPFh.jpg")</f>
        <v/>
      </c>
      <c r="J1246" t="n">
        <v>0</v>
      </c>
      <c r="K1246" t="n">
        <v>0.109</v>
      </c>
      <c r="L1246" t="n">
        <v>0.783</v>
      </c>
      <c r="M1246" t="n">
        <v>0.109</v>
      </c>
    </row>
    <row r="1247" spans="1:13">
      <c r="A1247" s="1">
        <f>HYPERLINK("http://www.twitter.com/NathanBLawrence/status/982082133585006592", "982082133585006592")</f>
        <v/>
      </c>
      <c r="B1247" s="2" t="n">
        <v>43196.10186342592</v>
      </c>
      <c r="C1247" t="n">
        <v>0</v>
      </c>
      <c r="D1247" t="n">
        <v>838</v>
      </c>
      <c r="E1247" t="s">
        <v>1246</v>
      </c>
      <c r="F1247" t="s"/>
      <c r="G1247" t="s"/>
      <c r="H1247" t="s"/>
      <c r="I1247" t="s"/>
      <c r="J1247" t="n">
        <v>0.5574</v>
      </c>
      <c r="K1247" t="n">
        <v>0</v>
      </c>
      <c r="L1247" t="n">
        <v>0.455</v>
      </c>
      <c r="M1247" t="n">
        <v>0.545</v>
      </c>
    </row>
    <row r="1248" spans="1:13">
      <c r="A1248" s="1">
        <f>HYPERLINK("http://www.twitter.com/NathanBLawrence/status/982076885017374721", "982076885017374721")</f>
        <v/>
      </c>
      <c r="B1248" s="2" t="n">
        <v>43196.08738425926</v>
      </c>
      <c r="C1248" t="n">
        <v>0</v>
      </c>
      <c r="D1248" t="n">
        <v>159</v>
      </c>
      <c r="E1248" t="s">
        <v>1247</v>
      </c>
      <c r="F1248" t="s"/>
      <c r="G1248" t="s"/>
      <c r="H1248" t="s"/>
      <c r="I1248" t="s"/>
      <c r="J1248" t="n">
        <v>0</v>
      </c>
      <c r="K1248" t="n">
        <v>0</v>
      </c>
      <c r="L1248" t="n">
        <v>1</v>
      </c>
      <c r="M1248" t="n">
        <v>0</v>
      </c>
    </row>
    <row r="1249" spans="1:13">
      <c r="A1249" s="1">
        <f>HYPERLINK("http://www.twitter.com/NathanBLawrence/status/982047630434893824", "982047630434893824")</f>
        <v/>
      </c>
      <c r="B1249" s="2" t="n">
        <v>43196.00665509259</v>
      </c>
      <c r="C1249" t="n">
        <v>0</v>
      </c>
      <c r="D1249" t="n">
        <v>333</v>
      </c>
      <c r="E1249" t="s">
        <v>1248</v>
      </c>
      <c r="F1249">
        <f>HYPERLINK("http://pbs.twimg.com/media/DaDt9MwXUAALJVB.jpg", "http://pbs.twimg.com/media/DaDt9MwXUAALJVB.jpg")</f>
        <v/>
      </c>
      <c r="G1249" t="s"/>
      <c r="H1249" t="s"/>
      <c r="I1249" t="s"/>
      <c r="J1249" t="n">
        <v>0</v>
      </c>
      <c r="K1249" t="n">
        <v>0</v>
      </c>
      <c r="L1249" t="n">
        <v>1</v>
      </c>
      <c r="M1249" t="n">
        <v>0</v>
      </c>
    </row>
    <row r="1250" spans="1:13">
      <c r="A1250" s="1">
        <f>HYPERLINK("http://www.twitter.com/NathanBLawrence/status/982045534939738112", "982045534939738112")</f>
        <v/>
      </c>
      <c r="B1250" s="2" t="n">
        <v>43196.00086805555</v>
      </c>
      <c r="C1250" t="n">
        <v>0</v>
      </c>
      <c r="D1250" t="n">
        <v>546</v>
      </c>
      <c r="E1250" t="s">
        <v>1249</v>
      </c>
      <c r="F1250" t="s"/>
      <c r="G1250" t="s"/>
      <c r="H1250" t="s"/>
      <c r="I1250" t="s"/>
      <c r="J1250" t="n">
        <v>0.3612</v>
      </c>
      <c r="K1250" t="n">
        <v>0</v>
      </c>
      <c r="L1250" t="n">
        <v>0.884</v>
      </c>
      <c r="M1250" t="n">
        <v>0.116</v>
      </c>
    </row>
    <row r="1251" spans="1:13">
      <c r="A1251" s="1">
        <f>HYPERLINK("http://www.twitter.com/NathanBLawrence/status/982027903234985986", "982027903234985986")</f>
        <v/>
      </c>
      <c r="B1251" s="2" t="n">
        <v>43195.95221064815</v>
      </c>
      <c r="C1251" t="n">
        <v>0</v>
      </c>
      <c r="D1251" t="n">
        <v>373</v>
      </c>
      <c r="E1251" t="s">
        <v>1250</v>
      </c>
      <c r="F1251">
        <f>HYPERLINK("https://video.twimg.com/amplify_video/978677397066305536/vid/178x320/dN5RZwI4OhPNiSdx.mp4", "https://video.twimg.com/amplify_video/978677397066305536/vid/178x320/dN5RZwI4OhPNiSdx.mp4")</f>
        <v/>
      </c>
      <c r="G1251" t="s"/>
      <c r="H1251" t="s"/>
      <c r="I1251" t="s"/>
      <c r="J1251" t="n">
        <v>-0.6705</v>
      </c>
      <c r="K1251" t="n">
        <v>0.234</v>
      </c>
      <c r="L1251" t="n">
        <v>0.766</v>
      </c>
      <c r="M1251" t="n">
        <v>0</v>
      </c>
    </row>
    <row r="1252" spans="1:13">
      <c r="A1252" s="1">
        <f>HYPERLINK("http://www.twitter.com/NathanBLawrence/status/982027381841055748", "982027381841055748")</f>
        <v/>
      </c>
      <c r="B1252" s="2" t="n">
        <v>43195.95077546296</v>
      </c>
      <c r="C1252" t="n">
        <v>0</v>
      </c>
      <c r="D1252" t="n">
        <v>19</v>
      </c>
      <c r="E1252" t="s">
        <v>1251</v>
      </c>
      <c r="F1252">
        <f>HYPERLINK("http://pbs.twimg.com/media/DaBpHBSUwAIK9LQ.jpg", "http://pbs.twimg.com/media/DaBpHBSUwAIK9LQ.jpg")</f>
        <v/>
      </c>
      <c r="G1252" t="s"/>
      <c r="H1252" t="s"/>
      <c r="I1252" t="s"/>
      <c r="J1252" t="n">
        <v>-0.7003</v>
      </c>
      <c r="K1252" t="n">
        <v>0.234</v>
      </c>
      <c r="L1252" t="n">
        <v>0.766</v>
      </c>
      <c r="M1252" t="n">
        <v>0</v>
      </c>
    </row>
    <row r="1253" spans="1:13">
      <c r="A1253" s="1">
        <f>HYPERLINK("http://www.twitter.com/NathanBLawrence/status/982024007989059584", "982024007989059584")</f>
        <v/>
      </c>
      <c r="B1253" s="2" t="n">
        <v>43195.9414699074</v>
      </c>
      <c r="C1253" t="n">
        <v>0</v>
      </c>
      <c r="D1253" t="n">
        <v>154</v>
      </c>
      <c r="E1253" t="s">
        <v>1252</v>
      </c>
      <c r="F1253">
        <f>HYPERLINK("http://pbs.twimg.com/media/DZ3HwCiX0AAPRgE.jpg", "http://pbs.twimg.com/media/DZ3HwCiX0AAPRgE.jpg")</f>
        <v/>
      </c>
      <c r="G1253" t="s"/>
      <c r="H1253" t="s"/>
      <c r="I1253" t="s"/>
      <c r="J1253" t="n">
        <v>0</v>
      </c>
      <c r="K1253" t="n">
        <v>0</v>
      </c>
      <c r="L1253" t="n">
        <v>1</v>
      </c>
      <c r="M1253" t="n">
        <v>0</v>
      </c>
    </row>
    <row r="1254" spans="1:13">
      <c r="A1254" s="1">
        <f>HYPERLINK("http://www.twitter.com/NathanBLawrence/status/981951019549626375", "981951019549626375")</f>
        <v/>
      </c>
      <c r="B1254" s="2" t="n">
        <v>43195.74005787037</v>
      </c>
      <c r="C1254" t="n">
        <v>0</v>
      </c>
      <c r="D1254" t="n">
        <v>6311</v>
      </c>
      <c r="E1254" t="s">
        <v>1253</v>
      </c>
      <c r="F1254" t="s"/>
      <c r="G1254" t="s"/>
      <c r="H1254" t="s"/>
      <c r="I1254" t="s"/>
      <c r="J1254" t="n">
        <v>-0.6908</v>
      </c>
      <c r="K1254" t="n">
        <v>0.224</v>
      </c>
      <c r="L1254" t="n">
        <v>0.695</v>
      </c>
      <c r="M1254" t="n">
        <v>0.082</v>
      </c>
    </row>
    <row r="1255" spans="1:13">
      <c r="A1255" s="1">
        <f>HYPERLINK("http://www.twitter.com/NathanBLawrence/status/981951003858800640", "981951003858800640")</f>
        <v/>
      </c>
      <c r="B1255" s="2" t="n">
        <v>43195.74001157407</v>
      </c>
      <c r="C1255" t="n">
        <v>0</v>
      </c>
      <c r="D1255" t="n">
        <v>10252</v>
      </c>
      <c r="E1255" t="s">
        <v>1254</v>
      </c>
      <c r="F1255" t="s"/>
      <c r="G1255" t="s"/>
      <c r="H1255" t="s"/>
      <c r="I1255" t="s"/>
      <c r="J1255" t="n">
        <v>0</v>
      </c>
      <c r="K1255" t="n">
        <v>0</v>
      </c>
      <c r="L1255" t="n">
        <v>1</v>
      </c>
      <c r="M1255" t="n">
        <v>0</v>
      </c>
    </row>
    <row r="1256" spans="1:13">
      <c r="A1256" s="1">
        <f>HYPERLINK("http://www.twitter.com/NathanBLawrence/status/981949529254752256", "981949529254752256")</f>
        <v/>
      </c>
      <c r="B1256" s="2" t="n">
        <v>43195.73594907407</v>
      </c>
      <c r="C1256" t="n">
        <v>0</v>
      </c>
      <c r="D1256" t="n">
        <v>3377</v>
      </c>
      <c r="E1256" t="s">
        <v>1255</v>
      </c>
      <c r="F1256" t="s"/>
      <c r="G1256" t="s"/>
      <c r="H1256" t="s"/>
      <c r="I1256" t="s"/>
      <c r="J1256" t="n">
        <v>0.2023</v>
      </c>
      <c r="K1256" t="n">
        <v>0.08799999999999999</v>
      </c>
      <c r="L1256" t="n">
        <v>0.792</v>
      </c>
      <c r="M1256" t="n">
        <v>0.121</v>
      </c>
    </row>
    <row r="1257" spans="1:13">
      <c r="A1257" s="1">
        <f>HYPERLINK("http://www.twitter.com/NathanBLawrence/status/981949200861728768", "981949200861728768")</f>
        <v/>
      </c>
      <c r="B1257" s="2" t="n">
        <v>43195.73503472222</v>
      </c>
      <c r="C1257" t="n">
        <v>2</v>
      </c>
      <c r="D1257" t="n">
        <v>0</v>
      </c>
      <c r="E1257" t="s">
        <v>1256</v>
      </c>
      <c r="F1257" t="s"/>
      <c r="G1257" t="s"/>
      <c r="H1257" t="s"/>
      <c r="I1257" t="s"/>
      <c r="J1257" t="n">
        <v>0.8721</v>
      </c>
      <c r="K1257" t="n">
        <v>0</v>
      </c>
      <c r="L1257" t="n">
        <v>0.68</v>
      </c>
      <c r="M1257" t="n">
        <v>0.32</v>
      </c>
    </row>
    <row r="1258" spans="1:13">
      <c r="A1258" s="1">
        <f>HYPERLINK("http://www.twitter.com/NathanBLawrence/status/981850141677191170", "981850141677191170")</f>
        <v/>
      </c>
      <c r="B1258" s="2" t="n">
        <v>43195.46168981482</v>
      </c>
      <c r="C1258" t="n">
        <v>0</v>
      </c>
      <c r="D1258" t="n">
        <v>1550</v>
      </c>
      <c r="E1258" t="s">
        <v>1257</v>
      </c>
      <c r="F1258">
        <f>HYPERLINK("http://pbs.twimg.com/media/DZ9i1RjWAAA4wQ9.jpg", "http://pbs.twimg.com/media/DZ9i1RjWAAA4wQ9.jpg")</f>
        <v/>
      </c>
      <c r="G1258" t="s"/>
      <c r="H1258" t="s"/>
      <c r="I1258" t="s"/>
      <c r="J1258" t="n">
        <v>0</v>
      </c>
      <c r="K1258" t="n">
        <v>0</v>
      </c>
      <c r="L1258" t="n">
        <v>1</v>
      </c>
      <c r="M1258" t="n">
        <v>0</v>
      </c>
    </row>
    <row r="1259" spans="1:13">
      <c r="A1259" s="1">
        <f>HYPERLINK("http://www.twitter.com/NathanBLawrence/status/981838741139611648", "981838741139611648")</f>
        <v/>
      </c>
      <c r="B1259" s="2" t="n">
        <v>43195.43023148148</v>
      </c>
      <c r="C1259" t="n">
        <v>0</v>
      </c>
      <c r="D1259" t="n">
        <v>358</v>
      </c>
      <c r="E1259" t="s">
        <v>1258</v>
      </c>
      <c r="F1259" t="s"/>
      <c r="G1259" t="s"/>
      <c r="H1259" t="s"/>
      <c r="I1259" t="s"/>
      <c r="J1259" t="n">
        <v>-0.8176</v>
      </c>
      <c r="K1259" t="n">
        <v>0.321</v>
      </c>
      <c r="L1259" t="n">
        <v>0.679</v>
      </c>
      <c r="M1259" t="n">
        <v>0</v>
      </c>
    </row>
    <row r="1260" spans="1:13">
      <c r="A1260" s="1">
        <f>HYPERLINK("http://www.twitter.com/NathanBLawrence/status/981835459339923456", "981835459339923456")</f>
        <v/>
      </c>
      <c r="B1260" s="2" t="n">
        <v>43195.42116898148</v>
      </c>
      <c r="C1260" t="n">
        <v>0</v>
      </c>
      <c r="D1260" t="n">
        <v>449</v>
      </c>
      <c r="E1260" t="s">
        <v>1259</v>
      </c>
      <c r="F1260">
        <f>HYPERLINK("http://pbs.twimg.com/media/DZ9SDBqXkAEnG3t.jpg", "http://pbs.twimg.com/media/DZ9SDBqXkAEnG3t.jpg")</f>
        <v/>
      </c>
      <c r="G1260" t="s"/>
      <c r="H1260" t="s"/>
      <c r="I1260" t="s"/>
      <c r="J1260" t="n">
        <v>0</v>
      </c>
      <c r="K1260" t="n">
        <v>0</v>
      </c>
      <c r="L1260" t="n">
        <v>1</v>
      </c>
      <c r="M1260" t="n">
        <v>0</v>
      </c>
    </row>
    <row r="1261" spans="1:13">
      <c r="A1261" s="1">
        <f>HYPERLINK("http://www.twitter.com/NathanBLawrence/status/981745167244972032", "981745167244972032")</f>
        <v/>
      </c>
      <c r="B1261" s="2" t="n">
        <v>43195.17201388889</v>
      </c>
      <c r="C1261" t="n">
        <v>0</v>
      </c>
      <c r="D1261" t="n">
        <v>1071</v>
      </c>
      <c r="E1261" t="s">
        <v>1260</v>
      </c>
      <c r="F1261">
        <f>HYPERLINK("http://pbs.twimg.com/media/DZ_NxIDXcAIsRnA.jpg", "http://pbs.twimg.com/media/DZ_NxIDXcAIsRnA.jpg")</f>
        <v/>
      </c>
      <c r="G1261">
        <f>HYPERLINK("http://pbs.twimg.com/media/DZ_NxIIXcAE5hpg.jpg", "http://pbs.twimg.com/media/DZ_NxIIXcAE5hpg.jpg")</f>
        <v/>
      </c>
      <c r="H1261">
        <f>HYPERLINK("http://pbs.twimg.com/media/DZ_NxILXUAAlqmI.jpg", "http://pbs.twimg.com/media/DZ_NxILXUAAlqmI.jpg")</f>
        <v/>
      </c>
      <c r="I1261" t="s"/>
      <c r="J1261" t="n">
        <v>0</v>
      </c>
      <c r="K1261" t="n">
        <v>0</v>
      </c>
      <c r="L1261" t="n">
        <v>1</v>
      </c>
      <c r="M1261" t="n">
        <v>0</v>
      </c>
    </row>
    <row r="1262" spans="1:13">
      <c r="A1262" s="1">
        <f>HYPERLINK("http://www.twitter.com/NathanBLawrence/status/981732939917602818", "981732939917602818")</f>
        <v/>
      </c>
      <c r="B1262" s="2" t="n">
        <v>43195.13827546296</v>
      </c>
      <c r="C1262" t="n">
        <v>0</v>
      </c>
      <c r="D1262" t="n">
        <v>4</v>
      </c>
      <c r="E1262" t="s">
        <v>1261</v>
      </c>
      <c r="F1262" t="s"/>
      <c r="G1262" t="s"/>
      <c r="H1262" t="s"/>
      <c r="I1262" t="s"/>
      <c r="J1262" t="n">
        <v>-0.34</v>
      </c>
      <c r="K1262" t="n">
        <v>0.112</v>
      </c>
      <c r="L1262" t="n">
        <v>0.888</v>
      </c>
      <c r="M1262" t="n">
        <v>0</v>
      </c>
    </row>
    <row r="1263" spans="1:13">
      <c r="A1263" s="1">
        <f>HYPERLINK("http://www.twitter.com/NathanBLawrence/status/981727792931966976", "981727792931966976")</f>
        <v/>
      </c>
      <c r="B1263" s="2" t="n">
        <v>43195.12407407408</v>
      </c>
      <c r="C1263" t="n">
        <v>0</v>
      </c>
      <c r="D1263" t="n">
        <v>725</v>
      </c>
      <c r="E1263" t="s">
        <v>1262</v>
      </c>
      <c r="F1263">
        <f>HYPERLINK("http://pbs.twimg.com/media/DZ-vkEnW4AAKGSD.jpg", "http://pbs.twimg.com/media/DZ-vkEnW4AAKGSD.jpg")</f>
        <v/>
      </c>
      <c r="G1263" t="s"/>
      <c r="H1263" t="s"/>
      <c r="I1263" t="s"/>
      <c r="J1263" t="n">
        <v>0.5994</v>
      </c>
      <c r="K1263" t="n">
        <v>0</v>
      </c>
      <c r="L1263" t="n">
        <v>0.754</v>
      </c>
      <c r="M1263" t="n">
        <v>0.246</v>
      </c>
    </row>
    <row r="1264" spans="1:13">
      <c r="A1264" s="1">
        <f>HYPERLINK("http://www.twitter.com/NathanBLawrence/status/981721474955403264", "981721474955403264")</f>
        <v/>
      </c>
      <c r="B1264" s="2" t="n">
        <v>43195.10663194444</v>
      </c>
      <c r="C1264" t="n">
        <v>0</v>
      </c>
      <c r="D1264" t="n">
        <v>38</v>
      </c>
      <c r="E1264" t="s">
        <v>1263</v>
      </c>
      <c r="F1264">
        <f>HYPERLINK("http://pbs.twimg.com/media/DZ_CD7uWAAAqGqR.jpg", "http://pbs.twimg.com/media/DZ_CD7uWAAAqGqR.jpg")</f>
        <v/>
      </c>
      <c r="G1264" t="s"/>
      <c r="H1264" t="s"/>
      <c r="I1264" t="s"/>
      <c r="J1264" t="n">
        <v>0.8270999999999999</v>
      </c>
      <c r="K1264" t="n">
        <v>0</v>
      </c>
      <c r="L1264" t="n">
        <v>0.675</v>
      </c>
      <c r="M1264" t="n">
        <v>0.325</v>
      </c>
    </row>
    <row r="1265" spans="1:13">
      <c r="A1265" s="1">
        <f>HYPERLINK("http://www.twitter.com/NathanBLawrence/status/981687928249372672", "981687928249372672")</f>
        <v/>
      </c>
      <c r="B1265" s="2" t="n">
        <v>43195.0140625</v>
      </c>
      <c r="C1265" t="n">
        <v>1</v>
      </c>
      <c r="D1265" t="n">
        <v>0</v>
      </c>
      <c r="E1265" t="s">
        <v>1264</v>
      </c>
      <c r="F1265" t="s"/>
      <c r="G1265" t="s"/>
      <c r="H1265" t="s"/>
      <c r="I1265" t="s"/>
      <c r="J1265" t="n">
        <v>0.2023</v>
      </c>
      <c r="K1265" t="n">
        <v>0</v>
      </c>
      <c r="L1265" t="n">
        <v>0.893</v>
      </c>
      <c r="M1265" t="n">
        <v>0.107</v>
      </c>
    </row>
    <row r="1266" spans="1:13">
      <c r="A1266" s="1">
        <f>HYPERLINK("http://www.twitter.com/NathanBLawrence/status/981685497188814859", "981685497188814859")</f>
        <v/>
      </c>
      <c r="B1266" s="2" t="n">
        <v>43195.00736111111</v>
      </c>
      <c r="C1266" t="n">
        <v>1</v>
      </c>
      <c r="D1266" t="n">
        <v>0</v>
      </c>
      <c r="E1266" t="s">
        <v>1265</v>
      </c>
      <c r="F1266" t="s"/>
      <c r="G1266" t="s"/>
      <c r="H1266" t="s"/>
      <c r="I1266" t="s"/>
      <c r="J1266" t="n">
        <v>0.4019</v>
      </c>
      <c r="K1266" t="n">
        <v>0</v>
      </c>
      <c r="L1266" t="n">
        <v>0.803</v>
      </c>
      <c r="M1266" t="n">
        <v>0.197</v>
      </c>
    </row>
    <row r="1267" spans="1:13">
      <c r="A1267" s="1">
        <f>HYPERLINK("http://www.twitter.com/NathanBLawrence/status/981679215899824128", "981679215899824128")</f>
        <v/>
      </c>
      <c r="B1267" s="2" t="n">
        <v>43194.99002314815</v>
      </c>
      <c r="C1267" t="n">
        <v>2</v>
      </c>
      <c r="D1267" t="n">
        <v>0</v>
      </c>
      <c r="E1267" t="s">
        <v>1266</v>
      </c>
      <c r="F1267" t="s"/>
      <c r="G1267" t="s"/>
      <c r="H1267" t="s"/>
      <c r="I1267" t="s"/>
      <c r="J1267" t="n">
        <v>0</v>
      </c>
      <c r="K1267" t="n">
        <v>0</v>
      </c>
      <c r="L1267" t="n">
        <v>1</v>
      </c>
      <c r="M1267" t="n">
        <v>0</v>
      </c>
    </row>
    <row r="1268" spans="1:13">
      <c r="A1268" s="1">
        <f>HYPERLINK("http://www.twitter.com/NathanBLawrence/status/981670334674931713", "981670334674931713")</f>
        <v/>
      </c>
      <c r="B1268" s="2" t="n">
        <v>43194.96550925926</v>
      </c>
      <c r="C1268" t="n">
        <v>0</v>
      </c>
      <c r="D1268" t="n">
        <v>3</v>
      </c>
      <c r="E1268" t="s">
        <v>1267</v>
      </c>
      <c r="F1268">
        <f>HYPERLINK("http://pbs.twimg.com/media/DZ-U1EpU8AAHDnJ.jpg", "http://pbs.twimg.com/media/DZ-U1EpU8AAHDnJ.jpg")</f>
        <v/>
      </c>
      <c r="G1268" t="s"/>
      <c r="H1268" t="s"/>
      <c r="I1268" t="s"/>
      <c r="J1268" t="n">
        <v>-0.34</v>
      </c>
      <c r="K1268" t="n">
        <v>0.146</v>
      </c>
      <c r="L1268" t="n">
        <v>0.854</v>
      </c>
      <c r="M1268" t="n">
        <v>0</v>
      </c>
    </row>
    <row r="1269" spans="1:13">
      <c r="A1269" s="1">
        <f>HYPERLINK("http://www.twitter.com/NathanBLawrence/status/981636523593478144", "981636523593478144")</f>
        <v/>
      </c>
      <c r="B1269" s="2" t="n">
        <v>43194.87221064815</v>
      </c>
      <c r="C1269" t="n">
        <v>0</v>
      </c>
      <c r="D1269" t="n">
        <v>19</v>
      </c>
      <c r="E1269" t="s">
        <v>1268</v>
      </c>
      <c r="F1269">
        <f>HYPERLINK("http://pbs.twimg.com/media/DZ92nuaWAAE5eSs.jpg", "http://pbs.twimg.com/media/DZ92nuaWAAE5eSs.jpg")</f>
        <v/>
      </c>
      <c r="G1269" t="s"/>
      <c r="H1269" t="s"/>
      <c r="I1269" t="s"/>
      <c r="J1269" t="n">
        <v>0</v>
      </c>
      <c r="K1269" t="n">
        <v>0</v>
      </c>
      <c r="L1269" t="n">
        <v>1</v>
      </c>
      <c r="M1269" t="n">
        <v>0</v>
      </c>
    </row>
    <row r="1270" spans="1:13">
      <c r="A1270" s="1">
        <f>HYPERLINK("http://www.twitter.com/NathanBLawrence/status/981636501309149184", "981636501309149184")</f>
        <v/>
      </c>
      <c r="B1270" s="2" t="n">
        <v>43194.87215277777</v>
      </c>
      <c r="C1270" t="n">
        <v>0</v>
      </c>
      <c r="D1270" t="n">
        <v>35</v>
      </c>
      <c r="E1270" t="s">
        <v>1269</v>
      </c>
      <c r="F1270" t="s"/>
      <c r="G1270" t="s"/>
      <c r="H1270" t="s"/>
      <c r="I1270" t="s"/>
      <c r="J1270" t="n">
        <v>0</v>
      </c>
      <c r="K1270" t="n">
        <v>0</v>
      </c>
      <c r="L1270" t="n">
        <v>1</v>
      </c>
      <c r="M1270" t="n">
        <v>0</v>
      </c>
    </row>
    <row r="1271" spans="1:13">
      <c r="A1271" s="1">
        <f>HYPERLINK("http://www.twitter.com/NathanBLawrence/status/981603179111632897", "981603179111632897")</f>
        <v/>
      </c>
      <c r="B1271" s="2" t="n">
        <v>43194.78019675926</v>
      </c>
      <c r="C1271" t="n">
        <v>0</v>
      </c>
      <c r="D1271" t="n">
        <v>1835</v>
      </c>
      <c r="E1271" t="s">
        <v>1270</v>
      </c>
      <c r="F1271">
        <f>HYPERLINK("https://video.twimg.com/amplify_video/981007478149263360/vid/1280x720/sWp6YnRc8P89uTBM.mp4?tag=2", "https://video.twimg.com/amplify_video/981007478149263360/vid/1280x720/sWp6YnRc8P89uTBM.mp4?tag=2")</f>
        <v/>
      </c>
      <c r="G1271" t="s"/>
      <c r="H1271" t="s"/>
      <c r="I1271" t="s"/>
      <c r="J1271" t="n">
        <v>-0.2146</v>
      </c>
      <c r="K1271" t="n">
        <v>0.081</v>
      </c>
      <c r="L1271" t="n">
        <v>0.919</v>
      </c>
      <c r="M1271" t="n">
        <v>0</v>
      </c>
    </row>
    <row r="1272" spans="1:13">
      <c r="A1272" s="1">
        <f>HYPERLINK("http://www.twitter.com/NathanBLawrence/status/981602222927642624", "981602222927642624")</f>
        <v/>
      </c>
      <c r="B1272" s="2" t="n">
        <v>43194.77755787037</v>
      </c>
      <c r="C1272" t="n">
        <v>6</v>
      </c>
      <c r="D1272" t="n">
        <v>9</v>
      </c>
      <c r="E1272" t="s">
        <v>1271</v>
      </c>
      <c r="F1272">
        <f>HYPERLINK("http://pbs.twimg.com/media/DZ9Z_ULWsAICt3H.jpg", "http://pbs.twimg.com/media/DZ9Z_ULWsAICt3H.jpg")</f>
        <v/>
      </c>
      <c r="G1272" t="s"/>
      <c r="H1272" t="s"/>
      <c r="I1272" t="s"/>
      <c r="J1272" t="n">
        <v>-0.5306999999999999</v>
      </c>
      <c r="K1272" t="n">
        <v>0.179</v>
      </c>
      <c r="L1272" t="n">
        <v>0.736</v>
      </c>
      <c r="M1272" t="n">
        <v>0.08500000000000001</v>
      </c>
    </row>
    <row r="1273" spans="1:13">
      <c r="A1273" s="1">
        <f>HYPERLINK("http://www.twitter.com/NathanBLawrence/status/981597294423363585", "981597294423363585")</f>
        <v/>
      </c>
      <c r="B1273" s="2" t="n">
        <v>43194.76395833334</v>
      </c>
      <c r="C1273" t="n">
        <v>0</v>
      </c>
      <c r="D1273" t="n">
        <v>2384</v>
      </c>
      <c r="E1273" t="s">
        <v>1272</v>
      </c>
      <c r="F1273">
        <f>HYPERLINK("http://pbs.twimg.com/media/DZ4_2NWUQAATYJy.jpg", "http://pbs.twimg.com/media/DZ4_2NWUQAATYJy.jpg")</f>
        <v/>
      </c>
      <c r="G1273" t="s"/>
      <c r="H1273" t="s"/>
      <c r="I1273" t="s"/>
      <c r="J1273" t="n">
        <v>-0.3612</v>
      </c>
      <c r="K1273" t="n">
        <v>0.106</v>
      </c>
      <c r="L1273" t="n">
        <v>0.894</v>
      </c>
      <c r="M1273" t="n">
        <v>0</v>
      </c>
    </row>
    <row r="1274" spans="1:13">
      <c r="A1274" s="1">
        <f>HYPERLINK("http://www.twitter.com/NathanBLawrence/status/981596311215624194", "981596311215624194")</f>
        <v/>
      </c>
      <c r="B1274" s="2" t="n">
        <v>43194.76125</v>
      </c>
      <c r="C1274" t="n">
        <v>0</v>
      </c>
      <c r="D1274" t="n">
        <v>37</v>
      </c>
      <c r="E1274" t="s">
        <v>1273</v>
      </c>
      <c r="F1274">
        <f>HYPERLINK("http://pbs.twimg.com/media/DZ8QotTV4AIX724.jpg", "http://pbs.twimg.com/media/DZ8QotTV4AIX724.jpg")</f>
        <v/>
      </c>
      <c r="G1274" t="s"/>
      <c r="H1274" t="s"/>
      <c r="I1274" t="s"/>
      <c r="J1274" t="n">
        <v>0</v>
      </c>
      <c r="K1274" t="n">
        <v>0</v>
      </c>
      <c r="L1274" t="n">
        <v>1</v>
      </c>
      <c r="M1274" t="n">
        <v>0</v>
      </c>
    </row>
    <row r="1275" spans="1:13">
      <c r="A1275" s="1">
        <f>HYPERLINK("http://www.twitter.com/NathanBLawrence/status/981596092046479361", "981596092046479361")</f>
        <v/>
      </c>
      <c r="B1275" s="2" t="n">
        <v>43194.76064814815</v>
      </c>
      <c r="C1275" t="n">
        <v>0</v>
      </c>
      <c r="D1275" t="n">
        <v>103</v>
      </c>
      <c r="E1275" t="s">
        <v>1274</v>
      </c>
      <c r="F1275">
        <f>HYPERLINK("http://pbs.twimg.com/media/DZ7604oW0AExbKT.jpg", "http://pbs.twimg.com/media/DZ7604oW0AExbKT.jpg")</f>
        <v/>
      </c>
      <c r="G1275" t="s"/>
      <c r="H1275" t="s"/>
      <c r="I1275" t="s"/>
      <c r="J1275" t="n">
        <v>0</v>
      </c>
      <c r="K1275" t="n">
        <v>0</v>
      </c>
      <c r="L1275" t="n">
        <v>1</v>
      </c>
      <c r="M1275" t="n">
        <v>0</v>
      </c>
    </row>
    <row r="1276" spans="1:13">
      <c r="A1276" s="1">
        <f>HYPERLINK("http://www.twitter.com/NathanBLawrence/status/981594887140335616", "981594887140335616")</f>
        <v/>
      </c>
      <c r="B1276" s="2" t="n">
        <v>43194.75731481481</v>
      </c>
      <c r="C1276" t="n">
        <v>0</v>
      </c>
      <c r="D1276" t="n">
        <v>14</v>
      </c>
      <c r="E1276" t="s">
        <v>1275</v>
      </c>
      <c r="F1276" t="s"/>
      <c r="G1276" t="s"/>
      <c r="H1276" t="s"/>
      <c r="I1276" t="s"/>
      <c r="J1276" t="n">
        <v>0.6249</v>
      </c>
      <c r="K1276" t="n">
        <v>0</v>
      </c>
      <c r="L1276" t="n">
        <v>0.6830000000000001</v>
      </c>
      <c r="M1276" t="n">
        <v>0.317</v>
      </c>
    </row>
    <row r="1277" spans="1:13">
      <c r="A1277" s="1">
        <f>HYPERLINK("http://www.twitter.com/NathanBLawrence/status/981594298998288384", "981594298998288384")</f>
        <v/>
      </c>
      <c r="B1277" s="2" t="n">
        <v>43194.75569444444</v>
      </c>
      <c r="C1277" t="n">
        <v>0</v>
      </c>
      <c r="D1277" t="n">
        <v>6</v>
      </c>
      <c r="E1277" t="s">
        <v>1276</v>
      </c>
      <c r="F1277" t="s"/>
      <c r="G1277" t="s"/>
      <c r="H1277" t="s"/>
      <c r="I1277" t="s"/>
      <c r="J1277" t="n">
        <v>-0.296</v>
      </c>
      <c r="K1277" t="n">
        <v>0.216</v>
      </c>
      <c r="L1277" t="n">
        <v>0.784</v>
      </c>
      <c r="M1277" t="n">
        <v>0</v>
      </c>
    </row>
    <row r="1278" spans="1:13">
      <c r="A1278" s="1">
        <f>HYPERLINK("http://www.twitter.com/NathanBLawrence/status/981558603600494595", "981558603600494595")</f>
        <v/>
      </c>
      <c r="B1278" s="2" t="n">
        <v>43194.65719907408</v>
      </c>
      <c r="C1278" t="n">
        <v>0</v>
      </c>
      <c r="D1278" t="n">
        <v>21022</v>
      </c>
      <c r="E1278" t="s">
        <v>1277</v>
      </c>
      <c r="F1278">
        <f>HYPERLINK("https://video.twimg.com/amplify_video/981257234335215616/vid/1280x720/MEzqVgSI8tfz-NnW.mp4?tag=2", "https://video.twimg.com/amplify_video/981257234335215616/vid/1280x720/MEzqVgSI8tfz-NnW.mp4?tag=2")</f>
        <v/>
      </c>
      <c r="G1278" t="s"/>
      <c r="H1278" t="s"/>
      <c r="I1278" t="s"/>
      <c r="J1278" t="n">
        <v>0.5610000000000001</v>
      </c>
      <c r="K1278" t="n">
        <v>0</v>
      </c>
      <c r="L1278" t="n">
        <v>0.6879999999999999</v>
      </c>
      <c r="M1278" t="n">
        <v>0.312</v>
      </c>
    </row>
    <row r="1279" spans="1:13">
      <c r="A1279" s="1">
        <f>HYPERLINK("http://www.twitter.com/NathanBLawrence/status/981558263882936320", "981558263882936320")</f>
        <v/>
      </c>
      <c r="B1279" s="2" t="n">
        <v>43194.65626157408</v>
      </c>
      <c r="C1279" t="n">
        <v>0</v>
      </c>
      <c r="D1279" t="n">
        <v>1449</v>
      </c>
      <c r="E1279" t="s">
        <v>1278</v>
      </c>
      <c r="F1279">
        <f>HYPERLINK("http://pbs.twimg.com/media/DTXtImNXcAA-1LD.jpg", "http://pbs.twimg.com/media/DTXtImNXcAA-1LD.jpg")</f>
        <v/>
      </c>
      <c r="G1279" t="s"/>
      <c r="H1279" t="s"/>
      <c r="I1279" t="s"/>
      <c r="J1279" t="n">
        <v>0.6597</v>
      </c>
      <c r="K1279" t="n">
        <v>0</v>
      </c>
      <c r="L1279" t="n">
        <v>0.707</v>
      </c>
      <c r="M1279" t="n">
        <v>0.293</v>
      </c>
    </row>
    <row r="1280" spans="1:13">
      <c r="A1280" s="1">
        <f>HYPERLINK("http://www.twitter.com/NathanBLawrence/status/981558014913208320", "981558014913208320")</f>
        <v/>
      </c>
      <c r="B1280" s="2" t="n">
        <v>43194.65556712963</v>
      </c>
      <c r="C1280" t="n">
        <v>0</v>
      </c>
      <c r="D1280" t="n">
        <v>9</v>
      </c>
      <c r="E1280" t="s">
        <v>1279</v>
      </c>
      <c r="F1280" t="s"/>
      <c r="G1280" t="s"/>
      <c r="H1280" t="s"/>
      <c r="I1280" t="s"/>
      <c r="J1280" t="n">
        <v>0.1843</v>
      </c>
      <c r="K1280" t="n">
        <v>0.083</v>
      </c>
      <c r="L1280" t="n">
        <v>0.8080000000000001</v>
      </c>
      <c r="M1280" t="n">
        <v>0.109</v>
      </c>
    </row>
    <row r="1281" spans="1:13">
      <c r="A1281" s="1">
        <f>HYPERLINK("http://www.twitter.com/NathanBLawrence/status/981362830204170240", "981362830204170240")</f>
        <v/>
      </c>
      <c r="B1281" s="2" t="n">
        <v>43194.11696759259</v>
      </c>
      <c r="C1281" t="n">
        <v>0</v>
      </c>
      <c r="D1281" t="n">
        <v>2057</v>
      </c>
      <c r="E1281" t="s">
        <v>1280</v>
      </c>
      <c r="F1281">
        <f>HYPERLINK("https://video.twimg.com/ext_tw_video/981333128651395073/pu/vid/1280x720/ybb8ZvBZarV7luk-.mp4?tag=2", "https://video.twimg.com/ext_tw_video/981333128651395073/pu/vid/1280x720/ybb8ZvBZarV7luk-.mp4?tag=2")</f>
        <v/>
      </c>
      <c r="G1281" t="s"/>
      <c r="H1281" t="s"/>
      <c r="I1281" t="s"/>
      <c r="J1281" t="n">
        <v>-0.2263</v>
      </c>
      <c r="K1281" t="n">
        <v>0.119</v>
      </c>
      <c r="L1281" t="n">
        <v>0.881</v>
      </c>
      <c r="M1281" t="n">
        <v>0</v>
      </c>
    </row>
    <row r="1282" spans="1:13">
      <c r="A1282" s="1">
        <f>HYPERLINK("http://www.twitter.com/NathanBLawrence/status/981362353005629440", "981362353005629440")</f>
        <v/>
      </c>
      <c r="B1282" s="2" t="n">
        <v>43194.11564814814</v>
      </c>
      <c r="C1282" t="n">
        <v>0</v>
      </c>
      <c r="D1282" t="n">
        <v>59</v>
      </c>
      <c r="E1282" t="s">
        <v>1281</v>
      </c>
      <c r="F1282" t="s"/>
      <c r="G1282" t="s"/>
      <c r="H1282" t="s"/>
      <c r="I1282" t="s"/>
      <c r="J1282" t="n">
        <v>0</v>
      </c>
      <c r="K1282" t="n">
        <v>0</v>
      </c>
      <c r="L1282" t="n">
        <v>1</v>
      </c>
      <c r="M1282" t="n">
        <v>0</v>
      </c>
    </row>
    <row r="1283" spans="1:13">
      <c r="A1283" s="1">
        <f>HYPERLINK("http://www.twitter.com/NathanBLawrence/status/981352871571722241", "981352871571722241")</f>
        <v/>
      </c>
      <c r="B1283" s="2" t="n">
        <v>43194.08947916667</v>
      </c>
      <c r="C1283" t="n">
        <v>0</v>
      </c>
      <c r="D1283" t="n">
        <v>849</v>
      </c>
      <c r="E1283" t="s">
        <v>1282</v>
      </c>
      <c r="F1283">
        <f>HYPERLINK("https://video.twimg.com/ext_tw_video/981283754453946369/pu/vid/1280x720/1KGt4vgwXv8QEEeK.mp4?tag=2", "https://video.twimg.com/ext_tw_video/981283754453946369/pu/vid/1280x720/1KGt4vgwXv8QEEeK.mp4?tag=2")</f>
        <v/>
      </c>
      <c r="G1283" t="s"/>
      <c r="H1283" t="s"/>
      <c r="I1283" t="s"/>
      <c r="J1283" t="n">
        <v>0.431</v>
      </c>
      <c r="K1283" t="n">
        <v>0.08799999999999999</v>
      </c>
      <c r="L1283" t="n">
        <v>0.727</v>
      </c>
      <c r="M1283" t="n">
        <v>0.184</v>
      </c>
    </row>
    <row r="1284" spans="1:13">
      <c r="A1284" s="1">
        <f>HYPERLINK("http://www.twitter.com/NathanBLawrence/status/981346491771097088", "981346491771097088")</f>
        <v/>
      </c>
      <c r="B1284" s="2" t="n">
        <v>43194.071875</v>
      </c>
      <c r="C1284" t="n">
        <v>1</v>
      </c>
      <c r="D1284" t="n">
        <v>1</v>
      </c>
      <c r="E1284" t="s">
        <v>1283</v>
      </c>
      <c r="F1284" t="s"/>
      <c r="G1284" t="s"/>
      <c r="H1284" t="s"/>
      <c r="I1284" t="s"/>
      <c r="J1284" t="n">
        <v>0</v>
      </c>
      <c r="K1284" t="n">
        <v>0</v>
      </c>
      <c r="L1284" t="n">
        <v>1</v>
      </c>
      <c r="M1284" t="n">
        <v>0</v>
      </c>
    </row>
    <row r="1285" spans="1:13">
      <c r="A1285" s="1">
        <f>HYPERLINK("http://www.twitter.com/NathanBLawrence/status/981340192933076993", "981340192933076993")</f>
        <v/>
      </c>
      <c r="B1285" s="2" t="n">
        <v>43194.05450231482</v>
      </c>
      <c r="C1285" t="n">
        <v>0</v>
      </c>
      <c r="D1285" t="n">
        <v>98</v>
      </c>
      <c r="E1285" t="s">
        <v>1284</v>
      </c>
      <c r="F1285" t="s"/>
      <c r="G1285" t="s"/>
      <c r="H1285" t="s"/>
      <c r="I1285" t="s"/>
      <c r="J1285" t="n">
        <v>0.6331</v>
      </c>
      <c r="K1285" t="n">
        <v>0</v>
      </c>
      <c r="L1285" t="n">
        <v>0.744</v>
      </c>
      <c r="M1285" t="n">
        <v>0.256</v>
      </c>
    </row>
    <row r="1286" spans="1:13">
      <c r="A1286" s="1">
        <f>HYPERLINK("http://www.twitter.com/NathanBLawrence/status/981292591101693953", "981292591101693953")</f>
        <v/>
      </c>
      <c r="B1286" s="2" t="n">
        <v>43193.92313657407</v>
      </c>
      <c r="C1286" t="n">
        <v>0</v>
      </c>
      <c r="D1286" t="n">
        <v>103</v>
      </c>
      <c r="E1286" t="s">
        <v>1285</v>
      </c>
      <c r="F1286">
        <f>HYPERLINK("http://pbs.twimg.com/media/DZ44KlSX0AI9PQR.jpg", "http://pbs.twimg.com/media/DZ44KlSX0AI9PQR.jpg")</f>
        <v/>
      </c>
      <c r="G1286" t="s"/>
      <c r="H1286" t="s"/>
      <c r="I1286" t="s"/>
      <c r="J1286" t="n">
        <v>0.4939</v>
      </c>
      <c r="K1286" t="n">
        <v>0</v>
      </c>
      <c r="L1286" t="n">
        <v>0.856</v>
      </c>
      <c r="M1286" t="n">
        <v>0.144</v>
      </c>
    </row>
    <row r="1287" spans="1:13">
      <c r="A1287" s="1">
        <f>HYPERLINK("http://www.twitter.com/NathanBLawrence/status/981292428018749441", "981292428018749441")</f>
        <v/>
      </c>
      <c r="B1287" s="2" t="n">
        <v>43193.92269675926</v>
      </c>
      <c r="C1287" t="n">
        <v>0</v>
      </c>
      <c r="D1287" t="n">
        <v>275</v>
      </c>
      <c r="E1287" t="s">
        <v>1286</v>
      </c>
      <c r="F1287">
        <f>HYPERLINK("http://pbs.twimg.com/media/DZ43OC0XkAAMb3u.jpg", "http://pbs.twimg.com/media/DZ43OC0XkAAMb3u.jpg")</f>
        <v/>
      </c>
      <c r="G1287" t="s"/>
      <c r="H1287" t="s"/>
      <c r="I1287" t="s"/>
      <c r="J1287" t="n">
        <v>0.296</v>
      </c>
      <c r="K1287" t="n">
        <v>0</v>
      </c>
      <c r="L1287" t="n">
        <v>0.896</v>
      </c>
      <c r="M1287" t="n">
        <v>0.104</v>
      </c>
    </row>
    <row r="1288" spans="1:13">
      <c r="A1288" s="1">
        <f>HYPERLINK("http://www.twitter.com/NathanBLawrence/status/981288260768030726", "981288260768030726")</f>
        <v/>
      </c>
      <c r="B1288" s="2" t="n">
        <v>43193.91119212963</v>
      </c>
      <c r="C1288" t="n">
        <v>0</v>
      </c>
      <c r="D1288" t="n">
        <v>29</v>
      </c>
      <c r="E1288" t="s">
        <v>1287</v>
      </c>
      <c r="F1288" t="s"/>
      <c r="G1288" t="s"/>
      <c r="H1288" t="s"/>
      <c r="I1288" t="s"/>
      <c r="J1288" t="n">
        <v>0</v>
      </c>
      <c r="K1288" t="n">
        <v>0</v>
      </c>
      <c r="L1288" t="n">
        <v>1</v>
      </c>
      <c r="M1288" t="n">
        <v>0</v>
      </c>
    </row>
    <row r="1289" spans="1:13">
      <c r="A1289" s="1">
        <f>HYPERLINK("http://www.twitter.com/NathanBLawrence/status/981285410214170624", "981285410214170624")</f>
        <v/>
      </c>
      <c r="B1289" s="2" t="n">
        <v>43193.90332175926</v>
      </c>
      <c r="C1289" t="n">
        <v>0</v>
      </c>
      <c r="D1289" t="n">
        <v>147</v>
      </c>
      <c r="E1289" t="s">
        <v>1288</v>
      </c>
      <c r="F1289">
        <f>HYPERLINK("https://video.twimg.com/ext_tw_video/981280503096627200/pu/vid/1280x720/qcP45IFoun4DVKGK.mp4?tag=2", "https://video.twimg.com/ext_tw_video/981280503096627200/pu/vid/1280x720/qcP45IFoun4DVKGK.mp4?tag=2")</f>
        <v/>
      </c>
      <c r="G1289" t="s"/>
      <c r="H1289" t="s"/>
      <c r="I1289" t="s"/>
      <c r="J1289" t="n">
        <v>0.3612</v>
      </c>
      <c r="K1289" t="n">
        <v>0</v>
      </c>
      <c r="L1289" t="n">
        <v>0.884</v>
      </c>
      <c r="M1289" t="n">
        <v>0.116</v>
      </c>
    </row>
    <row r="1290" spans="1:13">
      <c r="A1290" s="1">
        <f>HYPERLINK("http://www.twitter.com/NathanBLawrence/status/981275352109633537", "981275352109633537")</f>
        <v/>
      </c>
      <c r="B1290" s="2" t="n">
        <v>43193.87556712963</v>
      </c>
      <c r="C1290" t="n">
        <v>0</v>
      </c>
      <c r="D1290" t="n">
        <v>0</v>
      </c>
      <c r="E1290" t="s">
        <v>1289</v>
      </c>
      <c r="F1290">
        <f>HYPERLINK("http://pbs.twimg.com/media/DZ4wtrHVwAAwwkA.jpg", "http://pbs.twimg.com/media/DZ4wtrHVwAAwwkA.jpg")</f>
        <v/>
      </c>
      <c r="G1290" t="s"/>
      <c r="H1290" t="s"/>
      <c r="I1290" t="s"/>
      <c r="J1290" t="n">
        <v>0.1779</v>
      </c>
      <c r="K1290" t="n">
        <v>0.24</v>
      </c>
      <c r="L1290" t="n">
        <v>0.456</v>
      </c>
      <c r="M1290" t="n">
        <v>0.304</v>
      </c>
    </row>
    <row r="1291" spans="1:13">
      <c r="A1291" s="1">
        <f>HYPERLINK("http://www.twitter.com/NathanBLawrence/status/981270910102622208", "981270910102622208")</f>
        <v/>
      </c>
      <c r="B1291" s="2" t="n">
        <v>43193.86331018519</v>
      </c>
      <c r="C1291" t="n">
        <v>0</v>
      </c>
      <c r="D1291" t="n">
        <v>18022</v>
      </c>
      <c r="E1291" t="s">
        <v>1290</v>
      </c>
      <c r="F1291">
        <f>HYPERLINK("http://pbs.twimg.com/media/DZ0sX5BVoAAoSWA.jpg", "http://pbs.twimg.com/media/DZ0sX5BVoAAoSWA.jpg")</f>
        <v/>
      </c>
      <c r="G1291" t="s"/>
      <c r="H1291" t="s"/>
      <c r="I1291" t="s"/>
      <c r="J1291" t="n">
        <v>0</v>
      </c>
      <c r="K1291" t="n">
        <v>0</v>
      </c>
      <c r="L1291" t="n">
        <v>1</v>
      </c>
      <c r="M1291" t="n">
        <v>0</v>
      </c>
    </row>
    <row r="1292" spans="1:13">
      <c r="A1292" s="1">
        <f>HYPERLINK("http://www.twitter.com/NathanBLawrence/status/981270601762525186", "981270601762525186")</f>
        <v/>
      </c>
      <c r="B1292" s="2" t="n">
        <v>43193.86246527778</v>
      </c>
      <c r="C1292" t="n">
        <v>0</v>
      </c>
      <c r="D1292" t="n">
        <v>218</v>
      </c>
      <c r="E1292" t="s">
        <v>1291</v>
      </c>
      <c r="F1292" t="s"/>
      <c r="G1292" t="s"/>
      <c r="H1292" t="s"/>
      <c r="I1292" t="s"/>
      <c r="J1292" t="n">
        <v>0</v>
      </c>
      <c r="K1292" t="n">
        <v>0</v>
      </c>
      <c r="L1292" t="n">
        <v>1</v>
      </c>
      <c r="M1292" t="n">
        <v>0</v>
      </c>
    </row>
    <row r="1293" spans="1:13">
      <c r="A1293" s="1">
        <f>HYPERLINK("http://www.twitter.com/NathanBLawrence/status/981270002673373185", "981270002673373185")</f>
        <v/>
      </c>
      <c r="B1293" s="2" t="n">
        <v>43193.86081018519</v>
      </c>
      <c r="C1293" t="n">
        <v>0</v>
      </c>
      <c r="D1293" t="n">
        <v>46</v>
      </c>
      <c r="E1293" t="s">
        <v>1292</v>
      </c>
      <c r="F1293">
        <f>HYPERLINK("http://pbs.twimg.com/media/DZZeA7pV4AAVHj5.jpg", "http://pbs.twimg.com/media/DZZeA7pV4AAVHj5.jpg")</f>
        <v/>
      </c>
      <c r="G1293" t="s"/>
      <c r="H1293" t="s"/>
      <c r="I1293" t="s"/>
      <c r="J1293" t="n">
        <v>-0.4019</v>
      </c>
      <c r="K1293" t="n">
        <v>0.244</v>
      </c>
      <c r="L1293" t="n">
        <v>0.569</v>
      </c>
      <c r="M1293" t="n">
        <v>0.187</v>
      </c>
    </row>
    <row r="1294" spans="1:13">
      <c r="A1294" s="1">
        <f>HYPERLINK("http://www.twitter.com/NathanBLawrence/status/981269887665561601", "981269887665561601")</f>
        <v/>
      </c>
      <c r="B1294" s="2" t="n">
        <v>43193.86048611111</v>
      </c>
      <c r="C1294" t="n">
        <v>0</v>
      </c>
      <c r="D1294" t="n">
        <v>554</v>
      </c>
      <c r="E1294" t="s">
        <v>1293</v>
      </c>
      <c r="F1294" t="s"/>
      <c r="G1294" t="s"/>
      <c r="H1294" t="s"/>
      <c r="I1294" t="s"/>
      <c r="J1294" t="n">
        <v>0</v>
      </c>
      <c r="K1294" t="n">
        <v>0</v>
      </c>
      <c r="L1294" t="n">
        <v>1</v>
      </c>
      <c r="M1294" t="n">
        <v>0</v>
      </c>
    </row>
    <row r="1295" spans="1:13">
      <c r="A1295" s="1">
        <f>HYPERLINK("http://www.twitter.com/NathanBLawrence/status/981216003882405895", "981216003882405895")</f>
        <v/>
      </c>
      <c r="B1295" s="2" t="n">
        <v>43193.71180555555</v>
      </c>
      <c r="C1295" t="n">
        <v>0</v>
      </c>
      <c r="D1295" t="n">
        <v>575</v>
      </c>
      <c r="E1295" t="s">
        <v>1294</v>
      </c>
      <c r="F1295" t="s"/>
      <c r="G1295" t="s"/>
      <c r="H1295" t="s"/>
      <c r="I1295" t="s"/>
      <c r="J1295" t="n">
        <v>0.34</v>
      </c>
      <c r="K1295" t="n">
        <v>0</v>
      </c>
      <c r="L1295" t="n">
        <v>0.902</v>
      </c>
      <c r="M1295" t="n">
        <v>0.098</v>
      </c>
    </row>
    <row r="1296" spans="1:13">
      <c r="A1296" s="1">
        <f>HYPERLINK("http://www.twitter.com/NathanBLawrence/status/981208988195917824", "981208988195917824")</f>
        <v/>
      </c>
      <c r="B1296" s="2" t="n">
        <v>43193.69244212963</v>
      </c>
      <c r="C1296" t="n">
        <v>0</v>
      </c>
      <c r="D1296" t="n">
        <v>67</v>
      </c>
      <c r="E1296" t="s">
        <v>1295</v>
      </c>
      <c r="F1296">
        <f>HYPERLINK("http://pbs.twimg.com/media/DZ3r-PfVAAIfOM1.jpg", "http://pbs.twimg.com/media/DZ3r-PfVAAIfOM1.jpg")</f>
        <v/>
      </c>
      <c r="G1296" t="s"/>
      <c r="H1296" t="s"/>
      <c r="I1296" t="s"/>
      <c r="J1296" t="n">
        <v>0.7579</v>
      </c>
      <c r="K1296" t="n">
        <v>0</v>
      </c>
      <c r="L1296" t="n">
        <v>0.735</v>
      </c>
      <c r="M1296" t="n">
        <v>0.265</v>
      </c>
    </row>
    <row r="1297" spans="1:13">
      <c r="A1297" s="1">
        <f>HYPERLINK("http://www.twitter.com/NathanBLawrence/status/981208420899610624", "981208420899610624")</f>
        <v/>
      </c>
      <c r="B1297" s="2" t="n">
        <v>43193.69087962963</v>
      </c>
      <c r="C1297" t="n">
        <v>0</v>
      </c>
      <c r="D1297" t="n">
        <v>7</v>
      </c>
      <c r="E1297" t="s">
        <v>1296</v>
      </c>
      <c r="F1297">
        <f>HYPERLINK("http://pbs.twimg.com/media/DZ3t14rVoAAv0oD.jpg", "http://pbs.twimg.com/media/DZ3t14rVoAAv0oD.jpg")</f>
        <v/>
      </c>
      <c r="G1297" t="s"/>
      <c r="H1297" t="s"/>
      <c r="I1297" t="s"/>
      <c r="J1297" t="n">
        <v>-0.4738</v>
      </c>
      <c r="K1297" t="n">
        <v>0.162</v>
      </c>
      <c r="L1297" t="n">
        <v>0.755</v>
      </c>
      <c r="M1297" t="n">
        <v>0.083</v>
      </c>
    </row>
    <row r="1298" spans="1:13">
      <c r="A1298" s="1">
        <f>HYPERLINK("http://www.twitter.com/NathanBLawrence/status/981207591106895872", "981207591106895872")</f>
        <v/>
      </c>
      <c r="B1298" s="2" t="n">
        <v>43193.68858796296</v>
      </c>
      <c r="C1298" t="n">
        <v>0</v>
      </c>
      <c r="D1298" t="n">
        <v>25</v>
      </c>
      <c r="E1298" t="s">
        <v>1297</v>
      </c>
      <c r="F1298">
        <f>HYPERLINK("http://pbs.twimg.com/media/DZ3jyzMW4AIwcCv.jpg", "http://pbs.twimg.com/media/DZ3jyzMW4AIwcCv.jpg")</f>
        <v/>
      </c>
      <c r="G1298">
        <f>HYPERLINK("http://pbs.twimg.com/media/DZ3jyywWsAAumA8.jpg", "http://pbs.twimg.com/media/DZ3jyywWsAAumA8.jpg")</f>
        <v/>
      </c>
      <c r="H1298">
        <f>HYPERLINK("http://pbs.twimg.com/media/DZ3jyyxW4AEVCoM.jpg", "http://pbs.twimg.com/media/DZ3jyyxW4AEVCoM.jpg")</f>
        <v/>
      </c>
      <c r="I1298">
        <f>HYPERLINK("http://pbs.twimg.com/media/DZ3jyyyXkAAV7lL.jpg", "http://pbs.twimg.com/media/DZ3jyyyXkAAV7lL.jpg")</f>
        <v/>
      </c>
      <c r="J1298" t="n">
        <v>0.7524999999999999</v>
      </c>
      <c r="K1298" t="n">
        <v>0</v>
      </c>
      <c r="L1298" t="n">
        <v>0.6850000000000001</v>
      </c>
      <c r="M1298" t="n">
        <v>0.315</v>
      </c>
    </row>
    <row r="1299" spans="1:13">
      <c r="A1299" s="1">
        <f>HYPERLINK("http://www.twitter.com/NathanBLawrence/status/981080108915220480", "981080108915220480")</f>
        <v/>
      </c>
      <c r="B1299" s="2" t="n">
        <v>43193.33680555555</v>
      </c>
      <c r="C1299" t="n">
        <v>0</v>
      </c>
      <c r="D1299" t="n">
        <v>114</v>
      </c>
      <c r="E1299" t="s">
        <v>1298</v>
      </c>
      <c r="F1299">
        <f>HYPERLINK("http://pbs.twimg.com/media/DZDphgUW4AEiqkN.jpg", "http://pbs.twimg.com/media/DZDphgUW4AEiqkN.jpg")</f>
        <v/>
      </c>
      <c r="G1299" t="s"/>
      <c r="H1299" t="s"/>
      <c r="I1299" t="s"/>
      <c r="J1299" t="n">
        <v>0.5572</v>
      </c>
      <c r="K1299" t="n">
        <v>0</v>
      </c>
      <c r="L1299" t="n">
        <v>0.753</v>
      </c>
      <c r="M1299" t="n">
        <v>0.247</v>
      </c>
    </row>
    <row r="1300" spans="1:13">
      <c r="A1300" s="1">
        <f>HYPERLINK("http://www.twitter.com/NathanBLawrence/status/981077250513735680", "981077250513735680")</f>
        <v/>
      </c>
      <c r="B1300" s="2" t="n">
        <v>43193.32891203704</v>
      </c>
      <c r="C1300" t="n">
        <v>0</v>
      </c>
      <c r="D1300" t="n">
        <v>3871</v>
      </c>
      <c r="E1300" t="s">
        <v>1299</v>
      </c>
      <c r="F1300">
        <f>HYPERLINK("http://pbs.twimg.com/media/DZvEUlJUQAAExuI.jpg", "http://pbs.twimg.com/media/DZvEUlJUQAAExuI.jpg")</f>
        <v/>
      </c>
      <c r="G1300" t="s"/>
      <c r="H1300" t="s"/>
      <c r="I1300" t="s"/>
      <c r="J1300" t="n">
        <v>0</v>
      </c>
      <c r="K1300" t="n">
        <v>0</v>
      </c>
      <c r="L1300" t="n">
        <v>1</v>
      </c>
      <c r="M1300" t="n">
        <v>0</v>
      </c>
    </row>
    <row r="1301" spans="1:13">
      <c r="A1301" s="1">
        <f>HYPERLINK("http://www.twitter.com/NathanBLawrence/status/981076928554831872", "981076928554831872")</f>
        <v/>
      </c>
      <c r="B1301" s="2" t="n">
        <v>43193.32802083333</v>
      </c>
      <c r="C1301" t="n">
        <v>0</v>
      </c>
      <c r="D1301" t="n">
        <v>4991</v>
      </c>
      <c r="E1301" t="s">
        <v>1300</v>
      </c>
      <c r="F1301" t="s"/>
      <c r="G1301" t="s"/>
      <c r="H1301" t="s"/>
      <c r="I1301" t="s"/>
      <c r="J1301" t="n">
        <v>0.4019</v>
      </c>
      <c r="K1301" t="n">
        <v>0</v>
      </c>
      <c r="L1301" t="n">
        <v>0.895</v>
      </c>
      <c r="M1301" t="n">
        <v>0.105</v>
      </c>
    </row>
    <row r="1302" spans="1:13">
      <c r="A1302" s="1">
        <f>HYPERLINK("http://www.twitter.com/NathanBLawrence/status/981070246776852480", "981070246776852480")</f>
        <v/>
      </c>
      <c r="B1302" s="2" t="n">
        <v>43193.30958333334</v>
      </c>
      <c r="C1302" t="n">
        <v>2</v>
      </c>
      <c r="D1302" t="n">
        <v>0</v>
      </c>
      <c r="E1302" t="s">
        <v>1301</v>
      </c>
      <c r="F1302" t="s"/>
      <c r="G1302" t="s"/>
      <c r="H1302" t="s"/>
      <c r="I1302" t="s"/>
      <c r="J1302" t="n">
        <v>0.5732</v>
      </c>
      <c r="K1302" t="n">
        <v>0.07199999999999999</v>
      </c>
      <c r="L1302" t="n">
        <v>0.749</v>
      </c>
      <c r="M1302" t="n">
        <v>0.179</v>
      </c>
    </row>
    <row r="1303" spans="1:13">
      <c r="A1303" s="1">
        <f>HYPERLINK("http://www.twitter.com/NathanBLawrence/status/981067890802741248", "981067890802741248")</f>
        <v/>
      </c>
      <c r="B1303" s="2" t="n">
        <v>43193.30309027778</v>
      </c>
      <c r="C1303" t="n">
        <v>0</v>
      </c>
      <c r="D1303" t="n">
        <v>22</v>
      </c>
      <c r="E1303" t="s">
        <v>1302</v>
      </c>
      <c r="F1303">
        <f>HYPERLINK("https://video.twimg.com/ext_tw_video/981052702376390657/pu/vid/1280x720/ONyMWPKHE53vc0aQ.mp4?tag=2", "https://video.twimg.com/ext_tw_video/981052702376390657/pu/vid/1280x720/ONyMWPKHE53vc0aQ.mp4?tag=2")</f>
        <v/>
      </c>
      <c r="G1303" t="s"/>
      <c r="H1303" t="s"/>
      <c r="I1303" t="s"/>
      <c r="J1303" t="n">
        <v>0</v>
      </c>
      <c r="K1303" t="n">
        <v>0</v>
      </c>
      <c r="L1303" t="n">
        <v>1</v>
      </c>
      <c r="M1303" t="n">
        <v>0</v>
      </c>
    </row>
    <row r="1304" spans="1:13">
      <c r="A1304" s="1">
        <f>HYPERLINK("http://www.twitter.com/NathanBLawrence/status/980990999735529472", "980990999735529472")</f>
        <v/>
      </c>
      <c r="B1304" s="2" t="n">
        <v>43193.09090277777</v>
      </c>
      <c r="C1304" t="n">
        <v>0</v>
      </c>
      <c r="D1304" t="n">
        <v>4</v>
      </c>
      <c r="E1304" t="s">
        <v>1303</v>
      </c>
      <c r="F1304" t="s"/>
      <c r="G1304" t="s"/>
      <c r="H1304" t="s"/>
      <c r="I1304" t="s"/>
      <c r="J1304" t="n">
        <v>0</v>
      </c>
      <c r="K1304" t="n">
        <v>0</v>
      </c>
      <c r="L1304" t="n">
        <v>1</v>
      </c>
      <c r="M1304" t="n">
        <v>0</v>
      </c>
    </row>
    <row r="1305" spans="1:13">
      <c r="A1305" s="1">
        <f>HYPERLINK("http://www.twitter.com/NathanBLawrence/status/980977206984880128", "980977206984880128")</f>
        <v/>
      </c>
      <c r="B1305" s="2" t="n">
        <v>43193.05284722222</v>
      </c>
      <c r="C1305" t="n">
        <v>0</v>
      </c>
      <c r="D1305" t="n">
        <v>3</v>
      </c>
      <c r="E1305" t="s">
        <v>1304</v>
      </c>
      <c r="F1305" t="s"/>
      <c r="G1305" t="s"/>
      <c r="H1305" t="s"/>
      <c r="I1305" t="s"/>
      <c r="J1305" t="n">
        <v>0.3612</v>
      </c>
      <c r="K1305" t="n">
        <v>0.058</v>
      </c>
      <c r="L1305" t="n">
        <v>0.823</v>
      </c>
      <c r="M1305" t="n">
        <v>0.119</v>
      </c>
    </row>
    <row r="1306" spans="1:13">
      <c r="A1306" s="1">
        <f>HYPERLINK("http://www.twitter.com/NathanBLawrence/status/980974138880937990", "980974138880937990")</f>
        <v/>
      </c>
      <c r="B1306" s="2" t="n">
        <v>43193.044375</v>
      </c>
      <c r="C1306" t="n">
        <v>0</v>
      </c>
      <c r="D1306" t="n">
        <v>10314</v>
      </c>
      <c r="E1306" t="s">
        <v>1305</v>
      </c>
      <c r="F1306">
        <f>HYPERLINK("http://pbs.twimg.com/media/DZ0bCCRWAAAnhuk.jpg", "http://pbs.twimg.com/media/DZ0bCCRWAAAnhuk.jpg")</f>
        <v/>
      </c>
      <c r="G1306" t="s"/>
      <c r="H1306" t="s"/>
      <c r="I1306" t="s"/>
      <c r="J1306" t="n">
        <v>0.4939</v>
      </c>
      <c r="K1306" t="n">
        <v>0</v>
      </c>
      <c r="L1306" t="n">
        <v>0.824</v>
      </c>
      <c r="M1306" t="n">
        <v>0.176</v>
      </c>
    </row>
    <row r="1307" spans="1:13">
      <c r="A1307" s="1">
        <f>HYPERLINK("http://www.twitter.com/NathanBLawrence/status/980902999743660034", "980902999743660034")</f>
        <v/>
      </c>
      <c r="B1307" s="2" t="n">
        <v>43192.8480787037</v>
      </c>
      <c r="C1307" t="n">
        <v>0</v>
      </c>
      <c r="D1307" t="n">
        <v>4</v>
      </c>
      <c r="E1307" t="s">
        <v>1306</v>
      </c>
      <c r="F1307">
        <f>HYPERLINK("http://pbs.twimg.com/media/DZyuSywUQAAnxuz.jpg", "http://pbs.twimg.com/media/DZyuSywUQAAnxuz.jpg")</f>
        <v/>
      </c>
      <c r="G1307" t="s"/>
      <c r="H1307" t="s"/>
      <c r="I1307" t="s"/>
      <c r="J1307" t="n">
        <v>-0.3597</v>
      </c>
      <c r="K1307" t="n">
        <v>0.122</v>
      </c>
      <c r="L1307" t="n">
        <v>0.878</v>
      </c>
      <c r="M1307" t="n">
        <v>0</v>
      </c>
    </row>
    <row r="1308" spans="1:13">
      <c r="A1308" s="1">
        <f>HYPERLINK("http://www.twitter.com/NathanBLawrence/status/980881952621367297", "980881952621367297")</f>
        <v/>
      </c>
      <c r="B1308" s="2" t="n">
        <v>43192.79</v>
      </c>
      <c r="C1308" t="n">
        <v>0</v>
      </c>
      <c r="D1308" t="n">
        <v>50</v>
      </c>
      <c r="E1308" t="s">
        <v>1307</v>
      </c>
      <c r="F1308">
        <f>HYPERLINK("http://pbs.twimg.com/media/DZvZpbzX0AAOqqi.jpg", "http://pbs.twimg.com/media/DZvZpbzX0AAOqqi.jpg")</f>
        <v/>
      </c>
      <c r="G1308" t="s"/>
      <c r="H1308" t="s"/>
      <c r="I1308" t="s"/>
      <c r="J1308" t="n">
        <v>0</v>
      </c>
      <c r="K1308" t="n">
        <v>0</v>
      </c>
      <c r="L1308" t="n">
        <v>1</v>
      </c>
      <c r="M1308" t="n">
        <v>0</v>
      </c>
    </row>
    <row r="1309" spans="1:13">
      <c r="A1309" s="1">
        <f>HYPERLINK("http://www.twitter.com/NathanBLawrence/status/980874604800602114", "980874604800602114")</f>
        <v/>
      </c>
      <c r="B1309" s="2" t="n">
        <v>43192.76972222222</v>
      </c>
      <c r="C1309" t="n">
        <v>0</v>
      </c>
      <c r="D1309" t="n">
        <v>594</v>
      </c>
      <c r="E1309" t="s">
        <v>1308</v>
      </c>
      <c r="F1309">
        <f>HYPERLINK("https://video.twimg.com/ext_tw_video/761286771665670144/pu/vid/320x180/7kAn8hhux2kAmJeH.mp4", "https://video.twimg.com/ext_tw_video/761286771665670144/pu/vid/320x180/7kAn8hhux2kAmJeH.mp4")</f>
        <v/>
      </c>
      <c r="G1309" t="s"/>
      <c r="H1309" t="s"/>
      <c r="I1309" t="s"/>
      <c r="J1309" t="n">
        <v>0.9336</v>
      </c>
      <c r="K1309" t="n">
        <v>0</v>
      </c>
      <c r="L1309" t="n">
        <v>0.5649999999999999</v>
      </c>
      <c r="M1309" t="n">
        <v>0.435</v>
      </c>
    </row>
    <row r="1310" spans="1:13">
      <c r="A1310" s="1">
        <f>HYPERLINK("http://www.twitter.com/NathanBLawrence/status/980873741566644224", "980873741566644224")</f>
        <v/>
      </c>
      <c r="B1310" s="2" t="n">
        <v>43192.76733796296</v>
      </c>
      <c r="C1310" t="n">
        <v>0</v>
      </c>
      <c r="D1310" t="n">
        <v>8</v>
      </c>
      <c r="E1310" t="s">
        <v>1309</v>
      </c>
      <c r="F1310" t="s"/>
      <c r="G1310" t="s"/>
      <c r="H1310" t="s"/>
      <c r="I1310" t="s"/>
      <c r="J1310" t="n">
        <v>0</v>
      </c>
      <c r="K1310" t="n">
        <v>0</v>
      </c>
      <c r="L1310" t="n">
        <v>1</v>
      </c>
      <c r="M1310" t="n">
        <v>0</v>
      </c>
    </row>
    <row r="1311" spans="1:13">
      <c r="A1311" s="1">
        <f>HYPERLINK("http://www.twitter.com/NathanBLawrence/status/980817449586216961", "980817449586216961")</f>
        <v/>
      </c>
      <c r="B1311" s="2" t="n">
        <v>43192.61200231482</v>
      </c>
      <c r="C1311" t="n">
        <v>0</v>
      </c>
      <c r="D1311" t="n">
        <v>7822</v>
      </c>
      <c r="E1311" t="s">
        <v>1310</v>
      </c>
      <c r="F1311" t="s"/>
      <c r="G1311" t="s"/>
      <c r="H1311" t="s"/>
      <c r="I1311" t="s"/>
      <c r="J1311" t="n">
        <v>0.4215</v>
      </c>
      <c r="K1311" t="n">
        <v>0</v>
      </c>
      <c r="L1311" t="n">
        <v>0.859</v>
      </c>
      <c r="M1311" t="n">
        <v>0.141</v>
      </c>
    </row>
    <row r="1312" spans="1:13">
      <c r="A1312" s="1">
        <f>HYPERLINK("http://www.twitter.com/NathanBLawrence/status/980808490603237377", "980808490603237377")</f>
        <v/>
      </c>
      <c r="B1312" s="2" t="n">
        <v>43192.58728009259</v>
      </c>
      <c r="C1312" t="n">
        <v>0</v>
      </c>
      <c r="D1312" t="n">
        <v>1588</v>
      </c>
      <c r="E1312" t="s">
        <v>1311</v>
      </c>
      <c r="F1312">
        <f>HYPERLINK("http://pbs.twimg.com/media/DZoRavqXUAEGBCv.jpg", "http://pbs.twimg.com/media/DZoRavqXUAEGBCv.jpg")</f>
        <v/>
      </c>
      <c r="G1312" t="s"/>
      <c r="H1312" t="s"/>
      <c r="I1312" t="s"/>
      <c r="J1312" t="n">
        <v>0.128</v>
      </c>
      <c r="K1312" t="n">
        <v>0.091</v>
      </c>
      <c r="L1312" t="n">
        <v>0.798</v>
      </c>
      <c r="M1312" t="n">
        <v>0.11</v>
      </c>
    </row>
    <row r="1313" spans="1:13">
      <c r="A1313" s="1">
        <f>HYPERLINK("http://www.twitter.com/NathanBLawrence/status/980806448795082752", "980806448795082752")</f>
        <v/>
      </c>
      <c r="B1313" s="2" t="n">
        <v>43192.58164351852</v>
      </c>
      <c r="C1313" t="n">
        <v>0</v>
      </c>
      <c r="D1313" t="n">
        <v>90083</v>
      </c>
      <c r="E1313" t="s">
        <v>1312</v>
      </c>
      <c r="F1313">
        <f>HYPERLINK("https://video.twimg.com/ext_tw_video/979544470038425605/pu/vid/276x320/QwM6fcLFddczi3tt.mp4", "https://video.twimg.com/ext_tw_video/979544470038425605/pu/vid/276x320/QwM6fcLFddczi3tt.mp4")</f>
        <v/>
      </c>
      <c r="G1313" t="s"/>
      <c r="H1313" t="s"/>
      <c r="I1313" t="s"/>
      <c r="J1313" t="n">
        <v>0.1779</v>
      </c>
      <c r="K1313" t="n">
        <v>0.139</v>
      </c>
      <c r="L1313" t="n">
        <v>0.653</v>
      </c>
      <c r="M1313" t="n">
        <v>0.208</v>
      </c>
    </row>
    <row r="1314" spans="1:13">
      <c r="A1314" s="1">
        <f>HYPERLINK("http://www.twitter.com/NathanBLawrence/status/980801614490546176", "980801614490546176")</f>
        <v/>
      </c>
      <c r="B1314" s="2" t="n">
        <v>43192.56829861111</v>
      </c>
      <c r="C1314" t="n">
        <v>0</v>
      </c>
      <c r="D1314" t="n">
        <v>45</v>
      </c>
      <c r="E1314" t="s">
        <v>1313</v>
      </c>
      <c r="F1314">
        <f>HYPERLINK("http://pbs.twimg.com/media/DZxtV2WW4AAR3-N.jpg", "http://pbs.twimg.com/media/DZxtV2WW4AAR3-N.jpg")</f>
        <v/>
      </c>
      <c r="G1314">
        <f>HYPERLINK("http://pbs.twimg.com/media/DZxtpXAXkAAacSq.jpg", "http://pbs.twimg.com/media/DZxtpXAXkAAacSq.jpg")</f>
        <v/>
      </c>
      <c r="H1314" t="s"/>
      <c r="I1314" t="s"/>
      <c r="J1314" t="n">
        <v>0.5904</v>
      </c>
      <c r="K1314" t="n">
        <v>0</v>
      </c>
      <c r="L1314" t="n">
        <v>0.785</v>
      </c>
      <c r="M1314" t="n">
        <v>0.215</v>
      </c>
    </row>
    <row r="1315" spans="1:13">
      <c r="A1315" s="1">
        <f>HYPERLINK("http://www.twitter.com/NathanBLawrence/status/980779355201785856", "980779355201785856")</f>
        <v/>
      </c>
      <c r="B1315" s="2" t="n">
        <v>43192.506875</v>
      </c>
      <c r="C1315" t="n">
        <v>0</v>
      </c>
      <c r="D1315" t="n">
        <v>61</v>
      </c>
      <c r="E1315" t="s">
        <v>1314</v>
      </c>
      <c r="F1315">
        <f>HYPERLINK("http://pbs.twimg.com/media/DZxLCkTX4AAvqae.jpg", "http://pbs.twimg.com/media/DZxLCkTX4AAvqae.jpg")</f>
        <v/>
      </c>
      <c r="G1315" t="s"/>
      <c r="H1315" t="s"/>
      <c r="I1315" t="s"/>
      <c r="J1315" t="n">
        <v>0.3182</v>
      </c>
      <c r="K1315" t="n">
        <v>0</v>
      </c>
      <c r="L1315" t="n">
        <v>0.881</v>
      </c>
      <c r="M1315" t="n">
        <v>0.119</v>
      </c>
    </row>
    <row r="1316" spans="1:13">
      <c r="A1316" s="1">
        <f>HYPERLINK("http://www.twitter.com/NathanBLawrence/status/980777854844751872", "980777854844751872")</f>
        <v/>
      </c>
      <c r="B1316" s="2" t="n">
        <v>43192.50274305556</v>
      </c>
      <c r="C1316" t="n">
        <v>0</v>
      </c>
      <c r="D1316" t="n">
        <v>21</v>
      </c>
      <c r="E1316" t="s">
        <v>1315</v>
      </c>
      <c r="F1316">
        <f>HYPERLINK("http://pbs.twimg.com/media/DZxiYGiXcAAdnFb.jpg", "http://pbs.twimg.com/media/DZxiYGiXcAAdnFb.jpg")</f>
        <v/>
      </c>
      <c r="G1316" t="s"/>
      <c r="H1316" t="s"/>
      <c r="I1316" t="s"/>
      <c r="J1316" t="n">
        <v>-0.3404</v>
      </c>
      <c r="K1316" t="n">
        <v>0.179</v>
      </c>
      <c r="L1316" t="n">
        <v>0.821</v>
      </c>
      <c r="M1316" t="n">
        <v>0</v>
      </c>
    </row>
    <row r="1317" spans="1:13">
      <c r="A1317" s="1">
        <f>HYPERLINK("http://www.twitter.com/NathanBLawrence/status/980776369209724928", "980776369209724928")</f>
        <v/>
      </c>
      <c r="B1317" s="2" t="n">
        <v>43192.49864583334</v>
      </c>
      <c r="C1317" t="n">
        <v>0</v>
      </c>
      <c r="D1317" t="n">
        <v>42</v>
      </c>
      <c r="E1317" t="s">
        <v>1316</v>
      </c>
      <c r="F1317">
        <f>HYPERLINK("http://pbs.twimg.com/media/DZxVr3HXkAE7r67.jpg", "http://pbs.twimg.com/media/DZxVr3HXkAE7r67.jpg")</f>
        <v/>
      </c>
      <c r="G1317" t="s"/>
      <c r="H1317" t="s"/>
      <c r="I1317" t="s"/>
      <c r="J1317" t="n">
        <v>0</v>
      </c>
      <c r="K1317" t="n">
        <v>0</v>
      </c>
      <c r="L1317" t="n">
        <v>1</v>
      </c>
      <c r="M1317" t="n">
        <v>0</v>
      </c>
    </row>
    <row r="1318" spans="1:13">
      <c r="A1318" s="1">
        <f>HYPERLINK("http://www.twitter.com/NathanBLawrence/status/980775805038006273", "980775805038006273")</f>
        <v/>
      </c>
      <c r="B1318" s="2" t="n">
        <v>43192.49708333334</v>
      </c>
      <c r="C1318" t="n">
        <v>0</v>
      </c>
      <c r="D1318" t="n">
        <v>11466</v>
      </c>
      <c r="E1318" t="s">
        <v>1317</v>
      </c>
      <c r="F1318">
        <f>HYPERLINK("https://video.twimg.com/ext_tw_video/976468203579715584/pu/vid/178x320/bf5HDKNSnJ-R0tnt.mp4", "https://video.twimg.com/ext_tw_video/976468203579715584/pu/vid/178x320/bf5HDKNSnJ-R0tnt.mp4")</f>
        <v/>
      </c>
      <c r="G1318" t="s"/>
      <c r="H1318" t="s"/>
      <c r="I1318" t="s"/>
      <c r="J1318" t="n">
        <v>0.6369</v>
      </c>
      <c r="K1318" t="n">
        <v>0</v>
      </c>
      <c r="L1318" t="n">
        <v>0.656</v>
      </c>
      <c r="M1318" t="n">
        <v>0.344</v>
      </c>
    </row>
    <row r="1319" spans="1:13">
      <c r="A1319" s="1">
        <f>HYPERLINK("http://www.twitter.com/NathanBLawrence/status/980775374341787648", "980775374341787648")</f>
        <v/>
      </c>
      <c r="B1319" s="2" t="n">
        <v>43192.4958912037</v>
      </c>
      <c r="C1319" t="n">
        <v>3</v>
      </c>
      <c r="D1319" t="n">
        <v>0</v>
      </c>
      <c r="E1319" t="s">
        <v>1318</v>
      </c>
      <c r="F1319" t="s"/>
      <c r="G1319" t="s"/>
      <c r="H1319" t="s"/>
      <c r="I1319" t="s"/>
      <c r="J1319" t="n">
        <v>0</v>
      </c>
      <c r="K1319" t="n">
        <v>0</v>
      </c>
      <c r="L1319" t="n">
        <v>1</v>
      </c>
      <c r="M1319" t="n">
        <v>0</v>
      </c>
    </row>
    <row r="1320" spans="1:13">
      <c r="A1320" s="1">
        <f>HYPERLINK("http://www.twitter.com/NathanBLawrence/status/980759430173282304", "980759430173282304")</f>
        <v/>
      </c>
      <c r="B1320" s="2" t="n">
        <v>43192.45189814815</v>
      </c>
      <c r="C1320" t="n">
        <v>0</v>
      </c>
      <c r="D1320" t="n">
        <v>155</v>
      </c>
      <c r="E1320" t="s">
        <v>1319</v>
      </c>
      <c r="F1320">
        <f>HYPERLINK("http://pbs.twimg.com/media/DZunJt1VoAAxbYN.jpg", "http://pbs.twimg.com/media/DZunJt1VoAAxbYN.jpg")</f>
        <v/>
      </c>
      <c r="G1320" t="s"/>
      <c r="H1320" t="s"/>
      <c r="I1320" t="s"/>
      <c r="J1320" t="n">
        <v>0.4981</v>
      </c>
      <c r="K1320" t="n">
        <v>0</v>
      </c>
      <c r="L1320" t="n">
        <v>0.841</v>
      </c>
      <c r="M1320" t="n">
        <v>0.159</v>
      </c>
    </row>
    <row r="1321" spans="1:13">
      <c r="A1321" s="1">
        <f>HYPERLINK("http://www.twitter.com/NathanBLawrence/status/980759390096711680", "980759390096711680")</f>
        <v/>
      </c>
      <c r="B1321" s="2" t="n">
        <v>43192.45178240741</v>
      </c>
      <c r="C1321" t="n">
        <v>0</v>
      </c>
      <c r="D1321" t="n">
        <v>1</v>
      </c>
      <c r="E1321" t="s">
        <v>1320</v>
      </c>
      <c r="F1321" t="s"/>
      <c r="G1321" t="s"/>
      <c r="H1321" t="s"/>
      <c r="I1321" t="s"/>
      <c r="J1321" t="n">
        <v>0</v>
      </c>
      <c r="K1321" t="n">
        <v>0</v>
      </c>
      <c r="L1321" t="n">
        <v>1</v>
      </c>
      <c r="M1321" t="n">
        <v>0</v>
      </c>
    </row>
    <row r="1322" spans="1:13">
      <c r="A1322" s="1">
        <f>HYPERLINK("http://www.twitter.com/NathanBLawrence/status/980759370546995200", "980759370546995200")</f>
        <v/>
      </c>
      <c r="B1322" s="2" t="n">
        <v>43192.45173611111</v>
      </c>
      <c r="C1322" t="n">
        <v>0</v>
      </c>
      <c r="D1322" t="n">
        <v>3</v>
      </c>
      <c r="E1322" t="s">
        <v>1321</v>
      </c>
      <c r="F1322" t="s"/>
      <c r="G1322" t="s"/>
      <c r="H1322" t="s"/>
      <c r="I1322" t="s"/>
      <c r="J1322" t="n">
        <v>0</v>
      </c>
      <c r="K1322" t="n">
        <v>0</v>
      </c>
      <c r="L1322" t="n">
        <v>1</v>
      </c>
      <c r="M1322" t="n">
        <v>0</v>
      </c>
    </row>
    <row r="1323" spans="1:13">
      <c r="A1323" s="1">
        <f>HYPERLINK("http://www.twitter.com/NathanBLawrence/status/980759346538844160", "980759346538844160")</f>
        <v/>
      </c>
      <c r="B1323" s="2" t="n">
        <v>43192.45166666667</v>
      </c>
      <c r="C1323" t="n">
        <v>0</v>
      </c>
      <c r="D1323" t="n">
        <v>2</v>
      </c>
      <c r="E1323" t="s">
        <v>1322</v>
      </c>
      <c r="F1323" t="s"/>
      <c r="G1323" t="s"/>
      <c r="H1323" t="s"/>
      <c r="I1323" t="s"/>
      <c r="J1323" t="n">
        <v>0</v>
      </c>
      <c r="K1323" t="n">
        <v>0</v>
      </c>
      <c r="L1323" t="n">
        <v>1</v>
      </c>
      <c r="M1323" t="n">
        <v>0</v>
      </c>
    </row>
    <row r="1324" spans="1:13">
      <c r="A1324" s="1">
        <f>HYPERLINK("http://www.twitter.com/NathanBLawrence/status/980758210863919105", "980758210863919105")</f>
        <v/>
      </c>
      <c r="B1324" s="2" t="n">
        <v>43192.4485300926</v>
      </c>
      <c r="C1324" t="n">
        <v>1</v>
      </c>
      <c r="D1324" t="n">
        <v>2</v>
      </c>
      <c r="E1324" t="s">
        <v>1323</v>
      </c>
      <c r="F1324" t="s"/>
      <c r="G1324" t="s"/>
      <c r="H1324" t="s"/>
      <c r="I1324" t="s"/>
      <c r="J1324" t="n">
        <v>0.4421</v>
      </c>
      <c r="K1324" t="n">
        <v>0.046</v>
      </c>
      <c r="L1324" t="n">
        <v>0.858</v>
      </c>
      <c r="M1324" t="n">
        <v>0.096</v>
      </c>
    </row>
    <row r="1325" spans="1:13">
      <c r="A1325" s="1">
        <f>HYPERLINK("http://www.twitter.com/NathanBLawrence/status/980754236962234370", "980754236962234370")</f>
        <v/>
      </c>
      <c r="B1325" s="2" t="n">
        <v>43192.43756944445</v>
      </c>
      <c r="C1325" t="n">
        <v>3</v>
      </c>
      <c r="D1325" t="n">
        <v>3</v>
      </c>
      <c r="E1325" t="s">
        <v>1324</v>
      </c>
      <c r="F1325" t="s"/>
      <c r="G1325" t="s"/>
      <c r="H1325" t="s"/>
      <c r="I1325" t="s"/>
      <c r="J1325" t="n">
        <v>-0.782</v>
      </c>
      <c r="K1325" t="n">
        <v>0.146</v>
      </c>
      <c r="L1325" t="n">
        <v>0.854</v>
      </c>
      <c r="M1325" t="n">
        <v>0</v>
      </c>
    </row>
    <row r="1326" spans="1:13">
      <c r="A1326" s="1">
        <f>HYPERLINK("http://www.twitter.com/NathanBLawrence/status/980744593812664320", "980744593812664320")</f>
        <v/>
      </c>
      <c r="B1326" s="2" t="n">
        <v>43192.41096064815</v>
      </c>
      <c r="C1326" t="n">
        <v>0</v>
      </c>
      <c r="D1326" t="n">
        <v>852</v>
      </c>
      <c r="E1326" t="s">
        <v>1325</v>
      </c>
      <c r="F1326" t="s"/>
      <c r="G1326" t="s"/>
      <c r="H1326" t="s"/>
      <c r="I1326" t="s"/>
      <c r="J1326" t="n">
        <v>0</v>
      </c>
      <c r="K1326" t="n">
        <v>0</v>
      </c>
      <c r="L1326" t="n">
        <v>1</v>
      </c>
      <c r="M1326" t="n">
        <v>0</v>
      </c>
    </row>
    <row r="1327" spans="1:13">
      <c r="A1327" s="1">
        <f>HYPERLINK("http://www.twitter.com/NathanBLawrence/status/980739799446368256", "980739799446368256")</f>
        <v/>
      </c>
      <c r="B1327" s="2" t="n">
        <v>43192.39773148148</v>
      </c>
      <c r="C1327" t="n">
        <v>0</v>
      </c>
      <c r="D1327" t="n">
        <v>552</v>
      </c>
      <c r="E1327" t="s">
        <v>1326</v>
      </c>
      <c r="F1327">
        <f>HYPERLINK("https://video.twimg.com/amplify_video/979892151570935808/vid/720x720/PBSoMcV6QWRiojJx.mp4", "https://video.twimg.com/amplify_video/979892151570935808/vid/720x720/PBSoMcV6QWRiojJx.mp4")</f>
        <v/>
      </c>
      <c r="G1327" t="s"/>
      <c r="H1327" t="s"/>
      <c r="I1327" t="s"/>
      <c r="J1327" t="n">
        <v>0.126</v>
      </c>
      <c r="K1327" t="n">
        <v>0.132</v>
      </c>
      <c r="L1327" t="n">
        <v>0.778</v>
      </c>
      <c r="M1327" t="n">
        <v>0.09</v>
      </c>
    </row>
    <row r="1328" spans="1:13">
      <c r="A1328" s="1">
        <f>HYPERLINK("http://www.twitter.com/NathanBLawrence/status/980668336584445952", "980668336584445952")</f>
        <v/>
      </c>
      <c r="B1328" s="2" t="n">
        <v>43192.20053240741</v>
      </c>
      <c r="C1328" t="n">
        <v>2</v>
      </c>
      <c r="D1328" t="n">
        <v>0</v>
      </c>
      <c r="E1328" t="s">
        <v>1327</v>
      </c>
      <c r="F1328" t="s"/>
      <c r="G1328" t="s"/>
      <c r="H1328" t="s"/>
      <c r="I1328" t="s"/>
      <c r="J1328" t="n">
        <v>-0.2263</v>
      </c>
      <c r="K1328" t="n">
        <v>0.174</v>
      </c>
      <c r="L1328" t="n">
        <v>0.826</v>
      </c>
      <c r="M1328" t="n">
        <v>0</v>
      </c>
    </row>
    <row r="1329" spans="1:13">
      <c r="A1329" s="1">
        <f>HYPERLINK("http://www.twitter.com/NathanBLawrence/status/980662014807805954", "980662014807805954")</f>
        <v/>
      </c>
      <c r="B1329" s="2" t="n">
        <v>43192.1830787037</v>
      </c>
      <c r="C1329" t="n">
        <v>0</v>
      </c>
      <c r="D1329" t="n">
        <v>1</v>
      </c>
      <c r="E1329" t="s">
        <v>1328</v>
      </c>
      <c r="F1329" t="s"/>
      <c r="G1329" t="s"/>
      <c r="H1329" t="s"/>
      <c r="I1329" t="s"/>
      <c r="J1329" t="n">
        <v>-0.2244</v>
      </c>
      <c r="K1329" t="n">
        <v>0.309</v>
      </c>
      <c r="L1329" t="n">
        <v>0.449</v>
      </c>
      <c r="M1329" t="n">
        <v>0.242</v>
      </c>
    </row>
    <row r="1330" spans="1:13">
      <c r="A1330" s="1">
        <f>HYPERLINK("http://www.twitter.com/NathanBLawrence/status/980658661738631168", "980658661738631168")</f>
        <v/>
      </c>
      <c r="B1330" s="2" t="n">
        <v>43192.17383101852</v>
      </c>
      <c r="C1330" t="n">
        <v>2</v>
      </c>
      <c r="D1330" t="n">
        <v>0</v>
      </c>
      <c r="E1330" t="s">
        <v>1329</v>
      </c>
      <c r="F1330" t="s"/>
      <c r="G1330" t="s"/>
      <c r="H1330" t="s"/>
      <c r="I1330" t="s"/>
      <c r="J1330" t="n">
        <v>0.6249</v>
      </c>
      <c r="K1330" t="n">
        <v>0</v>
      </c>
      <c r="L1330" t="n">
        <v>0.773</v>
      </c>
      <c r="M1330" t="n">
        <v>0.227</v>
      </c>
    </row>
    <row r="1331" spans="1:13">
      <c r="A1331" s="1">
        <f>HYPERLINK("http://www.twitter.com/NathanBLawrence/status/980640187532349444", "980640187532349444")</f>
        <v/>
      </c>
      <c r="B1331" s="2" t="n">
        <v>43192.12284722222</v>
      </c>
      <c r="C1331" t="n">
        <v>0</v>
      </c>
      <c r="D1331" t="n">
        <v>31</v>
      </c>
      <c r="E1331" t="s">
        <v>1330</v>
      </c>
      <c r="F1331" t="s"/>
      <c r="G1331" t="s"/>
      <c r="H1331" t="s"/>
      <c r="I1331" t="s"/>
      <c r="J1331" t="n">
        <v>-0.8442</v>
      </c>
      <c r="K1331" t="n">
        <v>0.336</v>
      </c>
      <c r="L1331" t="n">
        <v>0.664</v>
      </c>
      <c r="M1331" t="n">
        <v>0</v>
      </c>
    </row>
    <row r="1332" spans="1:13">
      <c r="A1332" s="1">
        <f>HYPERLINK("http://www.twitter.com/NathanBLawrence/status/980637179503370245", "980637179503370245")</f>
        <v/>
      </c>
      <c r="B1332" s="2" t="n">
        <v>43192.11454861111</v>
      </c>
      <c r="C1332" t="n">
        <v>55</v>
      </c>
      <c r="D1332" t="n">
        <v>31</v>
      </c>
      <c r="E1332" t="s">
        <v>1331</v>
      </c>
      <c r="F1332" t="s"/>
      <c r="G1332" t="s"/>
      <c r="H1332" t="s"/>
      <c r="I1332" t="s"/>
      <c r="J1332" t="n">
        <v>-0.8743</v>
      </c>
      <c r="K1332" t="n">
        <v>0.344</v>
      </c>
      <c r="L1332" t="n">
        <v>0.656</v>
      </c>
      <c r="M1332" t="n">
        <v>0</v>
      </c>
    </row>
    <row r="1333" spans="1:13">
      <c r="A1333" s="1">
        <f>HYPERLINK("http://www.twitter.com/NathanBLawrence/status/980587526850301952", "980587526850301952")</f>
        <v/>
      </c>
      <c r="B1333" s="2" t="n">
        <v>43191.97753472222</v>
      </c>
      <c r="C1333" t="n">
        <v>0</v>
      </c>
      <c r="D1333" t="n">
        <v>0</v>
      </c>
      <c r="E1333" t="s">
        <v>1332</v>
      </c>
      <c r="F1333" t="s"/>
      <c r="G1333" t="s"/>
      <c r="H1333" t="s"/>
      <c r="I1333" t="s"/>
      <c r="J1333" t="n">
        <v>-0.5904</v>
      </c>
      <c r="K1333" t="n">
        <v>0.5610000000000001</v>
      </c>
      <c r="L1333" t="n">
        <v>0.439</v>
      </c>
      <c r="M1333" t="n">
        <v>0</v>
      </c>
    </row>
    <row r="1334" spans="1:13">
      <c r="A1334" s="1">
        <f>HYPERLINK("http://www.twitter.com/NathanBLawrence/status/980586586340511745", "980586586340511745")</f>
        <v/>
      </c>
      <c r="B1334" s="2" t="n">
        <v>43191.97494212963</v>
      </c>
      <c r="C1334" t="n">
        <v>0</v>
      </c>
      <c r="D1334" t="n">
        <v>0</v>
      </c>
      <c r="E1334" t="s">
        <v>1333</v>
      </c>
      <c r="F1334" t="s"/>
      <c r="G1334" t="s"/>
      <c r="H1334" t="s"/>
      <c r="I1334" t="s"/>
      <c r="J1334" t="n">
        <v>-0.7029</v>
      </c>
      <c r="K1334" t="n">
        <v>0.318</v>
      </c>
      <c r="L1334" t="n">
        <v>0.595</v>
      </c>
      <c r="M1334" t="n">
        <v>0.08699999999999999</v>
      </c>
    </row>
    <row r="1335" spans="1:13">
      <c r="A1335" s="1">
        <f>HYPERLINK("http://www.twitter.com/NathanBLawrence/status/980585832934502401", "980585832934502401")</f>
        <v/>
      </c>
      <c r="B1335" s="2" t="n">
        <v>43191.9728587963</v>
      </c>
      <c r="C1335" t="n">
        <v>0</v>
      </c>
      <c r="D1335" t="n">
        <v>641</v>
      </c>
      <c r="E1335" t="s">
        <v>1334</v>
      </c>
      <c r="F1335">
        <f>HYPERLINK("https://video.twimg.com/ext_tw_video/821826161017819137/pu/vid/640x360/EpBvYhga5Hw5kOfC.mp4", "https://video.twimg.com/ext_tw_video/821826161017819137/pu/vid/640x360/EpBvYhga5Hw5kOfC.mp4")</f>
        <v/>
      </c>
      <c r="G1335" t="s"/>
      <c r="H1335" t="s"/>
      <c r="I1335" t="s"/>
      <c r="J1335" t="n">
        <v>-0.5266999999999999</v>
      </c>
      <c r="K1335" t="n">
        <v>0.328</v>
      </c>
      <c r="L1335" t="n">
        <v>0.672</v>
      </c>
      <c r="M1335" t="n">
        <v>0</v>
      </c>
    </row>
    <row r="1336" spans="1:13">
      <c r="A1336" s="1">
        <f>HYPERLINK("http://www.twitter.com/NathanBLawrence/status/980584952264822784", "980584952264822784")</f>
        <v/>
      </c>
      <c r="B1336" s="2" t="n">
        <v>43191.97042824074</v>
      </c>
      <c r="C1336" t="n">
        <v>0</v>
      </c>
      <c r="D1336" t="n">
        <v>72</v>
      </c>
      <c r="E1336" t="s">
        <v>1335</v>
      </c>
      <c r="F1336" t="s"/>
      <c r="G1336" t="s"/>
      <c r="H1336" t="s"/>
      <c r="I1336" t="s"/>
      <c r="J1336" t="n">
        <v>0.4215</v>
      </c>
      <c r="K1336" t="n">
        <v>0</v>
      </c>
      <c r="L1336" t="n">
        <v>0.877</v>
      </c>
      <c r="M1336" t="n">
        <v>0.123</v>
      </c>
    </row>
    <row r="1337" spans="1:13">
      <c r="A1337" s="1">
        <f>HYPERLINK("http://www.twitter.com/NathanBLawrence/status/980578852920578049", "980578852920578049")</f>
        <v/>
      </c>
      <c r="B1337" s="2" t="n">
        <v>43191.95359953704</v>
      </c>
      <c r="C1337" t="n">
        <v>0</v>
      </c>
      <c r="D1337" t="n">
        <v>0</v>
      </c>
      <c r="E1337" t="s">
        <v>1336</v>
      </c>
      <c r="F1337" t="s"/>
      <c r="G1337" t="s"/>
      <c r="H1337" t="s"/>
      <c r="I1337" t="s"/>
      <c r="J1337" t="n">
        <v>-0.0772</v>
      </c>
      <c r="K1337" t="n">
        <v>0.08400000000000001</v>
      </c>
      <c r="L1337" t="n">
        <v>0.841</v>
      </c>
      <c r="M1337" t="n">
        <v>0.074</v>
      </c>
    </row>
    <row r="1338" spans="1:13">
      <c r="A1338" s="1">
        <f>HYPERLINK("http://www.twitter.com/NathanBLawrence/status/980577277871259649", "980577277871259649")</f>
        <v/>
      </c>
      <c r="B1338" s="2" t="n">
        <v>43191.94924768519</v>
      </c>
      <c r="C1338" t="n">
        <v>0</v>
      </c>
      <c r="D1338" t="n">
        <v>0</v>
      </c>
      <c r="E1338" t="s">
        <v>1337</v>
      </c>
      <c r="F1338" t="s"/>
      <c r="G1338" t="s"/>
      <c r="H1338" t="s"/>
      <c r="I1338" t="s"/>
      <c r="J1338" t="n">
        <v>0.6588000000000001</v>
      </c>
      <c r="K1338" t="n">
        <v>0</v>
      </c>
      <c r="L1338" t="n">
        <v>0.671</v>
      </c>
      <c r="M1338" t="n">
        <v>0.329</v>
      </c>
    </row>
    <row r="1339" spans="1:13">
      <c r="A1339" s="1">
        <f>HYPERLINK("http://www.twitter.com/NathanBLawrence/status/980576240582254592", "980576240582254592")</f>
        <v/>
      </c>
      <c r="B1339" s="2" t="n">
        <v>43191.94638888889</v>
      </c>
      <c r="C1339" t="n">
        <v>0</v>
      </c>
      <c r="D1339" t="n">
        <v>0</v>
      </c>
      <c r="E1339" t="s">
        <v>1338</v>
      </c>
      <c r="F1339" t="s"/>
      <c r="G1339" t="s"/>
      <c r="H1339" t="s"/>
      <c r="I1339" t="s"/>
      <c r="J1339" t="n">
        <v>0.0609</v>
      </c>
      <c r="K1339" t="n">
        <v>0.074</v>
      </c>
      <c r="L1339" t="n">
        <v>0.844</v>
      </c>
      <c r="M1339" t="n">
        <v>0.081</v>
      </c>
    </row>
    <row r="1340" spans="1:13">
      <c r="A1340" s="1">
        <f>HYPERLINK("http://www.twitter.com/NathanBLawrence/status/980552964728393728", "980552964728393728")</f>
        <v/>
      </c>
      <c r="B1340" s="2" t="n">
        <v>43191.88216435185</v>
      </c>
      <c r="C1340" t="n">
        <v>2</v>
      </c>
      <c r="D1340" t="n">
        <v>0</v>
      </c>
      <c r="E1340" t="s">
        <v>1339</v>
      </c>
      <c r="F1340" t="s"/>
      <c r="G1340" t="s"/>
      <c r="H1340" t="s"/>
      <c r="I1340" t="s"/>
      <c r="J1340" t="n">
        <v>0.2942</v>
      </c>
      <c r="K1340" t="n">
        <v>0.205</v>
      </c>
      <c r="L1340" t="n">
        <v>0.449</v>
      </c>
      <c r="M1340" t="n">
        <v>0.346</v>
      </c>
    </row>
    <row r="1341" spans="1:13">
      <c r="A1341" s="1">
        <f>HYPERLINK("http://www.twitter.com/NathanBLawrence/status/980547161787191297", "980547161787191297")</f>
        <v/>
      </c>
      <c r="B1341" s="2" t="n">
        <v>43191.86614583333</v>
      </c>
      <c r="C1341" t="n">
        <v>0</v>
      </c>
      <c r="D1341" t="n">
        <v>116</v>
      </c>
      <c r="E1341" t="s">
        <v>1340</v>
      </c>
      <c r="F1341" t="s"/>
      <c r="G1341" t="s"/>
      <c r="H1341" t="s"/>
      <c r="I1341" t="s"/>
      <c r="J1341" t="n">
        <v>0.5266999999999999</v>
      </c>
      <c r="K1341" t="n">
        <v>0</v>
      </c>
      <c r="L1341" t="n">
        <v>0.82</v>
      </c>
      <c r="M1341" t="n">
        <v>0.18</v>
      </c>
    </row>
    <row r="1342" spans="1:13">
      <c r="A1342" s="1">
        <f>HYPERLINK("http://www.twitter.com/NathanBLawrence/status/980547003519250435", "980547003519250435")</f>
        <v/>
      </c>
      <c r="B1342" s="2" t="n">
        <v>43191.86570601852</v>
      </c>
      <c r="C1342" t="n">
        <v>0</v>
      </c>
      <c r="D1342" t="n">
        <v>269</v>
      </c>
      <c r="E1342" t="s">
        <v>1341</v>
      </c>
      <c r="F1342">
        <f>HYPERLINK("http://pbs.twimg.com/media/DZuVm2WXkAA4K_b.jpg", "http://pbs.twimg.com/media/DZuVm2WXkAA4K_b.jpg")</f>
        <v/>
      </c>
      <c r="G1342" t="s"/>
      <c r="H1342" t="s"/>
      <c r="I1342" t="s"/>
      <c r="J1342" t="n">
        <v>-0.2732</v>
      </c>
      <c r="K1342" t="n">
        <v>0.154</v>
      </c>
      <c r="L1342" t="n">
        <v>0.734</v>
      </c>
      <c r="M1342" t="n">
        <v>0.112</v>
      </c>
    </row>
    <row r="1343" spans="1:13">
      <c r="A1343" s="1">
        <f>HYPERLINK("http://www.twitter.com/NathanBLawrence/status/980504347174952960", "980504347174952960")</f>
        <v/>
      </c>
      <c r="B1343" s="2" t="n">
        <v>43191.74799768518</v>
      </c>
      <c r="C1343" t="n">
        <v>0</v>
      </c>
      <c r="D1343" t="n">
        <v>2865</v>
      </c>
      <c r="E1343" t="s">
        <v>1342</v>
      </c>
      <c r="F1343">
        <f>HYPERLINK("http://pbs.twimg.com/media/DZqr7uJWkAAa0yp.jpg", "http://pbs.twimg.com/media/DZqr7uJWkAAa0yp.jpg")</f>
        <v/>
      </c>
      <c r="G1343" t="s"/>
      <c r="H1343" t="s"/>
      <c r="I1343" t="s"/>
      <c r="J1343" t="n">
        <v>0.3182</v>
      </c>
      <c r="K1343" t="n">
        <v>0</v>
      </c>
      <c r="L1343" t="n">
        <v>0.905</v>
      </c>
      <c r="M1343" t="n">
        <v>0.095</v>
      </c>
    </row>
    <row r="1344" spans="1:13">
      <c r="A1344" s="1">
        <f>HYPERLINK("http://www.twitter.com/NathanBLawrence/status/980503750115807232", "980503750115807232")</f>
        <v/>
      </c>
      <c r="B1344" s="2" t="n">
        <v>43191.74635416667</v>
      </c>
      <c r="C1344" t="n">
        <v>0</v>
      </c>
      <c r="D1344" t="n">
        <v>14</v>
      </c>
      <c r="E1344" t="s">
        <v>1343</v>
      </c>
      <c r="F1344">
        <f>HYPERLINK("https://video.twimg.com/ext_tw_video/980499983203012609/pu/vid/320x180/bU8nfXCsFWopJVLe.mp4", "https://video.twimg.com/ext_tw_video/980499983203012609/pu/vid/320x180/bU8nfXCsFWopJVLe.mp4")</f>
        <v/>
      </c>
      <c r="G1344" t="s"/>
      <c r="H1344" t="s"/>
      <c r="I1344" t="s"/>
      <c r="J1344" t="n">
        <v>0.4019</v>
      </c>
      <c r="K1344" t="n">
        <v>0</v>
      </c>
      <c r="L1344" t="n">
        <v>0.895</v>
      </c>
      <c r="M1344" t="n">
        <v>0.105</v>
      </c>
    </row>
    <row r="1345" spans="1:13">
      <c r="A1345" s="1">
        <f>HYPERLINK("http://www.twitter.com/NathanBLawrence/status/980498497005858816", "980498497005858816")</f>
        <v/>
      </c>
      <c r="B1345" s="2" t="n">
        <v>43191.73186342593</v>
      </c>
      <c r="C1345" t="n">
        <v>4</v>
      </c>
      <c r="D1345" t="n">
        <v>0</v>
      </c>
      <c r="E1345" t="s">
        <v>1344</v>
      </c>
      <c r="F1345" t="s"/>
      <c r="G1345" t="s"/>
      <c r="H1345" t="s"/>
      <c r="I1345" t="s"/>
      <c r="J1345" t="n">
        <v>0</v>
      </c>
      <c r="K1345" t="n">
        <v>0</v>
      </c>
      <c r="L1345" t="n">
        <v>1</v>
      </c>
      <c r="M1345" t="n">
        <v>0</v>
      </c>
    </row>
    <row r="1346" spans="1:13">
      <c r="A1346" s="1">
        <f>HYPERLINK("http://www.twitter.com/NathanBLawrence/status/980495748214255616", "980495748214255616")</f>
        <v/>
      </c>
      <c r="B1346" s="2" t="n">
        <v>43191.72427083334</v>
      </c>
      <c r="C1346" t="n">
        <v>5</v>
      </c>
      <c r="D1346" t="n">
        <v>2</v>
      </c>
      <c r="E1346" t="s">
        <v>1345</v>
      </c>
      <c r="F1346" t="s"/>
      <c r="G1346" t="s"/>
      <c r="H1346" t="s"/>
      <c r="I1346" t="s"/>
      <c r="J1346" t="n">
        <v>0</v>
      </c>
      <c r="K1346" t="n">
        <v>0</v>
      </c>
      <c r="L1346" t="n">
        <v>1</v>
      </c>
      <c r="M1346" t="n">
        <v>0</v>
      </c>
    </row>
    <row r="1347" spans="1:13">
      <c r="A1347" s="1">
        <f>HYPERLINK("http://www.twitter.com/NathanBLawrence/status/980494905574338562", "980494905574338562")</f>
        <v/>
      </c>
      <c r="B1347" s="2" t="n">
        <v>43191.72194444444</v>
      </c>
      <c r="C1347" t="n">
        <v>0</v>
      </c>
      <c r="D1347" t="n">
        <v>1</v>
      </c>
      <c r="E1347" t="s">
        <v>1346</v>
      </c>
      <c r="F1347" t="s"/>
      <c r="G1347" t="s"/>
      <c r="H1347" t="s"/>
      <c r="I1347" t="s"/>
      <c r="J1347" t="n">
        <v>0</v>
      </c>
      <c r="K1347" t="n">
        <v>0</v>
      </c>
      <c r="L1347" t="n">
        <v>1</v>
      </c>
      <c r="M1347" t="n">
        <v>0</v>
      </c>
    </row>
    <row r="1348" spans="1:13">
      <c r="A1348" s="1">
        <f>HYPERLINK("http://www.twitter.com/NathanBLawrence/status/980491483332702208", "980491483332702208")</f>
        <v/>
      </c>
      <c r="B1348" s="2" t="n">
        <v>43191.7125</v>
      </c>
      <c r="C1348" t="n">
        <v>0</v>
      </c>
      <c r="D1348" t="n">
        <v>194</v>
      </c>
      <c r="E1348" t="s">
        <v>1347</v>
      </c>
      <c r="F1348">
        <f>HYPERLINK("http://pbs.twimg.com/media/DZpo9gwUMAEPXT8.jpg", "http://pbs.twimg.com/media/DZpo9gwUMAEPXT8.jpg")</f>
        <v/>
      </c>
      <c r="G1348" t="s"/>
      <c r="H1348" t="s"/>
      <c r="I1348" t="s"/>
      <c r="J1348" t="n">
        <v>0.8256</v>
      </c>
      <c r="K1348" t="n">
        <v>0</v>
      </c>
      <c r="L1348" t="n">
        <v>0.634</v>
      </c>
      <c r="M1348" t="n">
        <v>0.366</v>
      </c>
    </row>
    <row r="1349" spans="1:13">
      <c r="A1349" s="1">
        <f>HYPERLINK("http://www.twitter.com/NathanBLawrence/status/980477724623073280", "980477724623073280")</f>
        <v/>
      </c>
      <c r="B1349" s="2" t="n">
        <v>43191.67453703703</v>
      </c>
      <c r="C1349" t="n">
        <v>33</v>
      </c>
      <c r="D1349" t="n">
        <v>17</v>
      </c>
      <c r="E1349" t="s">
        <v>1348</v>
      </c>
      <c r="F1349">
        <f>HYPERLINK("http://pbs.twimg.com/media/DZtbRv_X4AEyT8Z.jpg", "http://pbs.twimg.com/media/DZtbRv_X4AEyT8Z.jpg")</f>
        <v/>
      </c>
      <c r="G1349" t="s"/>
      <c r="H1349" t="s"/>
      <c r="I1349" t="s"/>
      <c r="J1349" t="n">
        <v>0</v>
      </c>
      <c r="K1349" t="n">
        <v>0</v>
      </c>
      <c r="L1349" t="n">
        <v>1</v>
      </c>
      <c r="M1349" t="n">
        <v>0</v>
      </c>
    </row>
    <row r="1350" spans="1:13">
      <c r="A1350" s="1">
        <f>HYPERLINK("http://www.twitter.com/NathanBLawrence/status/980452929193893888", "980452929193893888")</f>
        <v/>
      </c>
      <c r="B1350" s="2" t="n">
        <v>43191.60611111111</v>
      </c>
      <c r="C1350" t="n">
        <v>0</v>
      </c>
      <c r="D1350" t="n">
        <v>108</v>
      </c>
      <c r="E1350" t="s">
        <v>1349</v>
      </c>
      <c r="F1350" t="s"/>
      <c r="G1350" t="s"/>
      <c r="H1350" t="s"/>
      <c r="I1350" t="s"/>
      <c r="J1350" t="n">
        <v>0.2732</v>
      </c>
      <c r="K1350" t="n">
        <v>0.137</v>
      </c>
      <c r="L1350" t="n">
        <v>0.643</v>
      </c>
      <c r="M1350" t="n">
        <v>0.221</v>
      </c>
    </row>
    <row r="1351" spans="1:13">
      <c r="A1351" s="1">
        <f>HYPERLINK("http://www.twitter.com/NathanBLawrence/status/980451581589164033", "980451581589164033")</f>
        <v/>
      </c>
      <c r="B1351" s="2" t="n">
        <v>43191.60239583333</v>
      </c>
      <c r="C1351" t="n">
        <v>0</v>
      </c>
      <c r="D1351" t="n">
        <v>49</v>
      </c>
      <c r="E1351" t="s">
        <v>1350</v>
      </c>
      <c r="F1351">
        <f>HYPERLINK("https://video.twimg.com/ext_tw_video/934204413702430720/pu/vid/720x1280/ThhNotmw2EUmnOo9.mp4", "https://video.twimg.com/ext_tw_video/934204413702430720/pu/vid/720x1280/ThhNotmw2EUmnOo9.mp4")</f>
        <v/>
      </c>
      <c r="G1351" t="s"/>
      <c r="H1351" t="s"/>
      <c r="I1351" t="s"/>
      <c r="J1351" t="n">
        <v>0.9432</v>
      </c>
      <c r="K1351" t="n">
        <v>0</v>
      </c>
      <c r="L1351" t="n">
        <v>0.6</v>
      </c>
      <c r="M1351" t="n">
        <v>0.4</v>
      </c>
    </row>
    <row r="1352" spans="1:13">
      <c r="A1352" s="1">
        <f>HYPERLINK("http://www.twitter.com/NathanBLawrence/status/980449996272218112", "980449996272218112")</f>
        <v/>
      </c>
      <c r="B1352" s="2" t="n">
        <v>43191.59802083333</v>
      </c>
      <c r="C1352" t="n">
        <v>0</v>
      </c>
      <c r="D1352" t="n">
        <v>1</v>
      </c>
      <c r="E1352" t="s">
        <v>1351</v>
      </c>
      <c r="F1352" t="s"/>
      <c r="G1352" t="s"/>
      <c r="H1352" t="s"/>
      <c r="I1352" t="s"/>
      <c r="J1352" t="n">
        <v>0</v>
      </c>
      <c r="K1352" t="n">
        <v>0</v>
      </c>
      <c r="L1352" t="n">
        <v>1</v>
      </c>
      <c r="M1352" t="n">
        <v>0</v>
      </c>
    </row>
    <row r="1353" spans="1:13">
      <c r="A1353" s="1">
        <f>HYPERLINK("http://www.twitter.com/NathanBLawrence/status/980449542918361088", "980449542918361088")</f>
        <v/>
      </c>
      <c r="B1353" s="2" t="n">
        <v>43191.59677083333</v>
      </c>
      <c r="C1353" t="n">
        <v>0</v>
      </c>
      <c r="D1353" t="n">
        <v>2</v>
      </c>
      <c r="E1353" t="s">
        <v>1352</v>
      </c>
      <c r="F1353" t="s"/>
      <c r="G1353" t="s"/>
      <c r="H1353" t="s"/>
      <c r="I1353" t="s"/>
      <c r="J1353" t="n">
        <v>0.8692</v>
      </c>
      <c r="K1353" t="n">
        <v>0.108</v>
      </c>
      <c r="L1353" t="n">
        <v>0.482</v>
      </c>
      <c r="M1353" t="n">
        <v>0.411</v>
      </c>
    </row>
    <row r="1354" spans="1:13">
      <c r="A1354" s="1">
        <f>HYPERLINK("http://www.twitter.com/NathanBLawrence/status/980448743337099264", "980448743337099264")</f>
        <v/>
      </c>
      <c r="B1354" s="2" t="n">
        <v>43191.59456018519</v>
      </c>
      <c r="C1354" t="n">
        <v>1</v>
      </c>
      <c r="D1354" t="n">
        <v>2</v>
      </c>
      <c r="E1354" t="s">
        <v>1353</v>
      </c>
      <c r="F1354" t="s"/>
      <c r="G1354" t="s"/>
      <c r="H1354" t="s"/>
      <c r="I1354" t="s"/>
      <c r="J1354" t="n">
        <v>-0.3029</v>
      </c>
      <c r="K1354" t="n">
        <v>0.236</v>
      </c>
      <c r="L1354" t="n">
        <v>0.5679999999999999</v>
      </c>
      <c r="M1354" t="n">
        <v>0.196</v>
      </c>
    </row>
    <row r="1355" spans="1:13">
      <c r="A1355" s="1">
        <f>HYPERLINK("http://www.twitter.com/NathanBLawrence/status/980345165226348544", "980345165226348544")</f>
        <v/>
      </c>
      <c r="B1355" s="2" t="n">
        <v>43191.30873842593</v>
      </c>
      <c r="C1355" t="n">
        <v>0</v>
      </c>
      <c r="D1355" t="n">
        <v>9</v>
      </c>
      <c r="E1355" t="s">
        <v>1354</v>
      </c>
      <c r="F1355">
        <f>HYPERLINK("http://pbs.twimg.com/media/DZn2QRNUMAA7ckm.jpg", "http://pbs.twimg.com/media/DZn2QRNUMAA7ckm.jpg")</f>
        <v/>
      </c>
      <c r="G1355" t="s"/>
      <c r="H1355" t="s"/>
      <c r="I1355" t="s"/>
      <c r="J1355" t="n">
        <v>0</v>
      </c>
      <c r="K1355" t="n">
        <v>0</v>
      </c>
      <c r="L1355" t="n">
        <v>1</v>
      </c>
      <c r="M1355" t="n">
        <v>0</v>
      </c>
    </row>
    <row r="1356" spans="1:13">
      <c r="A1356" s="1">
        <f>HYPERLINK("http://www.twitter.com/NathanBLawrence/status/980305874118959104", "980305874118959104")</f>
        <v/>
      </c>
      <c r="B1356" s="2" t="n">
        <v>43191.20032407407</v>
      </c>
      <c r="C1356" t="n">
        <v>0</v>
      </c>
      <c r="D1356" t="n">
        <v>3110</v>
      </c>
      <c r="E1356" t="s">
        <v>1355</v>
      </c>
      <c r="F1356">
        <f>HYPERLINK("https://video.twimg.com/ext_tw_video/979744118833164289/pu/vid/720x1280/rnKrtavGDw-7aXYi.mp4", "https://video.twimg.com/ext_tw_video/979744118833164289/pu/vid/720x1280/rnKrtavGDw-7aXYi.mp4")</f>
        <v/>
      </c>
      <c r="G1356" t="s"/>
      <c r="H1356" t="s"/>
      <c r="I1356" t="s"/>
      <c r="J1356" t="n">
        <v>-0.5574</v>
      </c>
      <c r="K1356" t="n">
        <v>0.141</v>
      </c>
      <c r="L1356" t="n">
        <v>0.859</v>
      </c>
      <c r="M1356" t="n">
        <v>0</v>
      </c>
    </row>
    <row r="1357" spans="1:13">
      <c r="A1357" s="1">
        <f>HYPERLINK("http://www.twitter.com/NathanBLawrence/status/980303260631355392", "980303260631355392")</f>
        <v/>
      </c>
      <c r="B1357" s="2" t="n">
        <v>43191.19311342593</v>
      </c>
      <c r="C1357" t="n">
        <v>0</v>
      </c>
      <c r="D1357" t="n">
        <v>224</v>
      </c>
      <c r="E1357" t="s">
        <v>1356</v>
      </c>
      <c r="F1357">
        <f>HYPERLINK("http://pbs.twimg.com/media/DZpkFuJUMAA2tnB.jpg", "http://pbs.twimg.com/media/DZpkFuJUMAA2tnB.jpg")</f>
        <v/>
      </c>
      <c r="G1357" t="s"/>
      <c r="H1357" t="s"/>
      <c r="I1357" t="s"/>
      <c r="J1357" t="n">
        <v>0</v>
      </c>
      <c r="K1357" t="n">
        <v>0</v>
      </c>
      <c r="L1357" t="n">
        <v>1</v>
      </c>
      <c r="M1357" t="n">
        <v>0</v>
      </c>
    </row>
    <row r="1358" spans="1:13">
      <c r="A1358" s="1">
        <f>HYPERLINK("http://www.twitter.com/NathanBLawrence/status/980303104942931968", "980303104942931968")</f>
        <v/>
      </c>
      <c r="B1358" s="2" t="n">
        <v>43191.19268518518</v>
      </c>
      <c r="C1358" t="n">
        <v>0</v>
      </c>
      <c r="D1358" t="n">
        <v>111</v>
      </c>
      <c r="E1358" t="s">
        <v>1357</v>
      </c>
      <c r="F1358">
        <f>HYPERLINK("http://pbs.twimg.com/media/DZpSv7gXkAIAetJ.jpg", "http://pbs.twimg.com/media/DZpSv7gXkAIAetJ.jpg")</f>
        <v/>
      </c>
      <c r="G1358" t="s"/>
      <c r="H1358" t="s"/>
      <c r="I1358" t="s"/>
      <c r="J1358" t="n">
        <v>0</v>
      </c>
      <c r="K1358" t="n">
        <v>0</v>
      </c>
      <c r="L1358" t="n">
        <v>1</v>
      </c>
      <c r="M1358" t="n">
        <v>0</v>
      </c>
    </row>
    <row r="1359" spans="1:13">
      <c r="A1359" s="1">
        <f>HYPERLINK("http://www.twitter.com/NathanBLawrence/status/980300476007768064", "980300476007768064")</f>
        <v/>
      </c>
      <c r="B1359" s="2" t="n">
        <v>43191.18542824074</v>
      </c>
      <c r="C1359" t="n">
        <v>0</v>
      </c>
      <c r="D1359" t="n">
        <v>0</v>
      </c>
      <c r="E1359" t="s">
        <v>1358</v>
      </c>
      <c r="F1359" t="s"/>
      <c r="G1359" t="s"/>
      <c r="H1359" t="s"/>
      <c r="I1359" t="s"/>
      <c r="J1359" t="n">
        <v>-0.5446</v>
      </c>
      <c r="K1359" t="n">
        <v>0.249</v>
      </c>
      <c r="L1359" t="n">
        <v>0.573</v>
      </c>
      <c r="M1359" t="n">
        <v>0.177</v>
      </c>
    </row>
    <row r="1360" spans="1:13">
      <c r="A1360" s="1">
        <f>HYPERLINK("http://www.twitter.com/NathanBLawrence/status/980282646709391362", "980282646709391362")</f>
        <v/>
      </c>
      <c r="B1360" s="2" t="n">
        <v>43191.13622685185</v>
      </c>
      <c r="C1360" t="n">
        <v>0</v>
      </c>
      <c r="D1360" t="n">
        <v>15</v>
      </c>
      <c r="E1360" t="s">
        <v>1359</v>
      </c>
      <c r="F1360">
        <f>HYPERLINK("http://pbs.twimg.com/media/DZqUdR9UMAEXlZg.jpg", "http://pbs.twimg.com/media/DZqUdR9UMAEXlZg.jpg")</f>
        <v/>
      </c>
      <c r="G1360" t="s"/>
      <c r="H1360" t="s"/>
      <c r="I1360" t="s"/>
      <c r="J1360" t="n">
        <v>0</v>
      </c>
      <c r="K1360" t="n">
        <v>0</v>
      </c>
      <c r="L1360" t="n">
        <v>1</v>
      </c>
      <c r="M1360" t="n">
        <v>0</v>
      </c>
    </row>
    <row r="1361" spans="1:13">
      <c r="A1361" s="1">
        <f>HYPERLINK("http://www.twitter.com/NathanBLawrence/status/980281765108551680", "980281765108551680")</f>
        <v/>
      </c>
      <c r="B1361" s="2" t="n">
        <v>43191.13379629629</v>
      </c>
      <c r="C1361" t="n">
        <v>0</v>
      </c>
      <c r="D1361" t="n">
        <v>2</v>
      </c>
      <c r="E1361" t="s">
        <v>1360</v>
      </c>
      <c r="F1361" t="s"/>
      <c r="G1361" t="s"/>
      <c r="H1361" t="s"/>
      <c r="I1361" t="s"/>
      <c r="J1361" t="n">
        <v>0</v>
      </c>
      <c r="K1361" t="n">
        <v>0</v>
      </c>
      <c r="L1361" t="n">
        <v>1</v>
      </c>
      <c r="M1361" t="n">
        <v>0</v>
      </c>
    </row>
    <row r="1362" spans="1:13">
      <c r="A1362" s="1">
        <f>HYPERLINK("http://www.twitter.com/NathanBLawrence/status/980253846055325696", "980253846055325696")</f>
        <v/>
      </c>
      <c r="B1362" s="2" t="n">
        <v>43191.05674768519</v>
      </c>
      <c r="C1362" t="n">
        <v>1</v>
      </c>
      <c r="D1362" t="n">
        <v>1</v>
      </c>
      <c r="E1362" t="s">
        <v>1361</v>
      </c>
      <c r="F1362" t="s"/>
      <c r="G1362" t="s"/>
      <c r="H1362" t="s"/>
      <c r="I1362" t="s"/>
      <c r="J1362" t="n">
        <v>-0.5610000000000001</v>
      </c>
      <c r="K1362" t="n">
        <v>0.11</v>
      </c>
      <c r="L1362" t="n">
        <v>0.849</v>
      </c>
      <c r="M1362" t="n">
        <v>0.041</v>
      </c>
    </row>
    <row r="1363" spans="1:13">
      <c r="A1363" s="1">
        <f>HYPERLINK("http://www.twitter.com/NathanBLawrence/status/980250620534972416", "980250620534972416")</f>
        <v/>
      </c>
      <c r="B1363" s="2" t="n">
        <v>43191.04784722222</v>
      </c>
      <c r="C1363" t="n">
        <v>1</v>
      </c>
      <c r="D1363" t="n">
        <v>1</v>
      </c>
      <c r="E1363" t="s">
        <v>1362</v>
      </c>
      <c r="F1363" t="s"/>
      <c r="G1363" t="s"/>
      <c r="H1363" t="s"/>
      <c r="I1363" t="s"/>
      <c r="J1363" t="n">
        <v>-0.8176</v>
      </c>
      <c r="K1363" t="n">
        <v>0.288</v>
      </c>
      <c r="L1363" t="n">
        <v>0.627</v>
      </c>
      <c r="M1363" t="n">
        <v>0.08500000000000001</v>
      </c>
    </row>
    <row r="1364" spans="1:13">
      <c r="A1364" s="1">
        <f>HYPERLINK("http://www.twitter.com/NathanBLawrence/status/980241202749542400", "980241202749542400")</f>
        <v/>
      </c>
      <c r="B1364" s="2" t="n">
        <v>43191.02186342593</v>
      </c>
      <c r="C1364" t="n">
        <v>0</v>
      </c>
      <c r="D1364" t="n">
        <v>955</v>
      </c>
      <c r="E1364" t="s">
        <v>519</v>
      </c>
      <c r="F1364" t="s"/>
      <c r="G1364" t="s"/>
      <c r="H1364" t="s"/>
      <c r="I1364" t="s"/>
      <c r="J1364" t="n">
        <v>0.0258</v>
      </c>
      <c r="K1364" t="n">
        <v>0</v>
      </c>
      <c r="L1364" t="n">
        <v>0.9419999999999999</v>
      </c>
      <c r="M1364" t="n">
        <v>0.058</v>
      </c>
    </row>
    <row r="1365" spans="1:13">
      <c r="A1365" s="1">
        <f>HYPERLINK("http://www.twitter.com/NathanBLawrence/status/980237015840063488", "980237015840063488")</f>
        <v/>
      </c>
      <c r="B1365" s="2" t="n">
        <v>43191.0103125</v>
      </c>
      <c r="C1365" t="n">
        <v>0</v>
      </c>
      <c r="D1365" t="n">
        <v>1</v>
      </c>
      <c r="E1365" t="s">
        <v>1363</v>
      </c>
      <c r="F1365" t="s"/>
      <c r="G1365" t="s"/>
      <c r="H1365" t="s"/>
      <c r="I1365" t="s"/>
      <c r="J1365" t="n">
        <v>0</v>
      </c>
      <c r="K1365" t="n">
        <v>0</v>
      </c>
      <c r="L1365" t="n">
        <v>1</v>
      </c>
      <c r="M1365" t="n">
        <v>0</v>
      </c>
    </row>
    <row r="1366" spans="1:13">
      <c r="A1366" s="1">
        <f>HYPERLINK("http://www.twitter.com/NathanBLawrence/status/980181871937183744", "980181871937183744")</f>
        <v/>
      </c>
      <c r="B1366" s="2" t="n">
        <v>43190.85813657408</v>
      </c>
      <c r="C1366" t="n">
        <v>6</v>
      </c>
      <c r="D1366" t="n">
        <v>6</v>
      </c>
      <c r="E1366" t="s">
        <v>1364</v>
      </c>
      <c r="F1366" t="s"/>
      <c r="G1366" t="s"/>
      <c r="H1366" t="s"/>
      <c r="I1366" t="s"/>
      <c r="J1366" t="n">
        <v>0</v>
      </c>
      <c r="K1366" t="n">
        <v>0</v>
      </c>
      <c r="L1366" t="n">
        <v>1</v>
      </c>
      <c r="M1366" t="n">
        <v>0</v>
      </c>
    </row>
    <row r="1367" spans="1:13">
      <c r="A1367" s="1">
        <f>HYPERLINK("http://www.twitter.com/NathanBLawrence/status/980178586903695362", "980178586903695362")</f>
        <v/>
      </c>
      <c r="B1367" s="2" t="n">
        <v>43190.84907407407</v>
      </c>
      <c r="C1367" t="n">
        <v>0</v>
      </c>
      <c r="D1367" t="n">
        <v>1</v>
      </c>
      <c r="E1367" t="s">
        <v>1365</v>
      </c>
      <c r="F1367" t="s"/>
      <c r="G1367" t="s"/>
      <c r="H1367" t="s"/>
      <c r="I1367" t="s"/>
      <c r="J1367" t="n">
        <v>0</v>
      </c>
      <c r="K1367" t="n">
        <v>0</v>
      </c>
      <c r="L1367" t="n">
        <v>1</v>
      </c>
      <c r="M1367" t="n">
        <v>0</v>
      </c>
    </row>
    <row r="1368" spans="1:13">
      <c r="A1368" s="1">
        <f>HYPERLINK("http://www.twitter.com/NathanBLawrence/status/980177916779786240", "980177916779786240")</f>
        <v/>
      </c>
      <c r="B1368" s="2" t="n">
        <v>43190.84722222222</v>
      </c>
      <c r="C1368" t="n">
        <v>33</v>
      </c>
      <c r="D1368" t="n">
        <v>43</v>
      </c>
      <c r="E1368" t="s">
        <v>1366</v>
      </c>
      <c r="F1368" t="s"/>
      <c r="G1368" t="s"/>
      <c r="H1368" t="s"/>
      <c r="I1368" t="s"/>
      <c r="J1368" t="n">
        <v>-0.7684</v>
      </c>
      <c r="K1368" t="n">
        <v>0.235</v>
      </c>
      <c r="L1368" t="n">
        <v>0.675</v>
      </c>
      <c r="M1368" t="n">
        <v>0.09</v>
      </c>
    </row>
    <row r="1369" spans="1:13">
      <c r="A1369" s="1">
        <f>HYPERLINK("http://www.twitter.com/NathanBLawrence/status/980164948578963456", "980164948578963456")</f>
        <v/>
      </c>
      <c r="B1369" s="2" t="n">
        <v>43190.81143518518</v>
      </c>
      <c r="C1369" t="n">
        <v>0</v>
      </c>
      <c r="D1369" t="n">
        <v>17</v>
      </c>
      <c r="E1369" t="s">
        <v>1367</v>
      </c>
      <c r="F1369" t="s"/>
      <c r="G1369" t="s"/>
      <c r="H1369" t="s"/>
      <c r="I1369" t="s"/>
      <c r="J1369" t="n">
        <v>0</v>
      </c>
      <c r="K1369" t="n">
        <v>0</v>
      </c>
      <c r="L1369" t="n">
        <v>1</v>
      </c>
      <c r="M1369" t="n">
        <v>0</v>
      </c>
    </row>
    <row r="1370" spans="1:13">
      <c r="A1370" s="1">
        <f>HYPERLINK("http://www.twitter.com/NathanBLawrence/status/980149873365389312", "980149873365389312")</f>
        <v/>
      </c>
      <c r="B1370" s="2" t="n">
        <v>43190.76983796297</v>
      </c>
      <c r="C1370" t="n">
        <v>0</v>
      </c>
      <c r="D1370" t="n">
        <v>169</v>
      </c>
      <c r="E1370" t="s">
        <v>1368</v>
      </c>
      <c r="F1370">
        <f>HYPERLINK("http://pbs.twimg.com/media/DZncntuXkAA8rps.jpg", "http://pbs.twimg.com/media/DZncntuXkAA8rps.jpg")</f>
        <v/>
      </c>
      <c r="G1370" t="s"/>
      <c r="H1370" t="s"/>
      <c r="I1370" t="s"/>
      <c r="J1370" t="n">
        <v>-0.5904</v>
      </c>
      <c r="K1370" t="n">
        <v>0.434</v>
      </c>
      <c r="L1370" t="n">
        <v>0.5659999999999999</v>
      </c>
      <c r="M1370" t="n">
        <v>0</v>
      </c>
    </row>
    <row r="1371" spans="1:13">
      <c r="A1371" s="1">
        <f>HYPERLINK("http://www.twitter.com/NathanBLawrence/status/980148814433710081", "980148814433710081")</f>
        <v/>
      </c>
      <c r="B1371" s="2" t="n">
        <v>43190.76692129629</v>
      </c>
      <c r="C1371" t="n">
        <v>2</v>
      </c>
      <c r="D1371" t="n">
        <v>2</v>
      </c>
      <c r="E1371" t="s">
        <v>1364</v>
      </c>
      <c r="F1371" t="s"/>
      <c r="G1371" t="s"/>
      <c r="H1371" t="s"/>
      <c r="I1371" t="s"/>
      <c r="J1371" t="n">
        <v>0</v>
      </c>
      <c r="K1371" t="n">
        <v>0</v>
      </c>
      <c r="L1371" t="n">
        <v>1</v>
      </c>
      <c r="M1371" t="n">
        <v>0</v>
      </c>
    </row>
    <row r="1372" spans="1:13">
      <c r="A1372" s="1">
        <f>HYPERLINK("http://www.twitter.com/NathanBLawrence/status/980108173129510912", "980108173129510912")</f>
        <v/>
      </c>
      <c r="B1372" s="2" t="n">
        <v>43190.65476851852</v>
      </c>
      <c r="C1372" t="n">
        <v>0</v>
      </c>
      <c r="D1372" t="n">
        <v>3</v>
      </c>
      <c r="E1372" t="s">
        <v>1369</v>
      </c>
      <c r="F1372">
        <f>HYPERLINK("http://pbs.twimg.com/media/DZlUj9LUMAAVJW1.jpg", "http://pbs.twimg.com/media/DZlUj9LUMAAVJW1.jpg")</f>
        <v/>
      </c>
      <c r="G1372" t="s"/>
      <c r="H1372" t="s"/>
      <c r="I1372" t="s"/>
      <c r="J1372" t="n">
        <v>0.6486</v>
      </c>
      <c r="K1372" t="n">
        <v>0</v>
      </c>
      <c r="L1372" t="n">
        <v>0.762</v>
      </c>
      <c r="M1372" t="n">
        <v>0.238</v>
      </c>
    </row>
    <row r="1373" spans="1:13">
      <c r="A1373" s="1">
        <f>HYPERLINK("http://www.twitter.com/NathanBLawrence/status/980105834792439808", "980105834792439808")</f>
        <v/>
      </c>
      <c r="B1373" s="2" t="n">
        <v>43190.64832175926</v>
      </c>
      <c r="C1373" t="n">
        <v>0</v>
      </c>
      <c r="D1373" t="n">
        <v>4</v>
      </c>
      <c r="E1373" t="s">
        <v>1370</v>
      </c>
      <c r="F1373" t="s"/>
      <c r="G1373" t="s"/>
      <c r="H1373" t="s"/>
      <c r="I1373" t="s"/>
      <c r="J1373" t="n">
        <v>0.9013</v>
      </c>
      <c r="K1373" t="n">
        <v>0</v>
      </c>
      <c r="L1373" t="n">
        <v>0.5639999999999999</v>
      </c>
      <c r="M1373" t="n">
        <v>0.436</v>
      </c>
    </row>
    <row r="1374" spans="1:13">
      <c r="A1374" s="1">
        <f>HYPERLINK("http://www.twitter.com/NathanBLawrence/status/980105742870024194", "980105742870024194")</f>
        <v/>
      </c>
      <c r="B1374" s="2" t="n">
        <v>43190.64806712963</v>
      </c>
      <c r="C1374" t="n">
        <v>4</v>
      </c>
      <c r="D1374" t="n">
        <v>4</v>
      </c>
      <c r="E1374" t="s">
        <v>1371</v>
      </c>
      <c r="F1374" t="s"/>
      <c r="G1374" t="s"/>
      <c r="H1374" t="s"/>
      <c r="I1374" t="s"/>
      <c r="J1374" t="n">
        <v>0.9013</v>
      </c>
      <c r="K1374" t="n">
        <v>0</v>
      </c>
      <c r="L1374" t="n">
        <v>0.522</v>
      </c>
      <c r="M1374" t="n">
        <v>0.478</v>
      </c>
    </row>
    <row r="1375" spans="1:13">
      <c r="A1375" s="1">
        <f>HYPERLINK("http://www.twitter.com/NathanBLawrence/status/980101526139162626", "980101526139162626")</f>
        <v/>
      </c>
      <c r="B1375" s="2" t="n">
        <v>43190.63642361111</v>
      </c>
      <c r="C1375" t="n">
        <v>0</v>
      </c>
      <c r="D1375" t="n">
        <v>0</v>
      </c>
      <c r="E1375" t="s">
        <v>1372</v>
      </c>
      <c r="F1375" t="s"/>
      <c r="G1375" t="s"/>
      <c r="H1375" t="s"/>
      <c r="I1375" t="s"/>
      <c r="J1375" t="n">
        <v>-0.7513</v>
      </c>
      <c r="K1375" t="n">
        <v>0.436</v>
      </c>
      <c r="L1375" t="n">
        <v>0.5639999999999999</v>
      </c>
      <c r="M1375" t="n">
        <v>0</v>
      </c>
    </row>
    <row r="1376" spans="1:13">
      <c r="A1376" s="1">
        <f>HYPERLINK("http://www.twitter.com/NathanBLawrence/status/980079606400241669", "980079606400241669")</f>
        <v/>
      </c>
      <c r="B1376" s="2" t="n">
        <v>43190.5759375</v>
      </c>
      <c r="C1376" t="n">
        <v>0</v>
      </c>
      <c r="D1376" t="n">
        <v>25</v>
      </c>
      <c r="E1376" t="s">
        <v>1373</v>
      </c>
      <c r="F1376">
        <f>HYPERLINK("http://pbs.twimg.com/media/DZm8Cp-WsAAG4eV.jpg", "http://pbs.twimg.com/media/DZm8Cp-WsAAG4eV.jpg")</f>
        <v/>
      </c>
      <c r="G1376" t="s"/>
      <c r="H1376" t="s"/>
      <c r="I1376" t="s"/>
      <c r="J1376" t="n">
        <v>0.2789</v>
      </c>
      <c r="K1376" t="n">
        <v>0.175</v>
      </c>
      <c r="L1376" t="n">
        <v>0.608</v>
      </c>
      <c r="M1376" t="n">
        <v>0.217</v>
      </c>
    </row>
    <row r="1377" spans="1:13">
      <c r="A1377" s="1">
        <f>HYPERLINK("http://www.twitter.com/NathanBLawrence/status/979914382384816128", "979914382384816128")</f>
        <v/>
      </c>
      <c r="B1377" s="2" t="n">
        <v>43190.12001157407</v>
      </c>
      <c r="C1377" t="n">
        <v>0</v>
      </c>
      <c r="D1377" t="n">
        <v>1581</v>
      </c>
      <c r="E1377" t="s">
        <v>1374</v>
      </c>
      <c r="F1377" t="s"/>
      <c r="G1377" t="s"/>
      <c r="H1377" t="s"/>
      <c r="I1377" t="s"/>
      <c r="J1377" t="n">
        <v>0.8126</v>
      </c>
      <c r="K1377" t="n">
        <v>0</v>
      </c>
      <c r="L1377" t="n">
        <v>0.72</v>
      </c>
      <c r="M1377" t="n">
        <v>0.28</v>
      </c>
    </row>
    <row r="1378" spans="1:13">
      <c r="A1378" s="1">
        <f>HYPERLINK("http://www.twitter.com/NathanBLawrence/status/979906124735565824", "979906124735565824")</f>
        <v/>
      </c>
      <c r="B1378" s="2" t="n">
        <v>43190.09722222222</v>
      </c>
      <c r="C1378" t="n">
        <v>0</v>
      </c>
      <c r="D1378" t="n">
        <v>5</v>
      </c>
      <c r="E1378" t="s">
        <v>1375</v>
      </c>
      <c r="F1378" t="s"/>
      <c r="G1378" t="s"/>
      <c r="H1378" t="s"/>
      <c r="I1378" t="s"/>
      <c r="J1378" t="n">
        <v>-0.5719</v>
      </c>
      <c r="K1378" t="n">
        <v>0.252</v>
      </c>
      <c r="L1378" t="n">
        <v>0.748</v>
      </c>
      <c r="M1378" t="n">
        <v>0</v>
      </c>
    </row>
    <row r="1379" spans="1:13">
      <c r="A1379" s="1">
        <f>HYPERLINK("http://www.twitter.com/NathanBLawrence/status/979905811135844352", "979905811135844352")</f>
        <v/>
      </c>
      <c r="B1379" s="2" t="n">
        <v>43190.09635416666</v>
      </c>
      <c r="C1379" t="n">
        <v>0</v>
      </c>
      <c r="D1379" t="n">
        <v>1063</v>
      </c>
      <c r="E1379" t="s">
        <v>1376</v>
      </c>
      <c r="F1379">
        <f>HYPERLINK("http://pbs.twimg.com/media/DZiT0nhUMAEJuVH.jpg", "http://pbs.twimg.com/media/DZiT0nhUMAEJuVH.jpg")</f>
        <v/>
      </c>
      <c r="G1379" t="s"/>
      <c r="H1379" t="s"/>
      <c r="I1379" t="s"/>
      <c r="J1379" t="n">
        <v>0</v>
      </c>
      <c r="K1379" t="n">
        <v>0</v>
      </c>
      <c r="L1379" t="n">
        <v>1</v>
      </c>
      <c r="M1379" t="n">
        <v>0</v>
      </c>
    </row>
    <row r="1380" spans="1:13">
      <c r="A1380" s="1">
        <f>HYPERLINK("http://www.twitter.com/NathanBLawrence/status/979887270697238528", "979887270697238528")</f>
        <v/>
      </c>
      <c r="B1380" s="2" t="n">
        <v>43190.04519675926</v>
      </c>
      <c r="C1380" t="n">
        <v>0</v>
      </c>
      <c r="D1380" t="n">
        <v>12177</v>
      </c>
      <c r="E1380" t="s">
        <v>1377</v>
      </c>
      <c r="F1380" t="s"/>
      <c r="G1380" t="s"/>
      <c r="H1380" t="s"/>
      <c r="I1380" t="s"/>
      <c r="J1380" t="n">
        <v>0.2732</v>
      </c>
      <c r="K1380" t="n">
        <v>0</v>
      </c>
      <c r="L1380" t="n">
        <v>0.92</v>
      </c>
      <c r="M1380" t="n">
        <v>0.08</v>
      </c>
    </row>
    <row r="1381" spans="1:13">
      <c r="A1381" s="1">
        <f>HYPERLINK("http://www.twitter.com/NathanBLawrence/status/979883840478031872", "979883840478031872")</f>
        <v/>
      </c>
      <c r="B1381" s="2" t="n">
        <v>43190.03572916667</v>
      </c>
      <c r="C1381" t="n">
        <v>0</v>
      </c>
      <c r="D1381" t="n">
        <v>6</v>
      </c>
      <c r="E1381" t="s">
        <v>1378</v>
      </c>
      <c r="F1381" t="s"/>
      <c r="G1381" t="s"/>
      <c r="H1381" t="s"/>
      <c r="I1381" t="s"/>
      <c r="J1381" t="n">
        <v>0.7639</v>
      </c>
      <c r="K1381" t="n">
        <v>0</v>
      </c>
      <c r="L1381" t="n">
        <v>0.761</v>
      </c>
      <c r="M1381" t="n">
        <v>0.239</v>
      </c>
    </row>
    <row r="1382" spans="1:13">
      <c r="A1382" s="1">
        <f>HYPERLINK("http://www.twitter.com/NathanBLawrence/status/979876026653331459", "979876026653331459")</f>
        <v/>
      </c>
      <c r="B1382" s="2" t="n">
        <v>43190.01416666667</v>
      </c>
      <c r="C1382" t="n">
        <v>0</v>
      </c>
      <c r="D1382" t="n">
        <v>459</v>
      </c>
      <c r="E1382" t="s">
        <v>1379</v>
      </c>
      <c r="F1382">
        <f>HYPERLINK("https://video.twimg.com/amplify_video/979832766627008512/vid/1280x720/JzhP9GB055QeBCcH.mp4", "https://video.twimg.com/amplify_video/979832766627008512/vid/1280x720/JzhP9GB055QeBCcH.mp4")</f>
        <v/>
      </c>
      <c r="G1382" t="s"/>
      <c r="H1382" t="s"/>
      <c r="I1382" t="s"/>
      <c r="J1382" t="n">
        <v>-0.7506</v>
      </c>
      <c r="K1382" t="n">
        <v>0.225</v>
      </c>
      <c r="L1382" t="n">
        <v>0.775</v>
      </c>
      <c r="M1382" t="n">
        <v>0</v>
      </c>
    </row>
    <row r="1383" spans="1:13">
      <c r="A1383" s="1">
        <f>HYPERLINK("http://www.twitter.com/NathanBLawrence/status/979868768313757698", "979868768313757698")</f>
        <v/>
      </c>
      <c r="B1383" s="2" t="n">
        <v>43189.99414351852</v>
      </c>
      <c r="C1383" t="n">
        <v>0</v>
      </c>
      <c r="D1383" t="n">
        <v>3</v>
      </c>
      <c r="E1383" t="s">
        <v>1380</v>
      </c>
      <c r="F1383" t="s"/>
      <c r="G1383" t="s"/>
      <c r="H1383" t="s"/>
      <c r="I1383" t="s"/>
      <c r="J1383" t="n">
        <v>0</v>
      </c>
      <c r="K1383" t="n">
        <v>0</v>
      </c>
      <c r="L1383" t="n">
        <v>1</v>
      </c>
      <c r="M1383" t="n">
        <v>0</v>
      </c>
    </row>
    <row r="1384" spans="1:13">
      <c r="A1384" s="1">
        <f>HYPERLINK("http://www.twitter.com/NathanBLawrence/status/979840575783436297", "979840575783436297")</f>
        <v/>
      </c>
      <c r="B1384" s="2" t="n">
        <v>43189.91634259259</v>
      </c>
      <c r="C1384" t="n">
        <v>0</v>
      </c>
      <c r="D1384" t="n">
        <v>44</v>
      </c>
      <c r="E1384" t="s">
        <v>1381</v>
      </c>
      <c r="F1384">
        <f>HYPERLINK("http://pbs.twimg.com/media/DZkMHf3UMAAdzJo.jpg", "http://pbs.twimg.com/media/DZkMHf3UMAAdzJo.jpg")</f>
        <v/>
      </c>
      <c r="G1384" t="s"/>
      <c r="H1384" t="s"/>
      <c r="I1384" t="s"/>
      <c r="J1384" t="n">
        <v>0.8118</v>
      </c>
      <c r="K1384" t="n">
        <v>0</v>
      </c>
      <c r="L1384" t="n">
        <v>0.638</v>
      </c>
      <c r="M1384" t="n">
        <v>0.362</v>
      </c>
    </row>
    <row r="1385" spans="1:13">
      <c r="A1385" s="1">
        <f>HYPERLINK("http://www.twitter.com/NathanBLawrence/status/979836504343236608", "979836504343236608")</f>
        <v/>
      </c>
      <c r="B1385" s="2" t="n">
        <v>43189.90510416667</v>
      </c>
      <c r="C1385" t="n">
        <v>0</v>
      </c>
      <c r="D1385" t="n">
        <v>1</v>
      </c>
      <c r="E1385" t="s">
        <v>1382</v>
      </c>
      <c r="F1385">
        <f>HYPERLINK("http://pbs.twimg.com/media/DZj0MuSX4AA1zVm.jpg", "http://pbs.twimg.com/media/DZj0MuSX4AA1zVm.jpg")</f>
        <v/>
      </c>
      <c r="G1385" t="s"/>
      <c r="H1385" t="s"/>
      <c r="I1385" t="s"/>
      <c r="J1385" t="n">
        <v>0.636</v>
      </c>
      <c r="K1385" t="n">
        <v>0</v>
      </c>
      <c r="L1385" t="n">
        <v>0.802</v>
      </c>
      <c r="M1385" t="n">
        <v>0.198</v>
      </c>
    </row>
    <row r="1386" spans="1:13">
      <c r="A1386" s="1">
        <f>HYPERLINK("http://www.twitter.com/NathanBLawrence/status/979801485373566977", "979801485373566977")</f>
        <v/>
      </c>
      <c r="B1386" s="2" t="n">
        <v>43189.80847222222</v>
      </c>
      <c r="C1386" t="n">
        <v>0</v>
      </c>
      <c r="D1386" t="n">
        <v>1</v>
      </c>
      <c r="E1386" t="s">
        <v>1383</v>
      </c>
      <c r="F1386">
        <f>HYPERLINK("http://pbs.twimg.com/media/DZj0MuSX4AA1zVm.jpg", "http://pbs.twimg.com/media/DZj0MuSX4AA1zVm.jpg")</f>
        <v/>
      </c>
      <c r="G1386" t="s"/>
      <c r="H1386" t="s"/>
      <c r="I1386" t="s"/>
      <c r="J1386" t="n">
        <v>0.6981000000000001</v>
      </c>
      <c r="K1386" t="n">
        <v>0</v>
      </c>
      <c r="L1386" t="n">
        <v>0.898</v>
      </c>
      <c r="M1386" t="n">
        <v>0.102</v>
      </c>
    </row>
    <row r="1387" spans="1:13">
      <c r="A1387" s="1">
        <f>HYPERLINK("http://www.twitter.com/NathanBLawrence/status/979786355235606529", "979786355235606529")</f>
        <v/>
      </c>
      <c r="B1387" s="2" t="n">
        <v>43189.76672453704</v>
      </c>
      <c r="C1387" t="n">
        <v>0</v>
      </c>
      <c r="D1387" t="n">
        <v>2378</v>
      </c>
      <c r="E1387" t="s">
        <v>1384</v>
      </c>
      <c r="F1387">
        <f>HYPERLINK("http://pbs.twimg.com/media/DXoAaU4WkAA_CtB.jpg", "http://pbs.twimg.com/media/DXoAaU4WkAA_CtB.jpg")</f>
        <v/>
      </c>
      <c r="G1387" t="s"/>
      <c r="H1387" t="s"/>
      <c r="I1387" t="s"/>
      <c r="J1387" t="n">
        <v>0</v>
      </c>
      <c r="K1387" t="n">
        <v>0</v>
      </c>
      <c r="L1387" t="n">
        <v>1</v>
      </c>
      <c r="M1387" t="n">
        <v>0</v>
      </c>
    </row>
    <row r="1388" spans="1:13">
      <c r="A1388" s="1">
        <f>HYPERLINK("http://www.twitter.com/NathanBLawrence/status/979786012246315008", "979786012246315008")</f>
        <v/>
      </c>
      <c r="B1388" s="2" t="n">
        <v>43189.76577546296</v>
      </c>
      <c r="C1388" t="n">
        <v>0</v>
      </c>
      <c r="D1388" t="n">
        <v>14</v>
      </c>
      <c r="E1388" t="s">
        <v>1385</v>
      </c>
      <c r="F1388" t="s"/>
      <c r="G1388" t="s"/>
      <c r="H1388" t="s"/>
      <c r="I1388" t="s"/>
      <c r="J1388" t="n">
        <v>-0.34</v>
      </c>
      <c r="K1388" t="n">
        <v>0.13</v>
      </c>
      <c r="L1388" t="n">
        <v>0.87</v>
      </c>
      <c r="M1388" t="n">
        <v>0</v>
      </c>
    </row>
    <row r="1389" spans="1:13">
      <c r="A1389" s="1">
        <f>HYPERLINK("http://www.twitter.com/NathanBLawrence/status/979783904184938497", "979783904184938497")</f>
        <v/>
      </c>
      <c r="B1389" s="2" t="n">
        <v>43189.7599537037</v>
      </c>
      <c r="C1389" t="n">
        <v>0</v>
      </c>
      <c r="D1389" t="n">
        <v>339</v>
      </c>
      <c r="E1389" t="s">
        <v>1386</v>
      </c>
      <c r="F1389">
        <f>HYPERLINK("http://pbs.twimg.com/media/DZdqcPVUMAAwJih.jpg", "http://pbs.twimg.com/media/DZdqcPVUMAAwJih.jpg")</f>
        <v/>
      </c>
      <c r="G1389" t="s"/>
      <c r="H1389" t="s"/>
      <c r="I1389" t="s"/>
      <c r="J1389" t="n">
        <v>0</v>
      </c>
      <c r="K1389" t="n">
        <v>0</v>
      </c>
      <c r="L1389" t="n">
        <v>1</v>
      </c>
      <c r="M1389" t="n">
        <v>0</v>
      </c>
    </row>
    <row r="1390" spans="1:13">
      <c r="A1390" s="1">
        <f>HYPERLINK("http://www.twitter.com/NathanBLawrence/status/979782823681908738", "979782823681908738")</f>
        <v/>
      </c>
      <c r="B1390" s="2" t="n">
        <v>43189.75697916667</v>
      </c>
      <c r="C1390" t="n">
        <v>0</v>
      </c>
      <c r="D1390" t="n">
        <v>102</v>
      </c>
      <c r="E1390" t="s">
        <v>1387</v>
      </c>
      <c r="F1390">
        <f>HYPERLINK("http://pbs.twimg.com/media/DZbgzlmWsAEHvbz.jpg", "http://pbs.twimg.com/media/DZbgzlmWsAEHvbz.jpg")</f>
        <v/>
      </c>
      <c r="G1390">
        <f>HYPERLINK("http://pbs.twimg.com/media/DZbgzlmXUAAp2mq.jpg", "http://pbs.twimg.com/media/DZbgzlmXUAAp2mq.jpg")</f>
        <v/>
      </c>
      <c r="H1390">
        <f>HYPERLINK("http://pbs.twimg.com/media/DZbgzloX4AA7W9B.jpg", "http://pbs.twimg.com/media/DZbgzloX4AA7W9B.jpg")</f>
        <v/>
      </c>
      <c r="I1390" t="s"/>
      <c r="J1390" t="n">
        <v>-0.4019</v>
      </c>
      <c r="K1390" t="n">
        <v>0.114</v>
      </c>
      <c r="L1390" t="n">
        <v>0.886</v>
      </c>
      <c r="M1390" t="n">
        <v>0</v>
      </c>
    </row>
    <row r="1391" spans="1:13">
      <c r="A1391" s="1">
        <f>HYPERLINK("http://www.twitter.com/NathanBLawrence/status/979781271596556288", "979781271596556288")</f>
        <v/>
      </c>
      <c r="B1391" s="2" t="n">
        <v>43189.75269675926</v>
      </c>
      <c r="C1391" t="n">
        <v>0</v>
      </c>
      <c r="D1391" t="n">
        <v>9</v>
      </c>
      <c r="E1391" t="s">
        <v>1388</v>
      </c>
      <c r="F1391" t="s"/>
      <c r="G1391" t="s"/>
      <c r="H1391" t="s"/>
      <c r="I1391" t="s"/>
      <c r="J1391" t="n">
        <v>0</v>
      </c>
      <c r="K1391" t="n">
        <v>0</v>
      </c>
      <c r="L1391" t="n">
        <v>1</v>
      </c>
      <c r="M1391" t="n">
        <v>0</v>
      </c>
    </row>
    <row r="1392" spans="1:13">
      <c r="A1392" s="1">
        <f>HYPERLINK("http://www.twitter.com/NathanBLawrence/status/979780941404147712", "979780941404147712")</f>
        <v/>
      </c>
      <c r="B1392" s="2" t="n">
        <v>43189.75178240741</v>
      </c>
      <c r="C1392" t="n">
        <v>0</v>
      </c>
      <c r="D1392" t="n">
        <v>1</v>
      </c>
      <c r="E1392" t="s">
        <v>1389</v>
      </c>
      <c r="F1392" t="s"/>
      <c r="G1392" t="s"/>
      <c r="H1392" t="s"/>
      <c r="I1392" t="s"/>
      <c r="J1392" t="n">
        <v>-0.5828</v>
      </c>
      <c r="K1392" t="n">
        <v>0.212</v>
      </c>
      <c r="L1392" t="n">
        <v>0.664</v>
      </c>
      <c r="M1392" t="n">
        <v>0.124</v>
      </c>
    </row>
    <row r="1393" spans="1:13">
      <c r="A1393" s="1">
        <f>HYPERLINK("http://www.twitter.com/NathanBLawrence/status/979778764887527424", "979778764887527424")</f>
        <v/>
      </c>
      <c r="B1393" s="2" t="n">
        <v>43189.74577546296</v>
      </c>
      <c r="C1393" t="n">
        <v>6</v>
      </c>
      <c r="D1393" t="n">
        <v>9</v>
      </c>
      <c r="E1393" t="s">
        <v>1390</v>
      </c>
      <c r="F1393" t="s"/>
      <c r="G1393" t="s"/>
      <c r="H1393" t="s"/>
      <c r="I1393" t="s"/>
      <c r="J1393" t="n">
        <v>0</v>
      </c>
      <c r="K1393" t="n">
        <v>0</v>
      </c>
      <c r="L1393" t="n">
        <v>1</v>
      </c>
      <c r="M1393" t="n">
        <v>0</v>
      </c>
    </row>
    <row r="1394" spans="1:13">
      <c r="A1394" s="1">
        <f>HYPERLINK("http://www.twitter.com/NathanBLawrence/status/979766007542812672", "979766007542812672")</f>
        <v/>
      </c>
      <c r="B1394" s="2" t="n">
        <v>43189.71057870371</v>
      </c>
      <c r="C1394" t="n">
        <v>1</v>
      </c>
      <c r="D1394" t="n">
        <v>0</v>
      </c>
      <c r="E1394" t="s">
        <v>1391</v>
      </c>
      <c r="F1394" t="s"/>
      <c r="G1394" t="s"/>
      <c r="H1394" t="s"/>
      <c r="I1394" t="s"/>
      <c r="J1394" t="n">
        <v>0.4588</v>
      </c>
      <c r="K1394" t="n">
        <v>0</v>
      </c>
      <c r="L1394" t="n">
        <v>0.4</v>
      </c>
      <c r="M1394" t="n">
        <v>0.6</v>
      </c>
    </row>
    <row r="1395" spans="1:13">
      <c r="A1395" s="1">
        <f>HYPERLINK("http://www.twitter.com/NathanBLawrence/status/979752395763789824", "979752395763789824")</f>
        <v/>
      </c>
      <c r="B1395" s="2" t="n">
        <v>43189.67300925926</v>
      </c>
      <c r="C1395" t="n">
        <v>72</v>
      </c>
      <c r="D1395" t="n">
        <v>78</v>
      </c>
      <c r="E1395" t="s">
        <v>1392</v>
      </c>
      <c r="F1395" t="s"/>
      <c r="G1395" t="s"/>
      <c r="H1395" t="s"/>
      <c r="I1395" t="s"/>
      <c r="J1395" t="n">
        <v>-0.9412</v>
      </c>
      <c r="K1395" t="n">
        <v>0.288</v>
      </c>
      <c r="L1395" t="n">
        <v>0.654</v>
      </c>
      <c r="M1395" t="n">
        <v>0.057</v>
      </c>
    </row>
    <row r="1396" spans="1:13">
      <c r="A1396" s="1">
        <f>HYPERLINK("http://www.twitter.com/NathanBLawrence/status/979747860920061952", "979747860920061952")</f>
        <v/>
      </c>
      <c r="B1396" s="2" t="n">
        <v>43189.66049768519</v>
      </c>
      <c r="C1396" t="n">
        <v>0</v>
      </c>
      <c r="D1396" t="n">
        <v>0</v>
      </c>
      <c r="E1396" t="s">
        <v>1393</v>
      </c>
      <c r="F1396" t="s"/>
      <c r="G1396" t="s"/>
      <c r="H1396" t="s"/>
      <c r="I1396" t="s"/>
      <c r="J1396" t="n">
        <v>0</v>
      </c>
      <c r="K1396" t="n">
        <v>0</v>
      </c>
      <c r="L1396" t="n">
        <v>1</v>
      </c>
      <c r="M1396" t="n">
        <v>0</v>
      </c>
    </row>
    <row r="1397" spans="1:13">
      <c r="A1397" s="1">
        <f>HYPERLINK("http://www.twitter.com/NathanBLawrence/status/979746237711872000", "979746237711872000")</f>
        <v/>
      </c>
      <c r="B1397" s="2" t="n">
        <v>43189.65601851852</v>
      </c>
      <c r="C1397" t="n">
        <v>0</v>
      </c>
      <c r="D1397" t="n">
        <v>0</v>
      </c>
      <c r="E1397" t="s">
        <v>1394</v>
      </c>
      <c r="F1397">
        <f>HYPERLINK("http://pbs.twimg.com/media/DZjCAMNWAAssyDe.jpg", "http://pbs.twimg.com/media/DZjCAMNWAAssyDe.jpg")</f>
        <v/>
      </c>
      <c r="G1397" t="s"/>
      <c r="H1397" t="s"/>
      <c r="I1397" t="s"/>
      <c r="J1397" t="n">
        <v>-0.7371</v>
      </c>
      <c r="K1397" t="n">
        <v>0.216</v>
      </c>
      <c r="L1397" t="n">
        <v>0.784</v>
      </c>
      <c r="M1397" t="n">
        <v>0</v>
      </c>
    </row>
    <row r="1398" spans="1:13">
      <c r="A1398" s="1">
        <f>HYPERLINK("http://www.twitter.com/NathanBLawrence/status/979743919884963840", "979743919884963840")</f>
        <v/>
      </c>
      <c r="B1398" s="2" t="n">
        <v>43189.64961805556</v>
      </c>
      <c r="C1398" t="n">
        <v>0</v>
      </c>
      <c r="D1398" t="n">
        <v>0</v>
      </c>
      <c r="E1398" t="s">
        <v>1395</v>
      </c>
      <c r="F1398">
        <f>HYPERLINK("http://pbs.twimg.com/media/DZi_5EvXkAAhSR_.jpg", "http://pbs.twimg.com/media/DZi_5EvXkAAhSR_.jpg")</f>
        <v/>
      </c>
      <c r="G1398" t="s"/>
      <c r="H1398" t="s"/>
      <c r="I1398" t="s"/>
      <c r="J1398" t="n">
        <v>0.8091</v>
      </c>
      <c r="K1398" t="n">
        <v>0</v>
      </c>
      <c r="L1398" t="n">
        <v>0.741</v>
      </c>
      <c r="M1398" t="n">
        <v>0.259</v>
      </c>
    </row>
    <row r="1399" spans="1:13">
      <c r="A1399" s="1">
        <f>HYPERLINK("http://www.twitter.com/NathanBLawrence/status/979716491791749122", "979716491791749122")</f>
        <v/>
      </c>
      <c r="B1399" s="2" t="n">
        <v>43189.57393518519</v>
      </c>
      <c r="C1399" t="n">
        <v>0</v>
      </c>
      <c r="D1399" t="n">
        <v>1300</v>
      </c>
      <c r="E1399" t="s">
        <v>1396</v>
      </c>
      <c r="F1399">
        <f>HYPERLINK("http://pbs.twimg.com/media/DZh8SpeVwAAtm3I.jpg", "http://pbs.twimg.com/media/DZh8SpeVwAAtm3I.jpg")</f>
        <v/>
      </c>
      <c r="G1399" t="s"/>
      <c r="H1399" t="s"/>
      <c r="I1399" t="s"/>
      <c r="J1399" t="n">
        <v>-0.6833</v>
      </c>
      <c r="K1399" t="n">
        <v>0.18</v>
      </c>
      <c r="L1399" t="n">
        <v>0.82</v>
      </c>
      <c r="M1399" t="n">
        <v>0</v>
      </c>
    </row>
    <row r="1400" spans="1:13">
      <c r="A1400" s="1">
        <f>HYPERLINK("http://www.twitter.com/NathanBLawrence/status/979716351169384453", "979716351169384453")</f>
        <v/>
      </c>
      <c r="B1400" s="2" t="n">
        <v>43189.57355324074</v>
      </c>
      <c r="C1400" t="n">
        <v>0</v>
      </c>
      <c r="D1400" t="n">
        <v>755</v>
      </c>
      <c r="E1400" t="s">
        <v>1397</v>
      </c>
      <c r="F1400">
        <f>HYPERLINK("http://pbs.twimg.com/media/DZfuBvgV4AAJvTa.jpg", "http://pbs.twimg.com/media/DZfuBvgV4AAJvTa.jpg")</f>
        <v/>
      </c>
      <c r="G1400" t="s"/>
      <c r="H1400" t="s"/>
      <c r="I1400" t="s"/>
      <c r="J1400" t="n">
        <v>0.4588</v>
      </c>
      <c r="K1400" t="n">
        <v>0.077</v>
      </c>
      <c r="L1400" t="n">
        <v>0.735</v>
      </c>
      <c r="M1400" t="n">
        <v>0.188</v>
      </c>
    </row>
    <row r="1401" spans="1:13">
      <c r="A1401" s="1">
        <f>HYPERLINK("http://www.twitter.com/NathanBLawrence/status/979716187721490432", "979716187721490432")</f>
        <v/>
      </c>
      <c r="B1401" s="2" t="n">
        <v>43189.57310185185</v>
      </c>
      <c r="C1401" t="n">
        <v>0</v>
      </c>
      <c r="D1401" t="n">
        <v>3038</v>
      </c>
      <c r="E1401" t="s">
        <v>1398</v>
      </c>
      <c r="F1401">
        <f>HYPERLINK("http://pbs.twimg.com/media/DZgzzg-V4AEW1zK.jpg", "http://pbs.twimg.com/media/DZgzzg-V4AEW1zK.jpg")</f>
        <v/>
      </c>
      <c r="G1401" t="s"/>
      <c r="H1401" t="s"/>
      <c r="I1401" t="s"/>
      <c r="J1401" t="n">
        <v>0.6447000000000001</v>
      </c>
      <c r="K1401" t="n">
        <v>0</v>
      </c>
      <c r="L1401" t="n">
        <v>0.695</v>
      </c>
      <c r="M1401" t="n">
        <v>0.305</v>
      </c>
    </row>
    <row r="1402" spans="1:13">
      <c r="A1402" s="1">
        <f>HYPERLINK("http://www.twitter.com/NathanBLawrence/status/979715942937714688", "979715942937714688")</f>
        <v/>
      </c>
      <c r="B1402" s="2" t="n">
        <v>43189.57241898148</v>
      </c>
      <c r="C1402" t="n">
        <v>0</v>
      </c>
      <c r="D1402" t="n">
        <v>334</v>
      </c>
      <c r="E1402" t="s">
        <v>1399</v>
      </c>
      <c r="F1402" t="s"/>
      <c r="G1402" t="s"/>
      <c r="H1402" t="s"/>
      <c r="I1402" t="s"/>
      <c r="J1402" t="n">
        <v>0.4939</v>
      </c>
      <c r="K1402" t="n">
        <v>0.148</v>
      </c>
      <c r="L1402" t="n">
        <v>0.574</v>
      </c>
      <c r="M1402" t="n">
        <v>0.279</v>
      </c>
    </row>
    <row r="1403" spans="1:13">
      <c r="A1403" s="1">
        <f>HYPERLINK("http://www.twitter.com/NathanBLawrence/status/979714923310862336", "979714923310862336")</f>
        <v/>
      </c>
      <c r="B1403" s="2" t="n">
        <v>43189.56960648148</v>
      </c>
      <c r="C1403" t="n">
        <v>0</v>
      </c>
      <c r="D1403" t="n">
        <v>5</v>
      </c>
      <c r="E1403" t="s">
        <v>1400</v>
      </c>
      <c r="F1403" t="s"/>
      <c r="G1403" t="s"/>
      <c r="H1403" t="s"/>
      <c r="I1403" t="s"/>
      <c r="J1403" t="n">
        <v>-0.5538</v>
      </c>
      <c r="K1403" t="n">
        <v>0.263</v>
      </c>
      <c r="L1403" t="n">
        <v>0.737</v>
      </c>
      <c r="M1403" t="n">
        <v>0</v>
      </c>
    </row>
    <row r="1404" spans="1:13">
      <c r="A1404" s="1">
        <f>HYPERLINK("http://www.twitter.com/NathanBLawrence/status/979714497412849667", "979714497412849667")</f>
        <v/>
      </c>
      <c r="B1404" s="2" t="n">
        <v>43189.5684375</v>
      </c>
      <c r="C1404" t="n">
        <v>0</v>
      </c>
      <c r="D1404" t="n">
        <v>966</v>
      </c>
      <c r="E1404" t="s">
        <v>1401</v>
      </c>
      <c r="F1404" t="s"/>
      <c r="G1404" t="s"/>
      <c r="H1404" t="s"/>
      <c r="I1404" t="s"/>
      <c r="J1404" t="n">
        <v>-0.8074</v>
      </c>
      <c r="K1404" t="n">
        <v>0.327</v>
      </c>
      <c r="L1404" t="n">
        <v>0.673</v>
      </c>
      <c r="M1404" t="n">
        <v>0</v>
      </c>
    </row>
    <row r="1405" spans="1:13">
      <c r="A1405" s="1">
        <f>HYPERLINK("http://www.twitter.com/NathanBLawrence/status/979714246526357504", "979714246526357504")</f>
        <v/>
      </c>
      <c r="B1405" s="2" t="n">
        <v>43189.56774305556</v>
      </c>
      <c r="C1405" t="n">
        <v>0</v>
      </c>
      <c r="D1405" t="n">
        <v>3195</v>
      </c>
      <c r="E1405" t="s">
        <v>1402</v>
      </c>
      <c r="F1405" t="s"/>
      <c r="G1405" t="s"/>
      <c r="H1405" t="s"/>
      <c r="I1405" t="s"/>
      <c r="J1405" t="n">
        <v>0.4084</v>
      </c>
      <c r="K1405" t="n">
        <v>0.064</v>
      </c>
      <c r="L1405" t="n">
        <v>0.802</v>
      </c>
      <c r="M1405" t="n">
        <v>0.134</v>
      </c>
    </row>
    <row r="1406" spans="1:13">
      <c r="A1406" s="1">
        <f>HYPERLINK("http://www.twitter.com/NathanBLawrence/status/979713707767889920", "979713707767889920")</f>
        <v/>
      </c>
      <c r="B1406" s="2" t="n">
        <v>43189.56625</v>
      </c>
      <c r="C1406" t="n">
        <v>0</v>
      </c>
      <c r="D1406" t="n">
        <v>111</v>
      </c>
      <c r="E1406" t="s">
        <v>1403</v>
      </c>
      <c r="F1406">
        <f>HYPERLINK("http://pbs.twimg.com/media/DZidYTjX0AAfWdy.jpg", "http://pbs.twimg.com/media/DZidYTjX0AAfWdy.jpg")</f>
        <v/>
      </c>
      <c r="G1406" t="s"/>
      <c r="H1406" t="s"/>
      <c r="I1406" t="s"/>
      <c r="J1406" t="n">
        <v>-0.6899999999999999</v>
      </c>
      <c r="K1406" t="n">
        <v>0.242</v>
      </c>
      <c r="L1406" t="n">
        <v>0.674</v>
      </c>
      <c r="M1406" t="n">
        <v>0.08400000000000001</v>
      </c>
    </row>
    <row r="1407" spans="1:13">
      <c r="A1407" s="1">
        <f>HYPERLINK("http://www.twitter.com/NathanBLawrence/status/979619184131919873", "979619184131919873")</f>
        <v/>
      </c>
      <c r="B1407" s="2" t="n">
        <v>43189.30541666667</v>
      </c>
      <c r="C1407" t="n">
        <v>0</v>
      </c>
      <c r="D1407" t="n">
        <v>9</v>
      </c>
      <c r="E1407" t="s">
        <v>1404</v>
      </c>
      <c r="F1407" t="s"/>
      <c r="G1407" t="s"/>
      <c r="H1407" t="s"/>
      <c r="I1407" t="s"/>
      <c r="J1407" t="n">
        <v>0.2382</v>
      </c>
      <c r="K1407" t="n">
        <v>0</v>
      </c>
      <c r="L1407" t="n">
        <v>0.897</v>
      </c>
      <c r="M1407" t="n">
        <v>0.103</v>
      </c>
    </row>
    <row r="1408" spans="1:13">
      <c r="A1408" s="1">
        <f>HYPERLINK("http://www.twitter.com/NathanBLawrence/status/979618326925266944", "979618326925266944")</f>
        <v/>
      </c>
      <c r="B1408" s="2" t="n">
        <v>43189.30305555555</v>
      </c>
      <c r="C1408" t="n">
        <v>0</v>
      </c>
      <c r="D1408" t="n">
        <v>859</v>
      </c>
      <c r="E1408" t="s">
        <v>1405</v>
      </c>
      <c r="F1408" t="s"/>
      <c r="G1408" t="s"/>
      <c r="H1408" t="s"/>
      <c r="I1408" t="s"/>
      <c r="J1408" t="n">
        <v>0.1111</v>
      </c>
      <c r="K1408" t="n">
        <v>0.207</v>
      </c>
      <c r="L1408" t="n">
        <v>0.57</v>
      </c>
      <c r="M1408" t="n">
        <v>0.223</v>
      </c>
    </row>
    <row r="1409" spans="1:13">
      <c r="A1409" s="1">
        <f>HYPERLINK("http://www.twitter.com/NathanBLawrence/status/979613891134218240", "979613891134218240")</f>
        <v/>
      </c>
      <c r="B1409" s="2" t="n">
        <v>43189.29081018519</v>
      </c>
      <c r="C1409" t="n">
        <v>6</v>
      </c>
      <c r="D1409" t="n">
        <v>8</v>
      </c>
      <c r="E1409" t="s">
        <v>1406</v>
      </c>
      <c r="F1409">
        <f>HYPERLINK("http://pbs.twimg.com/media/DZhJoRUV4AIUFxw.jpg", "http://pbs.twimg.com/media/DZhJoRUV4AIUFxw.jpg")</f>
        <v/>
      </c>
      <c r="G1409" t="s"/>
      <c r="H1409" t="s"/>
      <c r="I1409" t="s"/>
      <c r="J1409" t="n">
        <v>0.5972</v>
      </c>
      <c r="K1409" t="n">
        <v>0.064</v>
      </c>
      <c r="L1409" t="n">
        <v>0.806</v>
      </c>
      <c r="M1409" t="n">
        <v>0.13</v>
      </c>
    </row>
    <row r="1410" spans="1:13">
      <c r="A1410" s="1">
        <f>HYPERLINK("http://www.twitter.com/NathanBLawrence/status/979605390022402048", "979605390022402048")</f>
        <v/>
      </c>
      <c r="B1410" s="2" t="n">
        <v>43189.26734953704</v>
      </c>
      <c r="C1410" t="n">
        <v>3</v>
      </c>
      <c r="D1410" t="n">
        <v>4</v>
      </c>
      <c r="E1410" t="s">
        <v>1407</v>
      </c>
      <c r="F1410" t="s"/>
      <c r="G1410" t="s"/>
      <c r="H1410" t="s"/>
      <c r="I1410" t="s"/>
      <c r="J1410" t="n">
        <v>0.8122</v>
      </c>
      <c r="K1410" t="n">
        <v>0.052</v>
      </c>
      <c r="L1410" t="n">
        <v>0.723</v>
      </c>
      <c r="M1410" t="n">
        <v>0.225</v>
      </c>
    </row>
    <row r="1411" spans="1:13">
      <c r="A1411" s="1">
        <f>HYPERLINK("http://www.twitter.com/NathanBLawrence/status/979601191331131392", "979601191331131392")</f>
        <v/>
      </c>
      <c r="B1411" s="2" t="n">
        <v>43189.25576388889</v>
      </c>
      <c r="C1411" t="n">
        <v>4</v>
      </c>
      <c r="D1411" t="n">
        <v>5</v>
      </c>
      <c r="E1411" t="s">
        <v>1408</v>
      </c>
      <c r="F1411" t="s"/>
      <c r="G1411" t="s"/>
      <c r="H1411" t="s"/>
      <c r="I1411" t="s"/>
      <c r="J1411" t="n">
        <v>-0.7345</v>
      </c>
      <c r="K1411" t="n">
        <v>0.149</v>
      </c>
      <c r="L1411" t="n">
        <v>0.786</v>
      </c>
      <c r="M1411" t="n">
        <v>0.065</v>
      </c>
    </row>
    <row r="1412" spans="1:13">
      <c r="A1412" s="1">
        <f>HYPERLINK("http://www.twitter.com/NathanBLawrence/status/979597614776770565", "979597614776770565")</f>
        <v/>
      </c>
      <c r="B1412" s="2" t="n">
        <v>43189.24590277778</v>
      </c>
      <c r="C1412" t="n">
        <v>8</v>
      </c>
      <c r="D1412" t="n">
        <v>9</v>
      </c>
      <c r="E1412" t="s">
        <v>1409</v>
      </c>
      <c r="F1412" t="s"/>
      <c r="G1412" t="s"/>
      <c r="H1412" t="s"/>
      <c r="I1412" t="s"/>
      <c r="J1412" t="n">
        <v>0.7304</v>
      </c>
      <c r="K1412" t="n">
        <v>0.105</v>
      </c>
      <c r="L1412" t="n">
        <v>0.678</v>
      </c>
      <c r="M1412" t="n">
        <v>0.217</v>
      </c>
    </row>
    <row r="1413" spans="1:13">
      <c r="A1413" s="1">
        <f>HYPERLINK("http://www.twitter.com/NathanBLawrence/status/979576407461388288", "979576407461388288")</f>
        <v/>
      </c>
      <c r="B1413" s="2" t="n">
        <v>43189.18737268518</v>
      </c>
      <c r="C1413" t="n">
        <v>0</v>
      </c>
      <c r="D1413" t="n">
        <v>66</v>
      </c>
      <c r="E1413" t="s">
        <v>1410</v>
      </c>
      <c r="F1413">
        <f>HYPERLINK("http://pbs.twimg.com/media/DZgiTi7UQAApXjQ.jpg", "http://pbs.twimg.com/media/DZgiTi7UQAApXjQ.jpg")</f>
        <v/>
      </c>
      <c r="G1413" t="s"/>
      <c r="H1413" t="s"/>
      <c r="I1413" t="s"/>
      <c r="J1413" t="n">
        <v>0</v>
      </c>
      <c r="K1413" t="n">
        <v>0</v>
      </c>
      <c r="L1413" t="n">
        <v>1</v>
      </c>
      <c r="M1413" t="n">
        <v>0</v>
      </c>
    </row>
    <row r="1414" spans="1:13">
      <c r="A1414" s="1">
        <f>HYPERLINK("http://www.twitter.com/NathanBLawrence/status/979566041603936256", "979566041603936256")</f>
        <v/>
      </c>
      <c r="B1414" s="2" t="n">
        <v>43189.15877314815</v>
      </c>
      <c r="C1414" t="n">
        <v>2</v>
      </c>
      <c r="D1414" t="n">
        <v>1</v>
      </c>
      <c r="E1414" t="s">
        <v>1411</v>
      </c>
      <c r="F1414" t="s"/>
      <c r="G1414" t="s"/>
      <c r="H1414" t="s"/>
      <c r="I1414" t="s"/>
      <c r="J1414" t="n">
        <v>0</v>
      </c>
      <c r="K1414" t="n">
        <v>0</v>
      </c>
      <c r="L1414" t="n">
        <v>1</v>
      </c>
      <c r="M1414" t="n">
        <v>0</v>
      </c>
    </row>
    <row r="1415" spans="1:13">
      <c r="A1415" s="1">
        <f>HYPERLINK("http://www.twitter.com/NathanBLawrence/status/979562912149884928", "979562912149884928")</f>
        <v/>
      </c>
      <c r="B1415" s="2" t="n">
        <v>43189.15013888889</v>
      </c>
      <c r="C1415" t="n">
        <v>2</v>
      </c>
      <c r="D1415" t="n">
        <v>3</v>
      </c>
      <c r="E1415" t="s">
        <v>1412</v>
      </c>
      <c r="F1415" t="s"/>
      <c r="G1415" t="s"/>
      <c r="H1415" t="s"/>
      <c r="I1415" t="s"/>
      <c r="J1415" t="n">
        <v>-0.2732</v>
      </c>
      <c r="K1415" t="n">
        <v>0.16</v>
      </c>
      <c r="L1415" t="n">
        <v>0.84</v>
      </c>
      <c r="M1415" t="n">
        <v>0</v>
      </c>
    </row>
    <row r="1416" spans="1:13">
      <c r="A1416" s="1">
        <f>HYPERLINK("http://www.twitter.com/NathanBLawrence/status/979545429514817536", "979545429514817536")</f>
        <v/>
      </c>
      <c r="B1416" s="2" t="n">
        <v>43189.10189814815</v>
      </c>
      <c r="C1416" t="n">
        <v>0</v>
      </c>
      <c r="D1416" t="n">
        <v>66</v>
      </c>
      <c r="E1416" t="s">
        <v>1413</v>
      </c>
      <c r="F1416">
        <f>HYPERLINK("http://pbs.twimg.com/media/DZY5j6dXkAEd8-L.jpg", "http://pbs.twimg.com/media/DZY5j6dXkAEd8-L.jpg")</f>
        <v/>
      </c>
      <c r="G1416" t="s"/>
      <c r="H1416" t="s"/>
      <c r="I1416" t="s"/>
      <c r="J1416" t="n">
        <v>0</v>
      </c>
      <c r="K1416" t="n">
        <v>0</v>
      </c>
      <c r="L1416" t="n">
        <v>1</v>
      </c>
      <c r="M1416" t="n">
        <v>0</v>
      </c>
    </row>
    <row r="1417" spans="1:13">
      <c r="A1417" s="1">
        <f>HYPERLINK("http://www.twitter.com/NathanBLawrence/status/979524715751657473", "979524715751657473")</f>
        <v/>
      </c>
      <c r="B1417" s="2" t="n">
        <v>43189.0447337963</v>
      </c>
      <c r="C1417" t="n">
        <v>0</v>
      </c>
      <c r="D1417" t="n">
        <v>1011</v>
      </c>
      <c r="E1417" t="s">
        <v>1414</v>
      </c>
      <c r="F1417">
        <f>HYPERLINK("http://pbs.twimg.com/media/DZWL1NsUQAEGi74.jpg", "http://pbs.twimg.com/media/DZWL1NsUQAEGi74.jpg")</f>
        <v/>
      </c>
      <c r="G1417" t="s"/>
      <c r="H1417" t="s"/>
      <c r="I1417" t="s"/>
      <c r="J1417" t="n">
        <v>0.2732</v>
      </c>
      <c r="K1417" t="n">
        <v>0</v>
      </c>
      <c r="L1417" t="n">
        <v>0.905</v>
      </c>
      <c r="M1417" t="n">
        <v>0.095</v>
      </c>
    </row>
    <row r="1418" spans="1:13">
      <c r="A1418" s="1">
        <f>HYPERLINK("http://www.twitter.com/NathanBLawrence/status/979505988830146562", "979505988830146562")</f>
        <v/>
      </c>
      <c r="B1418" s="2" t="n">
        <v>43188.99305555555</v>
      </c>
      <c r="C1418" t="n">
        <v>0</v>
      </c>
      <c r="D1418" t="n">
        <v>0</v>
      </c>
      <c r="E1418" t="s">
        <v>1415</v>
      </c>
      <c r="F1418" t="s"/>
      <c r="G1418" t="s"/>
      <c r="H1418" t="s"/>
      <c r="I1418" t="s"/>
      <c r="J1418" t="n">
        <v>0</v>
      </c>
      <c r="K1418" t="n">
        <v>0</v>
      </c>
      <c r="L1418" t="n">
        <v>1</v>
      </c>
      <c r="M1418" t="n">
        <v>0</v>
      </c>
    </row>
    <row r="1419" spans="1:13">
      <c r="A1419" s="1">
        <f>HYPERLINK("http://www.twitter.com/NathanBLawrence/status/979503368317079553", "979503368317079553")</f>
        <v/>
      </c>
      <c r="B1419" s="2" t="n">
        <v>43188.98582175926</v>
      </c>
      <c r="C1419" t="n">
        <v>0</v>
      </c>
      <c r="D1419" t="n">
        <v>8</v>
      </c>
      <c r="E1419" t="s">
        <v>1416</v>
      </c>
      <c r="F1419">
        <f>HYPERLINK("http://pbs.twimg.com/media/DZduIybX0AAEWSz.jpg", "http://pbs.twimg.com/media/DZduIybX0AAEWSz.jpg")</f>
        <v/>
      </c>
      <c r="G1419" t="s"/>
      <c r="H1419" t="s"/>
      <c r="I1419" t="s"/>
      <c r="J1419" t="n">
        <v>0</v>
      </c>
      <c r="K1419" t="n">
        <v>0</v>
      </c>
      <c r="L1419" t="n">
        <v>1</v>
      </c>
      <c r="M1419" t="n">
        <v>0</v>
      </c>
    </row>
    <row r="1420" spans="1:13">
      <c r="A1420" s="1">
        <f>HYPERLINK("http://www.twitter.com/NathanBLawrence/status/979499347757891585", "979499347757891585")</f>
        <v/>
      </c>
      <c r="B1420" s="2" t="n">
        <v>43188.9747337963</v>
      </c>
      <c r="C1420" t="n">
        <v>47</v>
      </c>
      <c r="D1420" t="n">
        <v>18</v>
      </c>
      <c r="E1420" t="s">
        <v>1417</v>
      </c>
      <c r="F1420" t="s"/>
      <c r="G1420" t="s"/>
      <c r="H1420" t="s"/>
      <c r="I1420" t="s"/>
      <c r="J1420" t="n">
        <v>0</v>
      </c>
      <c r="K1420" t="n">
        <v>0</v>
      </c>
      <c r="L1420" t="n">
        <v>1</v>
      </c>
      <c r="M1420" t="n">
        <v>0</v>
      </c>
    </row>
    <row r="1421" spans="1:13">
      <c r="A1421" s="1">
        <f>HYPERLINK("http://www.twitter.com/NathanBLawrence/status/979497684380913665", "979497684380913665")</f>
        <v/>
      </c>
      <c r="B1421" s="2" t="n">
        <v>43188.97013888889</v>
      </c>
      <c r="C1421" t="n">
        <v>0</v>
      </c>
      <c r="D1421" t="n">
        <v>9</v>
      </c>
      <c r="E1421" t="s">
        <v>1418</v>
      </c>
      <c r="F1421" t="s"/>
      <c r="G1421" t="s"/>
      <c r="H1421" t="s"/>
      <c r="I1421" t="s"/>
      <c r="J1421" t="n">
        <v>0</v>
      </c>
      <c r="K1421" t="n">
        <v>0</v>
      </c>
      <c r="L1421" t="n">
        <v>1</v>
      </c>
      <c r="M1421" t="n">
        <v>0</v>
      </c>
    </row>
    <row r="1422" spans="1:13">
      <c r="A1422" s="1">
        <f>HYPERLINK("http://www.twitter.com/NathanBLawrence/status/979495884047167488", "979495884047167488")</f>
        <v/>
      </c>
      <c r="B1422" s="2" t="n">
        <v>43188.96517361111</v>
      </c>
      <c r="C1422" t="n">
        <v>0</v>
      </c>
      <c r="D1422" t="n">
        <v>1292</v>
      </c>
      <c r="E1422" t="s">
        <v>1419</v>
      </c>
      <c r="F1422">
        <f>HYPERLINK("http://pbs.twimg.com/media/DZfTF9SUQAAJINV.jpg", "http://pbs.twimg.com/media/DZfTF9SUQAAJINV.jpg")</f>
        <v/>
      </c>
      <c r="G1422">
        <f>HYPERLINK("http://pbs.twimg.com/media/DZfTF9EVQAAqVhT.jpg", "http://pbs.twimg.com/media/DZfTF9EVQAAqVhT.jpg")</f>
        <v/>
      </c>
      <c r="H1422">
        <f>HYPERLINK("http://pbs.twimg.com/media/DZfTF9GVoAAUL7_.jpg", "http://pbs.twimg.com/media/DZfTF9GVoAAUL7_.jpg")</f>
        <v/>
      </c>
      <c r="I1422" t="s"/>
      <c r="J1422" t="n">
        <v>0</v>
      </c>
      <c r="K1422" t="n">
        <v>0</v>
      </c>
      <c r="L1422" t="n">
        <v>1</v>
      </c>
      <c r="M1422" t="n">
        <v>0</v>
      </c>
    </row>
    <row r="1423" spans="1:13">
      <c r="A1423" s="1">
        <f>HYPERLINK("http://www.twitter.com/NathanBLawrence/status/979488529217712128", "979488529217712128")</f>
        <v/>
      </c>
      <c r="B1423" s="2" t="n">
        <v>43188.94488425926</v>
      </c>
      <c r="C1423" t="n">
        <v>5</v>
      </c>
      <c r="D1423" t="n">
        <v>3</v>
      </c>
      <c r="E1423" t="s">
        <v>1420</v>
      </c>
      <c r="F1423" t="s"/>
      <c r="G1423" t="s"/>
      <c r="H1423" t="s"/>
      <c r="I1423" t="s"/>
      <c r="J1423" t="n">
        <v>0.8374</v>
      </c>
      <c r="K1423" t="n">
        <v>0.043</v>
      </c>
      <c r="L1423" t="n">
        <v>0.759</v>
      </c>
      <c r="M1423" t="n">
        <v>0.197</v>
      </c>
    </row>
    <row r="1424" spans="1:13">
      <c r="A1424" s="1">
        <f>HYPERLINK("http://www.twitter.com/NathanBLawrence/status/979474392861302786", "979474392861302786")</f>
        <v/>
      </c>
      <c r="B1424" s="2" t="n">
        <v>43188.90586805555</v>
      </c>
      <c r="C1424" t="n">
        <v>0</v>
      </c>
      <c r="D1424" t="n">
        <v>4</v>
      </c>
      <c r="E1424" t="s">
        <v>1421</v>
      </c>
      <c r="F1424">
        <f>HYPERLINK("https://video.twimg.com/ext_tw_video/979463378841124869/pu/vid/1280x720/MQjdGaYEocYDC_Jv.mp4", "https://video.twimg.com/ext_tw_video/979463378841124869/pu/vid/1280x720/MQjdGaYEocYDC_Jv.mp4")</f>
        <v/>
      </c>
      <c r="G1424" t="s"/>
      <c r="H1424" t="s"/>
      <c r="I1424" t="s"/>
      <c r="J1424" t="n">
        <v>0.4215</v>
      </c>
      <c r="K1424" t="n">
        <v>0</v>
      </c>
      <c r="L1424" t="n">
        <v>0.847</v>
      </c>
      <c r="M1424" t="n">
        <v>0.153</v>
      </c>
    </row>
    <row r="1425" spans="1:13">
      <c r="A1425" s="1">
        <f>HYPERLINK("http://www.twitter.com/NathanBLawrence/status/979471543934824448", "979471543934824448")</f>
        <v/>
      </c>
      <c r="B1425" s="2" t="n">
        <v>43188.89800925926</v>
      </c>
      <c r="C1425" t="n">
        <v>0</v>
      </c>
      <c r="D1425" t="n">
        <v>0</v>
      </c>
      <c r="E1425" t="s">
        <v>1422</v>
      </c>
      <c r="F1425" t="s"/>
      <c r="G1425" t="s"/>
      <c r="H1425" t="s"/>
      <c r="I1425" t="s"/>
      <c r="J1425" t="n">
        <v>-0.3071</v>
      </c>
      <c r="K1425" t="n">
        <v>0.156</v>
      </c>
      <c r="L1425" t="n">
        <v>0.771</v>
      </c>
      <c r="M1425" t="n">
        <v>0.073</v>
      </c>
    </row>
    <row r="1426" spans="1:13">
      <c r="A1426" s="1">
        <f>HYPERLINK("http://www.twitter.com/NathanBLawrence/status/979468516087730177", "979468516087730177")</f>
        <v/>
      </c>
      <c r="B1426" s="2" t="n">
        <v>43188.88965277778</v>
      </c>
      <c r="C1426" t="n">
        <v>8</v>
      </c>
      <c r="D1426" t="n">
        <v>4</v>
      </c>
      <c r="E1426" t="s">
        <v>1423</v>
      </c>
      <c r="F1426" t="s"/>
      <c r="G1426" t="s"/>
      <c r="H1426" t="s"/>
      <c r="I1426" t="s"/>
      <c r="J1426" t="n">
        <v>-0.8367</v>
      </c>
      <c r="K1426" t="n">
        <v>0.225</v>
      </c>
      <c r="L1426" t="n">
        <v>0.649</v>
      </c>
      <c r="M1426" t="n">
        <v>0.126</v>
      </c>
    </row>
    <row r="1427" spans="1:13">
      <c r="A1427" s="1">
        <f>HYPERLINK("http://www.twitter.com/NathanBLawrence/status/979462146311507971", "979462146311507971")</f>
        <v/>
      </c>
      <c r="B1427" s="2" t="n">
        <v>43188.87207175926</v>
      </c>
      <c r="C1427" t="n">
        <v>0</v>
      </c>
      <c r="D1427" t="n">
        <v>906</v>
      </c>
      <c r="E1427" t="s">
        <v>1424</v>
      </c>
      <c r="F1427">
        <f>HYPERLINK("http://pbs.twimg.com/media/DZe-R2VU0AE2Btb.jpg", "http://pbs.twimg.com/media/DZe-R2VU0AE2Btb.jpg")</f>
        <v/>
      </c>
      <c r="G1427">
        <f>HYPERLINK("http://pbs.twimg.com/media/DZe-R2VVoAAG2dN.jpg", "http://pbs.twimg.com/media/DZe-R2VVoAAG2dN.jpg")</f>
        <v/>
      </c>
      <c r="H1427" t="s"/>
      <c r="I1427" t="s"/>
      <c r="J1427" t="n">
        <v>0.0387</v>
      </c>
      <c r="K1427" t="n">
        <v>0</v>
      </c>
      <c r="L1427" t="n">
        <v>0.954</v>
      </c>
      <c r="M1427" t="n">
        <v>0.046</v>
      </c>
    </row>
    <row r="1428" spans="1:13">
      <c r="A1428" s="1">
        <f>HYPERLINK("http://www.twitter.com/NathanBLawrence/status/979460437870809088", "979460437870809088")</f>
        <v/>
      </c>
      <c r="B1428" s="2" t="n">
        <v>43188.86736111111</v>
      </c>
      <c r="C1428" t="n">
        <v>0</v>
      </c>
      <c r="D1428" t="n">
        <v>88</v>
      </c>
      <c r="E1428" t="s">
        <v>1425</v>
      </c>
      <c r="F1428">
        <f>HYPERLINK("https://video.twimg.com/amplify_video/979292523133853697/vid/720x720/V0UUYmiJBWEEW19b.mp4", "https://video.twimg.com/amplify_video/979292523133853697/vid/720x720/V0UUYmiJBWEEW19b.mp4")</f>
        <v/>
      </c>
      <c r="G1428" t="s"/>
      <c r="H1428" t="s"/>
      <c r="I1428" t="s"/>
      <c r="J1428" t="n">
        <v>-0.5994</v>
      </c>
      <c r="K1428" t="n">
        <v>0.187</v>
      </c>
      <c r="L1428" t="n">
        <v>0.8129999999999999</v>
      </c>
      <c r="M1428" t="n">
        <v>0</v>
      </c>
    </row>
    <row r="1429" spans="1:13">
      <c r="A1429" s="1">
        <f>HYPERLINK("http://www.twitter.com/NathanBLawrence/status/979459017239080960", "979459017239080960")</f>
        <v/>
      </c>
      <c r="B1429" s="2" t="n">
        <v>43188.8634375</v>
      </c>
      <c r="C1429" t="n">
        <v>0</v>
      </c>
      <c r="D1429" t="n">
        <v>37</v>
      </c>
      <c r="E1429" t="s">
        <v>1426</v>
      </c>
      <c r="F1429">
        <f>HYPERLINK("https://video.twimg.com/ext_tw_video/979441233155170304/pu/vid/1280x720/XMbnkpRRLJQq1wmC.mp4", "https://video.twimg.com/ext_tw_video/979441233155170304/pu/vid/1280x720/XMbnkpRRLJQq1wmC.mp4")</f>
        <v/>
      </c>
      <c r="G1429" t="s"/>
      <c r="H1429" t="s"/>
      <c r="I1429" t="s"/>
      <c r="J1429" t="n">
        <v>0</v>
      </c>
      <c r="K1429" t="n">
        <v>0</v>
      </c>
      <c r="L1429" t="n">
        <v>1</v>
      </c>
      <c r="M1429" t="n">
        <v>0</v>
      </c>
    </row>
    <row r="1430" spans="1:13">
      <c r="A1430" s="1">
        <f>HYPERLINK("http://www.twitter.com/NathanBLawrence/status/979458902298451973", "979458902298451973")</f>
        <v/>
      </c>
      <c r="B1430" s="2" t="n">
        <v>43188.863125</v>
      </c>
      <c r="C1430" t="n">
        <v>0</v>
      </c>
      <c r="D1430" t="n">
        <v>14</v>
      </c>
      <c r="E1430" t="s">
        <v>1427</v>
      </c>
      <c r="F1430" t="s"/>
      <c r="G1430" t="s"/>
      <c r="H1430" t="s"/>
      <c r="I1430" t="s"/>
      <c r="J1430" t="n">
        <v>0</v>
      </c>
      <c r="K1430" t="n">
        <v>0</v>
      </c>
      <c r="L1430" t="n">
        <v>1</v>
      </c>
      <c r="M1430" t="n">
        <v>0</v>
      </c>
    </row>
    <row r="1431" spans="1:13">
      <c r="A1431" s="1">
        <f>HYPERLINK("http://www.twitter.com/NathanBLawrence/status/979449110913802240", "979449110913802240")</f>
        <v/>
      </c>
      <c r="B1431" s="2" t="n">
        <v>43188.83609953704</v>
      </c>
      <c r="C1431" t="n">
        <v>0</v>
      </c>
      <c r="D1431" t="n">
        <v>16</v>
      </c>
      <c r="E1431" t="s">
        <v>1428</v>
      </c>
      <c r="F1431">
        <f>HYPERLINK("http://pbs.twimg.com/media/DZepCUIX0AAl3kK.jpg", "http://pbs.twimg.com/media/DZepCUIX0AAl3kK.jpg")</f>
        <v/>
      </c>
      <c r="G1431">
        <f>HYPERLINK("http://pbs.twimg.com/media/DZepCUDX0AAFB9k.jpg", "http://pbs.twimg.com/media/DZepCUDX0AAFB9k.jpg")</f>
        <v/>
      </c>
      <c r="H1431">
        <f>HYPERLINK("http://pbs.twimg.com/media/DZepCUQX0AABPJt.jpg", "http://pbs.twimg.com/media/DZepCUQX0AABPJt.jpg")</f>
        <v/>
      </c>
      <c r="I1431">
        <f>HYPERLINK("http://pbs.twimg.com/media/DZepCUDXkAEA6N7.jpg", "http://pbs.twimg.com/media/DZepCUDXkAEA6N7.jpg")</f>
        <v/>
      </c>
      <c r="J1431" t="n">
        <v>-0.6281</v>
      </c>
      <c r="K1431" t="n">
        <v>0.178</v>
      </c>
      <c r="L1431" t="n">
        <v>0.822</v>
      </c>
      <c r="M1431" t="n">
        <v>0</v>
      </c>
    </row>
    <row r="1432" spans="1:13">
      <c r="A1432" s="1">
        <f>HYPERLINK("http://www.twitter.com/NathanBLawrence/status/979448309529108481", "979448309529108481")</f>
        <v/>
      </c>
      <c r="B1432" s="2" t="n">
        <v>43188.83388888889</v>
      </c>
      <c r="C1432" t="n">
        <v>19</v>
      </c>
      <c r="D1432" t="n">
        <v>24</v>
      </c>
      <c r="E1432" t="s">
        <v>1429</v>
      </c>
      <c r="F1432">
        <f>HYPERLINK("http://pbs.twimg.com/media/DZezBhDXcAINJHB.jpg", "http://pbs.twimg.com/media/DZezBhDXcAINJHB.jpg")</f>
        <v/>
      </c>
      <c r="G1432" t="s"/>
      <c r="H1432" t="s"/>
      <c r="I1432" t="s"/>
      <c r="J1432" t="n">
        <v>0.3164</v>
      </c>
      <c r="K1432" t="n">
        <v>0</v>
      </c>
      <c r="L1432" t="n">
        <v>0.949</v>
      </c>
      <c r="M1432" t="n">
        <v>0.051</v>
      </c>
    </row>
    <row r="1433" spans="1:13">
      <c r="A1433" s="1">
        <f>HYPERLINK("http://www.twitter.com/NathanBLawrence/status/979421838647447552", "979421838647447552")</f>
        <v/>
      </c>
      <c r="B1433" s="2" t="n">
        <v>43188.76084490741</v>
      </c>
      <c r="C1433" t="n">
        <v>1</v>
      </c>
      <c r="D1433" t="n">
        <v>1</v>
      </c>
      <c r="E1433" t="s">
        <v>1430</v>
      </c>
      <c r="F1433" t="s"/>
      <c r="G1433" t="s"/>
      <c r="H1433" t="s"/>
      <c r="I1433" t="s"/>
      <c r="J1433" t="n">
        <v>0</v>
      </c>
      <c r="K1433" t="n">
        <v>0</v>
      </c>
      <c r="L1433" t="n">
        <v>1</v>
      </c>
      <c r="M1433" t="n">
        <v>0</v>
      </c>
    </row>
    <row r="1434" spans="1:13">
      <c r="A1434" s="1">
        <f>HYPERLINK("http://www.twitter.com/NathanBLawrence/status/979421649324924928", "979421649324924928")</f>
        <v/>
      </c>
      <c r="B1434" s="2" t="n">
        <v>43188.76032407407</v>
      </c>
      <c r="C1434" t="n">
        <v>4</v>
      </c>
      <c r="D1434" t="n">
        <v>2</v>
      </c>
      <c r="E1434" t="s">
        <v>1431</v>
      </c>
      <c r="F1434" t="s"/>
      <c r="G1434" t="s"/>
      <c r="H1434" t="s"/>
      <c r="I1434" t="s"/>
      <c r="J1434" t="n">
        <v>0</v>
      </c>
      <c r="K1434" t="n">
        <v>0</v>
      </c>
      <c r="L1434" t="n">
        <v>1</v>
      </c>
      <c r="M1434" t="n">
        <v>0</v>
      </c>
    </row>
    <row r="1435" spans="1:13">
      <c r="A1435" s="1">
        <f>HYPERLINK("http://www.twitter.com/NathanBLawrence/status/979412988242350081", "979412988242350081")</f>
        <v/>
      </c>
      <c r="B1435" s="2" t="n">
        <v>43188.73642361111</v>
      </c>
      <c r="C1435" t="n">
        <v>0</v>
      </c>
      <c r="D1435" t="n">
        <v>0</v>
      </c>
      <c r="E1435" t="s">
        <v>1432</v>
      </c>
      <c r="F1435" t="s"/>
      <c r="G1435" t="s"/>
      <c r="H1435" t="s"/>
      <c r="I1435" t="s"/>
      <c r="J1435" t="n">
        <v>0.722</v>
      </c>
      <c r="K1435" t="n">
        <v>0</v>
      </c>
      <c r="L1435" t="n">
        <v>0.823</v>
      </c>
      <c r="M1435" t="n">
        <v>0.177</v>
      </c>
    </row>
    <row r="1436" spans="1:13">
      <c r="A1436" s="1">
        <f>HYPERLINK("http://www.twitter.com/NathanBLawrence/status/979389786573148161", "979389786573148161")</f>
        <v/>
      </c>
      <c r="B1436" s="2" t="n">
        <v>43188.67239583333</v>
      </c>
      <c r="C1436" t="n">
        <v>0</v>
      </c>
      <c r="D1436" t="n">
        <v>804</v>
      </c>
      <c r="E1436" t="s">
        <v>1433</v>
      </c>
      <c r="F1436">
        <f>HYPERLINK("http://pbs.twimg.com/media/DZdupijU0AABpTa.jpg", "http://pbs.twimg.com/media/DZdupijU0AABpTa.jpg")</f>
        <v/>
      </c>
      <c r="G1436" t="s"/>
      <c r="H1436" t="s"/>
      <c r="I1436" t="s"/>
      <c r="J1436" t="n">
        <v>0.5610000000000001</v>
      </c>
      <c r="K1436" t="n">
        <v>0</v>
      </c>
      <c r="L1436" t="n">
        <v>0.8120000000000001</v>
      </c>
      <c r="M1436" t="n">
        <v>0.188</v>
      </c>
    </row>
    <row r="1437" spans="1:13">
      <c r="A1437" s="1">
        <f>HYPERLINK("http://www.twitter.com/NathanBLawrence/status/979378425780633600", "979378425780633600")</f>
        <v/>
      </c>
      <c r="B1437" s="2" t="n">
        <v>43188.64105324074</v>
      </c>
      <c r="C1437" t="n">
        <v>0</v>
      </c>
      <c r="D1437" t="n">
        <v>63</v>
      </c>
      <c r="E1437" t="s">
        <v>1434</v>
      </c>
      <c r="F1437">
        <f>HYPERLINK("http://pbs.twimg.com/media/DZdnUdDVMAIyMRv.jpg", "http://pbs.twimg.com/media/DZdnUdDVMAIyMRv.jpg")</f>
        <v/>
      </c>
      <c r="G1437" t="s"/>
      <c r="H1437" t="s"/>
      <c r="I1437" t="s"/>
      <c r="J1437" t="n">
        <v>0.2263</v>
      </c>
      <c r="K1437" t="n">
        <v>0</v>
      </c>
      <c r="L1437" t="n">
        <v>0.905</v>
      </c>
      <c r="M1437" t="n">
        <v>0.095</v>
      </c>
    </row>
    <row r="1438" spans="1:13">
      <c r="A1438" s="1">
        <f>HYPERLINK("http://www.twitter.com/NathanBLawrence/status/979378341357785090", "979378341357785090")</f>
        <v/>
      </c>
      <c r="B1438" s="2" t="n">
        <v>43188.64082175926</v>
      </c>
      <c r="C1438" t="n">
        <v>0</v>
      </c>
      <c r="D1438" t="n">
        <v>550</v>
      </c>
      <c r="E1438" t="s">
        <v>1435</v>
      </c>
      <c r="F1438" t="s"/>
      <c r="G1438" t="s"/>
      <c r="H1438" t="s"/>
      <c r="I1438" t="s"/>
      <c r="J1438" t="n">
        <v>0.4215</v>
      </c>
      <c r="K1438" t="n">
        <v>0</v>
      </c>
      <c r="L1438" t="n">
        <v>0.891</v>
      </c>
      <c r="M1438" t="n">
        <v>0.109</v>
      </c>
    </row>
    <row r="1439" spans="1:13">
      <c r="A1439" s="1">
        <f>HYPERLINK("http://www.twitter.com/NathanBLawrence/status/979374805693751302", "979374805693751302")</f>
        <v/>
      </c>
      <c r="B1439" s="2" t="n">
        <v>43188.63106481481</v>
      </c>
      <c r="C1439" t="n">
        <v>0</v>
      </c>
      <c r="D1439" t="n">
        <v>5</v>
      </c>
      <c r="E1439" t="s">
        <v>1436</v>
      </c>
      <c r="F1439" t="s"/>
      <c r="G1439" t="s"/>
      <c r="H1439" t="s"/>
      <c r="I1439" t="s"/>
      <c r="J1439" t="n">
        <v>0</v>
      </c>
      <c r="K1439" t="n">
        <v>0</v>
      </c>
      <c r="L1439" t="n">
        <v>1</v>
      </c>
      <c r="M1439" t="n">
        <v>0</v>
      </c>
    </row>
    <row r="1440" spans="1:13">
      <c r="A1440" s="1">
        <f>HYPERLINK("http://www.twitter.com/NathanBLawrence/status/979374036961710081", "979374036961710081")</f>
        <v/>
      </c>
      <c r="B1440" s="2" t="n">
        <v>43188.62893518519</v>
      </c>
      <c r="C1440" t="n">
        <v>0</v>
      </c>
      <c r="D1440" t="n">
        <v>275</v>
      </c>
      <c r="E1440" t="s">
        <v>1437</v>
      </c>
      <c r="F1440">
        <f>HYPERLINK("http://pbs.twimg.com/media/DZY5EGYW0AEvWYZ.jpg", "http://pbs.twimg.com/media/DZY5EGYW0AEvWYZ.jpg")</f>
        <v/>
      </c>
      <c r="G1440" t="s"/>
      <c r="H1440" t="s"/>
      <c r="I1440" t="s"/>
      <c r="J1440" t="n">
        <v>0</v>
      </c>
      <c r="K1440" t="n">
        <v>0</v>
      </c>
      <c r="L1440" t="n">
        <v>1</v>
      </c>
      <c r="M1440" t="n">
        <v>0</v>
      </c>
    </row>
    <row r="1441" spans="1:13">
      <c r="A1441" s="1">
        <f>HYPERLINK("http://www.twitter.com/NathanBLawrence/status/979373159920087040", "979373159920087040")</f>
        <v/>
      </c>
      <c r="B1441" s="2" t="n">
        <v>43188.6265162037</v>
      </c>
      <c r="C1441" t="n">
        <v>0</v>
      </c>
      <c r="D1441" t="n">
        <v>1176</v>
      </c>
      <c r="E1441" t="s">
        <v>1438</v>
      </c>
      <c r="F1441">
        <f>HYPERLINK("http://pbs.twimg.com/media/DZdtOL3WkAIbZ4w.jpg", "http://pbs.twimg.com/media/DZdtOL3WkAIbZ4w.jpg")</f>
        <v/>
      </c>
      <c r="G1441" t="s"/>
      <c r="H1441" t="s"/>
      <c r="I1441" t="s"/>
      <c r="J1441" t="n">
        <v>0.3818</v>
      </c>
      <c r="K1441" t="n">
        <v>0</v>
      </c>
      <c r="L1441" t="n">
        <v>0.854</v>
      </c>
      <c r="M1441" t="n">
        <v>0.146</v>
      </c>
    </row>
    <row r="1442" spans="1:13">
      <c r="A1442" s="1">
        <f>HYPERLINK("http://www.twitter.com/NathanBLawrence/status/979372529948282880", "979372529948282880")</f>
        <v/>
      </c>
      <c r="B1442" s="2" t="n">
        <v>43188.62478009259</v>
      </c>
      <c r="C1442" t="n">
        <v>0</v>
      </c>
      <c r="D1442" t="n">
        <v>3443</v>
      </c>
      <c r="E1442" t="s">
        <v>1439</v>
      </c>
      <c r="F1442">
        <f>HYPERLINK("http://pbs.twimg.com/media/DZdnnmUUMAIklJq.jpg", "http://pbs.twimg.com/media/DZdnnmUUMAIklJq.jpg")</f>
        <v/>
      </c>
      <c r="G1442" t="s"/>
      <c r="H1442" t="s"/>
      <c r="I1442" t="s"/>
      <c r="J1442" t="n">
        <v>0.8252</v>
      </c>
      <c r="K1442" t="n">
        <v>0</v>
      </c>
      <c r="L1442" t="n">
        <v>0.733</v>
      </c>
      <c r="M1442" t="n">
        <v>0.267</v>
      </c>
    </row>
    <row r="1443" spans="1:13">
      <c r="A1443" s="1">
        <f>HYPERLINK("http://www.twitter.com/NathanBLawrence/status/979362835108114432", "979362835108114432")</f>
        <v/>
      </c>
      <c r="B1443" s="2" t="n">
        <v>43188.5980324074</v>
      </c>
      <c r="C1443" t="n">
        <v>0</v>
      </c>
      <c r="D1443" t="n">
        <v>93</v>
      </c>
      <c r="E1443" t="s">
        <v>1440</v>
      </c>
      <c r="F1443">
        <f>HYPERLINK("http://pbs.twimg.com/media/DZcIiGdV4AAlfP-.jpg", "http://pbs.twimg.com/media/DZcIiGdV4AAlfP-.jpg")</f>
        <v/>
      </c>
      <c r="G1443" t="s"/>
      <c r="H1443" t="s"/>
      <c r="I1443" t="s"/>
      <c r="J1443" t="n">
        <v>-0.2306</v>
      </c>
      <c r="K1443" t="n">
        <v>0.133</v>
      </c>
      <c r="L1443" t="n">
        <v>0.768</v>
      </c>
      <c r="M1443" t="n">
        <v>0.099</v>
      </c>
    </row>
    <row r="1444" spans="1:13">
      <c r="A1444" s="1">
        <f>HYPERLINK("http://www.twitter.com/NathanBLawrence/status/979362796361089024", "979362796361089024")</f>
        <v/>
      </c>
      <c r="B1444" s="2" t="n">
        <v>43188.59791666667</v>
      </c>
      <c r="C1444" t="n">
        <v>0</v>
      </c>
      <c r="D1444" t="n">
        <v>1</v>
      </c>
      <c r="E1444" t="s">
        <v>1441</v>
      </c>
      <c r="F1444">
        <f>HYPERLINK("http://pbs.twimg.com/media/DZdhxkoVoAIa6ry.jpg", "http://pbs.twimg.com/media/DZdhxkoVoAIa6ry.jpg")</f>
        <v/>
      </c>
      <c r="G1444" t="s"/>
      <c r="H1444" t="s"/>
      <c r="I1444" t="s"/>
      <c r="J1444" t="n">
        <v>0.7574</v>
      </c>
      <c r="K1444" t="n">
        <v>0</v>
      </c>
      <c r="L1444" t="n">
        <v>0.764</v>
      </c>
      <c r="M1444" t="n">
        <v>0.236</v>
      </c>
    </row>
    <row r="1445" spans="1:13">
      <c r="A1445" s="1">
        <f>HYPERLINK("http://www.twitter.com/NathanBLawrence/status/979360863600697344", "979360863600697344")</f>
        <v/>
      </c>
      <c r="B1445" s="2" t="n">
        <v>43188.59259259259</v>
      </c>
      <c r="C1445" t="n">
        <v>0</v>
      </c>
      <c r="D1445" t="n">
        <v>37</v>
      </c>
      <c r="E1445" t="s">
        <v>1442</v>
      </c>
      <c r="F1445" t="s"/>
      <c r="G1445" t="s"/>
      <c r="H1445" t="s"/>
      <c r="I1445" t="s"/>
      <c r="J1445" t="n">
        <v>-0.3875</v>
      </c>
      <c r="K1445" t="n">
        <v>0.107</v>
      </c>
      <c r="L1445" t="n">
        <v>0.893</v>
      </c>
      <c r="M1445" t="n">
        <v>0</v>
      </c>
    </row>
    <row r="1446" spans="1:13">
      <c r="A1446" s="1">
        <f>HYPERLINK("http://www.twitter.com/NathanBLawrence/status/979359018748665856", "979359018748665856")</f>
        <v/>
      </c>
      <c r="B1446" s="2" t="n">
        <v>43188.5875</v>
      </c>
      <c r="C1446" t="n">
        <v>1</v>
      </c>
      <c r="D1446" t="n">
        <v>1</v>
      </c>
      <c r="E1446" t="s">
        <v>1443</v>
      </c>
      <c r="F1446">
        <f>HYPERLINK("http://pbs.twimg.com/media/DZdhxkoVoAIa6ry.jpg", "http://pbs.twimg.com/media/DZdhxkoVoAIa6ry.jpg")</f>
        <v/>
      </c>
      <c r="G1446" t="s"/>
      <c r="H1446" t="s"/>
      <c r="I1446" t="s"/>
      <c r="J1446" t="n">
        <v>0.8858</v>
      </c>
      <c r="K1446" t="n">
        <v>0</v>
      </c>
      <c r="L1446" t="n">
        <v>0.825</v>
      </c>
      <c r="M1446" t="n">
        <v>0.175</v>
      </c>
    </row>
    <row r="1447" spans="1:13">
      <c r="A1447" s="1">
        <f>HYPERLINK("http://www.twitter.com/NathanBLawrence/status/979352113456336896", "979352113456336896")</f>
        <v/>
      </c>
      <c r="B1447" s="2" t="n">
        <v>43188.5684375</v>
      </c>
      <c r="C1447" t="n">
        <v>0</v>
      </c>
      <c r="D1447" t="n">
        <v>32789</v>
      </c>
      <c r="E1447" t="s">
        <v>1444</v>
      </c>
      <c r="F1447" t="s"/>
      <c r="G1447" t="s"/>
      <c r="H1447" t="s"/>
      <c r="I1447" t="s"/>
      <c r="J1447" t="n">
        <v>-0.1585</v>
      </c>
      <c r="K1447" t="n">
        <v>0.133</v>
      </c>
      <c r="L1447" t="n">
        <v>0.799</v>
      </c>
      <c r="M1447" t="n">
        <v>0.068</v>
      </c>
    </row>
    <row r="1448" spans="1:13">
      <c r="A1448" s="1">
        <f>HYPERLINK("http://www.twitter.com/NathanBLawrence/status/979349817854918656", "979349817854918656")</f>
        <v/>
      </c>
      <c r="B1448" s="2" t="n">
        <v>43188.56210648148</v>
      </c>
      <c r="C1448" t="n">
        <v>0</v>
      </c>
      <c r="D1448" t="n">
        <v>76</v>
      </c>
      <c r="E1448" t="s">
        <v>1445</v>
      </c>
      <c r="F1448">
        <f>HYPERLINK("http://pbs.twimg.com/media/DZZ7AhOXkAE0gKu.jpg", "http://pbs.twimg.com/media/DZZ7AhOXkAE0gKu.jpg")</f>
        <v/>
      </c>
      <c r="G1448" t="s"/>
      <c r="H1448" t="s"/>
      <c r="I1448" t="s"/>
      <c r="J1448" t="n">
        <v>0.0857</v>
      </c>
      <c r="K1448" t="n">
        <v>0.144</v>
      </c>
      <c r="L1448" t="n">
        <v>0.694</v>
      </c>
      <c r="M1448" t="n">
        <v>0.162</v>
      </c>
    </row>
    <row r="1449" spans="1:13">
      <c r="A1449" s="1">
        <f>HYPERLINK("http://www.twitter.com/NathanBLawrence/status/979252358105444352", "979252358105444352")</f>
        <v/>
      </c>
      <c r="B1449" s="2" t="n">
        <v>43188.2931712963</v>
      </c>
      <c r="C1449" t="n">
        <v>0</v>
      </c>
      <c r="D1449" t="n">
        <v>3126</v>
      </c>
      <c r="E1449" t="s">
        <v>1446</v>
      </c>
      <c r="F1449">
        <f>HYPERLINK("http://pbs.twimg.com/media/DZVHkCIVQAA5w0H.jpg", "http://pbs.twimg.com/media/DZVHkCIVQAA5w0H.jpg")</f>
        <v/>
      </c>
      <c r="G1449" t="s"/>
      <c r="H1449" t="s"/>
      <c r="I1449" t="s"/>
      <c r="J1449" t="n">
        <v>-0.4767</v>
      </c>
      <c r="K1449" t="n">
        <v>0.11</v>
      </c>
      <c r="L1449" t="n">
        <v>0.89</v>
      </c>
      <c r="M1449" t="n">
        <v>0</v>
      </c>
    </row>
    <row r="1450" spans="1:13">
      <c r="A1450" s="1">
        <f>HYPERLINK("http://www.twitter.com/NathanBLawrence/status/979251677630029825", "979251677630029825")</f>
        <v/>
      </c>
      <c r="B1450" s="2" t="n">
        <v>43188.29129629629</v>
      </c>
      <c r="C1450" t="n">
        <v>0</v>
      </c>
      <c r="D1450" t="n">
        <v>1830</v>
      </c>
      <c r="E1450" t="s">
        <v>1447</v>
      </c>
      <c r="F1450" t="s"/>
      <c r="G1450" t="s"/>
      <c r="H1450" t="s"/>
      <c r="I1450" t="s"/>
      <c r="J1450" t="n">
        <v>0.4215</v>
      </c>
      <c r="K1450" t="n">
        <v>0</v>
      </c>
      <c r="L1450" t="n">
        <v>0.641</v>
      </c>
      <c r="M1450" t="n">
        <v>0.359</v>
      </c>
    </row>
    <row r="1451" spans="1:13">
      <c r="A1451" s="1">
        <f>HYPERLINK("http://www.twitter.com/NathanBLawrence/status/979251417272717312", "979251417272717312")</f>
        <v/>
      </c>
      <c r="B1451" s="2" t="n">
        <v>43188.2905787037</v>
      </c>
      <c r="C1451" t="n">
        <v>0</v>
      </c>
      <c r="D1451" t="n">
        <v>21084</v>
      </c>
      <c r="E1451" t="s">
        <v>1448</v>
      </c>
      <c r="F1451" t="s"/>
      <c r="G1451" t="s"/>
      <c r="H1451" t="s"/>
      <c r="I1451" t="s"/>
      <c r="J1451" t="n">
        <v>0.9622000000000001</v>
      </c>
      <c r="K1451" t="n">
        <v>0</v>
      </c>
      <c r="L1451" t="n">
        <v>0.461</v>
      </c>
      <c r="M1451" t="n">
        <v>0.539</v>
      </c>
    </row>
    <row r="1452" spans="1:13">
      <c r="A1452" s="1">
        <f>HYPERLINK("http://www.twitter.com/NathanBLawrence/status/979250166338347009", "979250166338347009")</f>
        <v/>
      </c>
      <c r="B1452" s="2" t="n">
        <v>43188.28711805555</v>
      </c>
      <c r="C1452" t="n">
        <v>0</v>
      </c>
      <c r="D1452" t="n">
        <v>5207</v>
      </c>
      <c r="E1452" t="s">
        <v>1449</v>
      </c>
      <c r="F1452" t="s"/>
      <c r="G1452" t="s"/>
      <c r="H1452" t="s"/>
      <c r="I1452" t="s"/>
      <c r="J1452" t="n">
        <v>0</v>
      </c>
      <c r="K1452" t="n">
        <v>0</v>
      </c>
      <c r="L1452" t="n">
        <v>1</v>
      </c>
      <c r="M1452" t="n">
        <v>0</v>
      </c>
    </row>
    <row r="1453" spans="1:13">
      <c r="A1453" s="1">
        <f>HYPERLINK("http://www.twitter.com/NathanBLawrence/status/979247281592561664", "979247281592561664")</f>
        <v/>
      </c>
      <c r="B1453" s="2" t="n">
        <v>43188.27916666667</v>
      </c>
      <c r="C1453" t="n">
        <v>0</v>
      </c>
      <c r="D1453" t="n">
        <v>1175</v>
      </c>
      <c r="E1453" t="s">
        <v>1450</v>
      </c>
      <c r="F1453" t="s"/>
      <c r="G1453" t="s"/>
      <c r="H1453" t="s"/>
      <c r="I1453" t="s"/>
      <c r="J1453" t="n">
        <v>0</v>
      </c>
      <c r="K1453" t="n">
        <v>0</v>
      </c>
      <c r="L1453" t="n">
        <v>1</v>
      </c>
      <c r="M1453" t="n">
        <v>0</v>
      </c>
    </row>
    <row r="1454" spans="1:13">
      <c r="A1454" s="1">
        <f>HYPERLINK("http://www.twitter.com/NathanBLawrence/status/979245152811339777", "979245152811339777")</f>
        <v/>
      </c>
      <c r="B1454" s="2" t="n">
        <v>43188.27328703704</v>
      </c>
      <c r="C1454" t="n">
        <v>0</v>
      </c>
      <c r="D1454" t="n">
        <v>6</v>
      </c>
      <c r="E1454" t="s">
        <v>1451</v>
      </c>
      <c r="F1454" t="s"/>
      <c r="G1454" t="s"/>
      <c r="H1454" t="s"/>
      <c r="I1454" t="s"/>
      <c r="J1454" t="n">
        <v>0</v>
      </c>
      <c r="K1454" t="n">
        <v>0</v>
      </c>
      <c r="L1454" t="n">
        <v>1</v>
      </c>
      <c r="M1454" t="n">
        <v>0</v>
      </c>
    </row>
    <row r="1455" spans="1:13">
      <c r="A1455" s="1">
        <f>HYPERLINK("http://www.twitter.com/NathanBLawrence/status/979231645126492160", "979231645126492160")</f>
        <v/>
      </c>
      <c r="B1455" s="2" t="n">
        <v>43188.23601851852</v>
      </c>
      <c r="C1455" t="n">
        <v>8</v>
      </c>
      <c r="D1455" t="n">
        <v>6</v>
      </c>
      <c r="E1455" t="s">
        <v>1452</v>
      </c>
      <c r="F1455" t="s"/>
      <c r="G1455" t="s"/>
      <c r="H1455" t="s"/>
      <c r="I1455" t="s"/>
      <c r="J1455" t="n">
        <v>-0.979</v>
      </c>
      <c r="K1455" t="n">
        <v>0.462</v>
      </c>
      <c r="L1455" t="n">
        <v>0.467</v>
      </c>
      <c r="M1455" t="n">
        <v>0.07099999999999999</v>
      </c>
    </row>
    <row r="1456" spans="1:13">
      <c r="A1456" s="1">
        <f>HYPERLINK("http://www.twitter.com/NathanBLawrence/status/979221722015649794", "979221722015649794")</f>
        <v/>
      </c>
      <c r="B1456" s="2" t="n">
        <v>43188.20863425926</v>
      </c>
      <c r="C1456" t="n">
        <v>8</v>
      </c>
      <c r="D1456" t="n">
        <v>5</v>
      </c>
      <c r="E1456" t="s">
        <v>1453</v>
      </c>
      <c r="F1456" t="s"/>
      <c r="G1456" t="s"/>
      <c r="H1456" t="s"/>
      <c r="I1456" t="s"/>
      <c r="J1456" t="n">
        <v>-0.8324</v>
      </c>
      <c r="K1456" t="n">
        <v>0.239</v>
      </c>
      <c r="L1456" t="n">
        <v>0.621</v>
      </c>
      <c r="M1456" t="n">
        <v>0.14</v>
      </c>
    </row>
    <row r="1457" spans="1:13">
      <c r="A1457" s="1">
        <f>HYPERLINK("http://www.twitter.com/NathanBLawrence/status/979092215292219392", "979092215292219392")</f>
        <v/>
      </c>
      <c r="B1457" s="2" t="n">
        <v>43187.85126157408</v>
      </c>
      <c r="C1457" t="n">
        <v>0</v>
      </c>
      <c r="D1457" t="n">
        <v>766</v>
      </c>
      <c r="E1457" t="s">
        <v>1454</v>
      </c>
      <c r="F1457">
        <f>HYPERLINK("http://pbs.twimg.com/media/DZZUP9WW4AE5ryD.jpg", "http://pbs.twimg.com/media/DZZUP9WW4AE5ryD.jpg")</f>
        <v/>
      </c>
      <c r="G1457" t="s"/>
      <c r="H1457" t="s"/>
      <c r="I1457" t="s"/>
      <c r="J1457" t="n">
        <v>0</v>
      </c>
      <c r="K1457" t="n">
        <v>0</v>
      </c>
      <c r="L1457" t="n">
        <v>1</v>
      </c>
      <c r="M1457" t="n">
        <v>0</v>
      </c>
    </row>
    <row r="1458" spans="1:13">
      <c r="A1458" s="1">
        <f>HYPERLINK("http://www.twitter.com/NathanBLawrence/status/979081370419986432", "979081370419986432")</f>
        <v/>
      </c>
      <c r="B1458" s="2" t="n">
        <v>43187.82133101852</v>
      </c>
      <c r="C1458" t="n">
        <v>0</v>
      </c>
      <c r="D1458" t="n">
        <v>447</v>
      </c>
      <c r="E1458" t="s">
        <v>1455</v>
      </c>
      <c r="F1458">
        <f>HYPERLINK("https://video.twimg.com/ext_tw_video/978989854640910352/pu/vid/480x360/vsGfdmKcGEecO3RQ.mp4", "https://video.twimg.com/ext_tw_video/978989854640910352/pu/vid/480x360/vsGfdmKcGEecO3RQ.mp4")</f>
        <v/>
      </c>
      <c r="G1458" t="s"/>
      <c r="H1458" t="s"/>
      <c r="I1458" t="s"/>
      <c r="J1458" t="n">
        <v>0.6767</v>
      </c>
      <c r="K1458" t="n">
        <v>0.11</v>
      </c>
      <c r="L1458" t="n">
        <v>0.607</v>
      </c>
      <c r="M1458" t="n">
        <v>0.283</v>
      </c>
    </row>
    <row r="1459" spans="1:13">
      <c r="A1459" s="1">
        <f>HYPERLINK("http://www.twitter.com/NathanBLawrence/status/979081020367613952", "979081020367613952")</f>
        <v/>
      </c>
      <c r="B1459" s="2" t="n">
        <v>43187.82037037037</v>
      </c>
      <c r="C1459" t="n">
        <v>0</v>
      </c>
      <c r="D1459" t="n">
        <v>35</v>
      </c>
      <c r="E1459" t="s">
        <v>1456</v>
      </c>
      <c r="F1459" t="s"/>
      <c r="G1459" t="s"/>
      <c r="H1459" t="s"/>
      <c r="I1459" t="s"/>
      <c r="J1459" t="n">
        <v>-0.5423</v>
      </c>
      <c r="K1459" t="n">
        <v>0.143</v>
      </c>
      <c r="L1459" t="n">
        <v>0.857</v>
      </c>
      <c r="M1459" t="n">
        <v>0</v>
      </c>
    </row>
    <row r="1460" spans="1:13">
      <c r="A1460" s="1">
        <f>HYPERLINK("http://www.twitter.com/NathanBLawrence/status/979075595182198789", "979075595182198789")</f>
        <v/>
      </c>
      <c r="B1460" s="2" t="n">
        <v>43187.80539351852</v>
      </c>
      <c r="C1460" t="n">
        <v>0</v>
      </c>
      <c r="D1460" t="n">
        <v>5</v>
      </c>
      <c r="E1460" t="s">
        <v>1457</v>
      </c>
      <c r="F1460" t="s"/>
      <c r="G1460" t="s"/>
      <c r="H1460" t="s"/>
      <c r="I1460" t="s"/>
      <c r="J1460" t="n">
        <v>-0.8401999999999999</v>
      </c>
      <c r="K1460" t="n">
        <v>0.29</v>
      </c>
      <c r="L1460" t="n">
        <v>0.71</v>
      </c>
      <c r="M1460" t="n">
        <v>0</v>
      </c>
    </row>
    <row r="1461" spans="1:13">
      <c r="A1461" s="1">
        <f>HYPERLINK("http://www.twitter.com/NathanBLawrence/status/979075261806399488", "979075261806399488")</f>
        <v/>
      </c>
      <c r="B1461" s="2" t="n">
        <v>43187.80447916667</v>
      </c>
      <c r="C1461" t="n">
        <v>0</v>
      </c>
      <c r="D1461" t="n">
        <v>840</v>
      </c>
      <c r="E1461" t="s">
        <v>1458</v>
      </c>
      <c r="F1461" t="s"/>
      <c r="G1461" t="s"/>
      <c r="H1461" t="s"/>
      <c r="I1461" t="s"/>
      <c r="J1461" t="n">
        <v>0</v>
      </c>
      <c r="K1461" t="n">
        <v>0</v>
      </c>
      <c r="L1461" t="n">
        <v>1</v>
      </c>
      <c r="M1461" t="n">
        <v>0</v>
      </c>
    </row>
    <row r="1462" spans="1:13">
      <c r="A1462" s="1">
        <f>HYPERLINK("http://www.twitter.com/NathanBLawrence/status/979072181660463104", "979072181660463104")</f>
        <v/>
      </c>
      <c r="B1462" s="2" t="n">
        <v>43187.7959837963</v>
      </c>
      <c r="C1462" t="n">
        <v>0</v>
      </c>
      <c r="D1462" t="n">
        <v>18</v>
      </c>
      <c r="E1462" t="s">
        <v>1459</v>
      </c>
      <c r="F1462">
        <f>HYPERLINK("http://pbs.twimg.com/media/DZZcw_rXcAAeruX.jpg", "http://pbs.twimg.com/media/DZZcw_rXcAAeruX.jpg")</f>
        <v/>
      </c>
      <c r="G1462" t="s"/>
      <c r="H1462" t="s"/>
      <c r="I1462" t="s"/>
      <c r="J1462" t="n">
        <v>0.9868</v>
      </c>
      <c r="K1462" t="n">
        <v>0</v>
      </c>
      <c r="L1462" t="n">
        <v>0.259</v>
      </c>
      <c r="M1462" t="n">
        <v>0.741</v>
      </c>
    </row>
    <row r="1463" spans="1:13">
      <c r="A1463" s="1">
        <f>HYPERLINK("http://www.twitter.com/NathanBLawrence/status/979072003406786560", "979072003406786560")</f>
        <v/>
      </c>
      <c r="B1463" s="2" t="n">
        <v>43187.79548611111</v>
      </c>
      <c r="C1463" t="n">
        <v>40</v>
      </c>
      <c r="D1463" t="n">
        <v>18</v>
      </c>
      <c r="E1463" t="s">
        <v>1460</v>
      </c>
      <c r="F1463">
        <f>HYPERLINK("http://pbs.twimg.com/media/DZZcw_rXcAAeruX.jpg", "http://pbs.twimg.com/media/DZZcw_rXcAAeruX.jpg")</f>
        <v/>
      </c>
      <c r="G1463" t="s"/>
      <c r="H1463" t="s"/>
      <c r="I1463" t="s"/>
      <c r="J1463" t="n">
        <v>0.9868</v>
      </c>
      <c r="K1463" t="n">
        <v>0</v>
      </c>
      <c r="L1463" t="n">
        <v>0.239</v>
      </c>
      <c r="M1463" t="n">
        <v>0.761</v>
      </c>
    </row>
    <row r="1464" spans="1:13">
      <c r="A1464" s="1">
        <f>HYPERLINK("http://www.twitter.com/NathanBLawrence/status/979070784713953282", "979070784713953282")</f>
        <v/>
      </c>
      <c r="B1464" s="2" t="n">
        <v>43187.79211805556</v>
      </c>
      <c r="C1464" t="n">
        <v>3</v>
      </c>
      <c r="D1464" t="n">
        <v>1</v>
      </c>
      <c r="E1464" t="s">
        <v>1461</v>
      </c>
      <c r="F1464" t="s"/>
      <c r="G1464" t="s"/>
      <c r="H1464" t="s"/>
      <c r="I1464" t="s"/>
      <c r="J1464" t="n">
        <v>0</v>
      </c>
      <c r="K1464" t="n">
        <v>0</v>
      </c>
      <c r="L1464" t="n">
        <v>1</v>
      </c>
      <c r="M1464" t="n">
        <v>0</v>
      </c>
    </row>
    <row r="1465" spans="1:13">
      <c r="A1465" s="1">
        <f>HYPERLINK("http://www.twitter.com/NathanBLawrence/status/979070583710330882", "979070583710330882")</f>
        <v/>
      </c>
      <c r="B1465" s="2" t="n">
        <v>43187.79157407407</v>
      </c>
      <c r="C1465" t="n">
        <v>7</v>
      </c>
      <c r="D1465" t="n">
        <v>3</v>
      </c>
      <c r="E1465" t="s">
        <v>1462</v>
      </c>
      <c r="F1465" t="s"/>
      <c r="G1465" t="s"/>
      <c r="H1465" t="s"/>
      <c r="I1465" t="s"/>
      <c r="J1465" t="n">
        <v>-0.3034</v>
      </c>
      <c r="K1465" t="n">
        <v>0.271</v>
      </c>
      <c r="L1465" t="n">
        <v>0.729</v>
      </c>
      <c r="M1465" t="n">
        <v>0</v>
      </c>
    </row>
    <row r="1466" spans="1:13">
      <c r="A1466" s="1">
        <f>HYPERLINK("http://www.twitter.com/NathanBLawrence/status/979047977305157632", "979047977305157632")</f>
        <v/>
      </c>
      <c r="B1466" s="2" t="n">
        <v>43187.72918981482</v>
      </c>
      <c r="C1466" t="n">
        <v>0</v>
      </c>
      <c r="D1466" t="n">
        <v>23859</v>
      </c>
      <c r="E1466" t="s">
        <v>1463</v>
      </c>
      <c r="F1466" t="s"/>
      <c r="G1466" t="s"/>
      <c r="H1466" t="s"/>
      <c r="I1466" t="s"/>
      <c r="J1466" t="n">
        <v>0.3384</v>
      </c>
      <c r="K1466" t="n">
        <v>0</v>
      </c>
      <c r="L1466" t="n">
        <v>0.909</v>
      </c>
      <c r="M1466" t="n">
        <v>0.091</v>
      </c>
    </row>
    <row r="1467" spans="1:13">
      <c r="A1467" s="1">
        <f>HYPERLINK("http://www.twitter.com/NathanBLawrence/status/979047684786020352", "979047684786020352")</f>
        <v/>
      </c>
      <c r="B1467" s="2" t="n">
        <v>43187.72837962963</v>
      </c>
      <c r="C1467" t="n">
        <v>0</v>
      </c>
      <c r="D1467" t="n">
        <v>26134</v>
      </c>
      <c r="E1467" t="s">
        <v>1464</v>
      </c>
      <c r="F1467" t="s"/>
      <c r="G1467" t="s"/>
      <c r="H1467" t="s"/>
      <c r="I1467" t="s"/>
      <c r="J1467" t="n">
        <v>0.5423</v>
      </c>
      <c r="K1467" t="n">
        <v>0</v>
      </c>
      <c r="L1467" t="n">
        <v>0.837</v>
      </c>
      <c r="M1467" t="n">
        <v>0.163</v>
      </c>
    </row>
    <row r="1468" spans="1:13">
      <c r="A1468" s="1">
        <f>HYPERLINK("http://www.twitter.com/NathanBLawrence/status/979046972626792453", "979046972626792453")</f>
        <v/>
      </c>
      <c r="B1468" s="2" t="n">
        <v>43187.72641203704</v>
      </c>
      <c r="C1468" t="n">
        <v>0</v>
      </c>
      <c r="D1468" t="n">
        <v>142</v>
      </c>
      <c r="E1468" t="s">
        <v>1465</v>
      </c>
      <c r="F1468">
        <f>HYPERLINK("http://pbs.twimg.com/media/DZPcouBWkAAn1Y4.jpg", "http://pbs.twimg.com/media/DZPcouBWkAAn1Y4.jpg")</f>
        <v/>
      </c>
      <c r="G1468" t="s"/>
      <c r="H1468" t="s"/>
      <c r="I1468" t="s"/>
      <c r="J1468" t="n">
        <v>0.9094</v>
      </c>
      <c r="K1468" t="n">
        <v>0</v>
      </c>
      <c r="L1468" t="n">
        <v>0.636</v>
      </c>
      <c r="M1468" t="n">
        <v>0.364</v>
      </c>
    </row>
    <row r="1469" spans="1:13">
      <c r="A1469" s="1">
        <f>HYPERLINK("http://www.twitter.com/NathanBLawrence/status/979032029835735040", "979032029835735040")</f>
        <v/>
      </c>
      <c r="B1469" s="2" t="n">
        <v>43187.68518518518</v>
      </c>
      <c r="C1469" t="n">
        <v>0</v>
      </c>
      <c r="D1469" t="n">
        <v>177</v>
      </c>
      <c r="E1469" t="s">
        <v>1466</v>
      </c>
      <c r="F1469" t="s"/>
      <c r="G1469" t="s"/>
      <c r="H1469" t="s"/>
      <c r="I1469" t="s"/>
      <c r="J1469" t="n">
        <v>0.4019</v>
      </c>
      <c r="K1469" t="n">
        <v>0</v>
      </c>
      <c r="L1469" t="n">
        <v>0.828</v>
      </c>
      <c r="M1469" t="n">
        <v>0.172</v>
      </c>
    </row>
    <row r="1470" spans="1:13">
      <c r="A1470" s="1">
        <f>HYPERLINK("http://www.twitter.com/NathanBLawrence/status/979027451484540929", "979027451484540929")</f>
        <v/>
      </c>
      <c r="B1470" s="2" t="n">
        <v>43187.67254629629</v>
      </c>
      <c r="C1470" t="n">
        <v>0</v>
      </c>
      <c r="D1470" t="n">
        <v>11420</v>
      </c>
      <c r="E1470" t="s">
        <v>1467</v>
      </c>
      <c r="F1470" t="s"/>
      <c r="G1470" t="s"/>
      <c r="H1470" t="s"/>
      <c r="I1470" t="s"/>
      <c r="J1470" t="n">
        <v>0.6669</v>
      </c>
      <c r="K1470" t="n">
        <v>0</v>
      </c>
      <c r="L1470" t="n">
        <v>0.785</v>
      </c>
      <c r="M1470" t="n">
        <v>0.215</v>
      </c>
    </row>
    <row r="1471" spans="1:13">
      <c r="A1471" s="1">
        <f>HYPERLINK("http://www.twitter.com/NathanBLawrence/status/979026106228596737", "979026106228596737")</f>
        <v/>
      </c>
      <c r="B1471" s="2" t="n">
        <v>43187.66883101852</v>
      </c>
      <c r="C1471" t="n">
        <v>0</v>
      </c>
      <c r="D1471" t="n">
        <v>305</v>
      </c>
      <c r="E1471" t="s">
        <v>1468</v>
      </c>
      <c r="F1471" t="s"/>
      <c r="G1471" t="s"/>
      <c r="H1471" t="s"/>
      <c r="I1471" t="s"/>
      <c r="J1471" t="n">
        <v>-0.4574</v>
      </c>
      <c r="K1471" t="n">
        <v>0.125</v>
      </c>
      <c r="L1471" t="n">
        <v>0.875</v>
      </c>
      <c r="M1471" t="n">
        <v>0</v>
      </c>
    </row>
    <row r="1472" spans="1:13">
      <c r="A1472" s="1">
        <f>HYPERLINK("http://www.twitter.com/NathanBLawrence/status/978836451541561344", "978836451541561344")</f>
        <v/>
      </c>
      <c r="B1472" s="2" t="n">
        <v>43187.14548611111</v>
      </c>
      <c r="C1472" t="n">
        <v>6</v>
      </c>
      <c r="D1472" t="n">
        <v>8</v>
      </c>
      <c r="E1472" t="s">
        <v>1469</v>
      </c>
      <c r="F1472" t="s"/>
      <c r="G1472" t="s"/>
      <c r="H1472" t="s"/>
      <c r="I1472" t="s"/>
      <c r="J1472" t="n">
        <v>-0.1779</v>
      </c>
      <c r="K1472" t="n">
        <v>0.108</v>
      </c>
      <c r="L1472" t="n">
        <v>0.892</v>
      </c>
      <c r="M1472" t="n">
        <v>0</v>
      </c>
    </row>
    <row r="1473" spans="1:13">
      <c r="A1473" s="1">
        <f>HYPERLINK("http://www.twitter.com/NathanBLawrence/status/978793038855188480", "978793038855188480")</f>
        <v/>
      </c>
      <c r="B1473" s="2" t="n">
        <v>43187.02569444444</v>
      </c>
      <c r="C1473" t="n">
        <v>0</v>
      </c>
      <c r="D1473" t="n">
        <v>2266</v>
      </c>
      <c r="E1473" t="s">
        <v>1470</v>
      </c>
      <c r="F1473">
        <f>HYPERLINK("https://video.twimg.com/amplify_video/978388622255820801/vid/720x720/vUwwZIP9bXNEcAjY.mp4", "https://video.twimg.com/amplify_video/978388622255820801/vid/720x720/vUwwZIP9bXNEcAjY.mp4")</f>
        <v/>
      </c>
      <c r="G1473" t="s"/>
      <c r="H1473" t="s"/>
      <c r="I1473" t="s"/>
      <c r="J1473" t="n">
        <v>-0.296</v>
      </c>
      <c r="K1473" t="n">
        <v>0.104</v>
      </c>
      <c r="L1473" t="n">
        <v>0.896</v>
      </c>
      <c r="M1473" t="n">
        <v>0</v>
      </c>
    </row>
    <row r="1474" spans="1:13">
      <c r="A1474" s="1">
        <f>HYPERLINK("http://www.twitter.com/NathanBLawrence/status/978767334323212288", "978767334323212288")</f>
        <v/>
      </c>
      <c r="B1474" s="2" t="n">
        <v>43186.95475694445</v>
      </c>
      <c r="C1474" t="n">
        <v>0</v>
      </c>
      <c r="D1474" t="n">
        <v>537</v>
      </c>
      <c r="E1474" t="s">
        <v>1471</v>
      </c>
      <c r="F1474" t="s"/>
      <c r="G1474" t="s"/>
      <c r="H1474" t="s"/>
      <c r="I1474" t="s"/>
      <c r="J1474" t="n">
        <v>0.1761</v>
      </c>
      <c r="K1474" t="n">
        <v>0.08799999999999999</v>
      </c>
      <c r="L1474" t="n">
        <v>0.797</v>
      </c>
      <c r="M1474" t="n">
        <v>0.115</v>
      </c>
    </row>
    <row r="1475" spans="1:13">
      <c r="A1475" s="1">
        <f>HYPERLINK("http://www.twitter.com/NathanBLawrence/status/978760306959798272", "978760306959798272")</f>
        <v/>
      </c>
      <c r="B1475" s="2" t="n">
        <v>43186.93537037037</v>
      </c>
      <c r="C1475" t="n">
        <v>20</v>
      </c>
      <c r="D1475" t="n">
        <v>1</v>
      </c>
      <c r="E1475" t="s">
        <v>1472</v>
      </c>
      <c r="F1475" t="s"/>
      <c r="G1475" t="s"/>
      <c r="H1475" t="s"/>
      <c r="I1475" t="s"/>
      <c r="J1475" t="n">
        <v>0.8633999999999999</v>
      </c>
      <c r="K1475" t="n">
        <v>0.098</v>
      </c>
      <c r="L1475" t="n">
        <v>0.634</v>
      </c>
      <c r="M1475" t="n">
        <v>0.268</v>
      </c>
    </row>
    <row r="1476" spans="1:13">
      <c r="A1476" s="1">
        <f>HYPERLINK("http://www.twitter.com/NathanBLawrence/status/978745060027174913", "978745060027174913")</f>
        <v/>
      </c>
      <c r="B1476" s="2" t="n">
        <v>43186.89329861111</v>
      </c>
      <c r="C1476" t="n">
        <v>0</v>
      </c>
      <c r="D1476" t="n">
        <v>53</v>
      </c>
      <c r="E1476" t="s">
        <v>1473</v>
      </c>
      <c r="F1476" t="s"/>
      <c r="G1476" t="s"/>
      <c r="H1476" t="s"/>
      <c r="I1476" t="s"/>
      <c r="J1476" t="n">
        <v>-0.34</v>
      </c>
      <c r="K1476" t="n">
        <v>0.179</v>
      </c>
      <c r="L1476" t="n">
        <v>0.821</v>
      </c>
      <c r="M1476" t="n">
        <v>0</v>
      </c>
    </row>
    <row r="1477" spans="1:13">
      <c r="A1477" s="1">
        <f>HYPERLINK("http://www.twitter.com/NathanBLawrence/status/978744872290144256", "978744872290144256")</f>
        <v/>
      </c>
      <c r="B1477" s="2" t="n">
        <v>43186.89277777778</v>
      </c>
      <c r="C1477" t="n">
        <v>0</v>
      </c>
      <c r="D1477" t="n">
        <v>19</v>
      </c>
      <c r="E1477" t="s">
        <v>1474</v>
      </c>
      <c r="F1477" t="s"/>
      <c r="G1477" t="s"/>
      <c r="H1477" t="s"/>
      <c r="I1477" t="s"/>
      <c r="J1477" t="n">
        <v>-0.4738</v>
      </c>
      <c r="K1477" t="n">
        <v>0.199</v>
      </c>
      <c r="L1477" t="n">
        <v>0.712</v>
      </c>
      <c r="M1477" t="n">
        <v>0.089</v>
      </c>
    </row>
    <row r="1478" spans="1:13">
      <c r="A1478" s="1">
        <f>HYPERLINK("http://www.twitter.com/NathanBLawrence/status/978723999260839936", "978723999260839936")</f>
        <v/>
      </c>
      <c r="B1478" s="2" t="n">
        <v>43186.83517361111</v>
      </c>
      <c r="C1478" t="n">
        <v>0</v>
      </c>
      <c r="D1478" t="n">
        <v>7</v>
      </c>
      <c r="E1478" t="s">
        <v>1475</v>
      </c>
      <c r="F1478" t="s"/>
      <c r="G1478" t="s"/>
      <c r="H1478" t="s"/>
      <c r="I1478" t="s"/>
      <c r="J1478" t="n">
        <v>0.5859</v>
      </c>
      <c r="K1478" t="n">
        <v>0.077</v>
      </c>
      <c r="L1478" t="n">
        <v>0.676</v>
      </c>
      <c r="M1478" t="n">
        <v>0.248</v>
      </c>
    </row>
    <row r="1479" spans="1:13">
      <c r="A1479" s="1">
        <f>HYPERLINK("http://www.twitter.com/NathanBLawrence/status/978719484373622787", "978719484373622787")</f>
        <v/>
      </c>
      <c r="B1479" s="2" t="n">
        <v>43186.82271990741</v>
      </c>
      <c r="C1479" t="n">
        <v>21</v>
      </c>
      <c r="D1479" t="n">
        <v>15</v>
      </c>
      <c r="E1479" t="s">
        <v>1476</v>
      </c>
      <c r="F1479" t="s"/>
      <c r="G1479" t="s"/>
      <c r="H1479" t="s"/>
      <c r="I1479" t="s"/>
      <c r="J1479" t="n">
        <v>-0.5104</v>
      </c>
      <c r="K1479" t="n">
        <v>0.196</v>
      </c>
      <c r="L1479" t="n">
        <v>0.6870000000000001</v>
      </c>
      <c r="M1479" t="n">
        <v>0.116</v>
      </c>
    </row>
    <row r="1480" spans="1:13">
      <c r="A1480" s="1">
        <f>HYPERLINK("http://www.twitter.com/NathanBLawrence/status/978705256442974209", "978705256442974209")</f>
        <v/>
      </c>
      <c r="B1480" s="2" t="n">
        <v>43186.78346064815</v>
      </c>
      <c r="C1480" t="n">
        <v>0</v>
      </c>
      <c r="D1480" t="n">
        <v>6</v>
      </c>
      <c r="E1480" t="s">
        <v>1477</v>
      </c>
      <c r="F1480" t="s"/>
      <c r="G1480" t="s"/>
      <c r="H1480" t="s"/>
      <c r="I1480" t="s"/>
      <c r="J1480" t="n">
        <v>0</v>
      </c>
      <c r="K1480" t="n">
        <v>0</v>
      </c>
      <c r="L1480" t="n">
        <v>1</v>
      </c>
      <c r="M1480" t="n">
        <v>0</v>
      </c>
    </row>
    <row r="1481" spans="1:13">
      <c r="A1481" s="1">
        <f>HYPERLINK("http://www.twitter.com/NathanBLawrence/status/978702738019311616", "978702738019311616")</f>
        <v/>
      </c>
      <c r="B1481" s="2" t="n">
        <v>43186.77650462963</v>
      </c>
      <c r="C1481" t="n">
        <v>0</v>
      </c>
      <c r="D1481" t="n">
        <v>338</v>
      </c>
      <c r="E1481" t="s">
        <v>1478</v>
      </c>
      <c r="F1481" t="s"/>
      <c r="G1481" t="s"/>
      <c r="H1481" t="s"/>
      <c r="I1481" t="s"/>
      <c r="J1481" t="n">
        <v>-0.7579</v>
      </c>
      <c r="K1481" t="n">
        <v>0.265</v>
      </c>
      <c r="L1481" t="n">
        <v>0.735</v>
      </c>
      <c r="M1481" t="n">
        <v>0</v>
      </c>
    </row>
    <row r="1482" spans="1:13">
      <c r="A1482" s="1">
        <f>HYPERLINK("http://www.twitter.com/NathanBLawrence/status/978702251689676800", "978702251689676800")</f>
        <v/>
      </c>
      <c r="B1482" s="2" t="n">
        <v>43186.77516203704</v>
      </c>
      <c r="C1482" t="n">
        <v>0</v>
      </c>
      <c r="D1482" t="n">
        <v>5576</v>
      </c>
      <c r="E1482" t="s">
        <v>1479</v>
      </c>
      <c r="F1482" t="s"/>
      <c r="G1482" t="s"/>
      <c r="H1482" t="s"/>
      <c r="I1482" t="s"/>
      <c r="J1482" t="n">
        <v>-0.8591</v>
      </c>
      <c r="K1482" t="n">
        <v>0.309</v>
      </c>
      <c r="L1482" t="n">
        <v>0.6909999999999999</v>
      </c>
      <c r="M1482" t="n">
        <v>0</v>
      </c>
    </row>
    <row r="1483" spans="1:13">
      <c r="A1483" s="1">
        <f>HYPERLINK("http://www.twitter.com/NathanBLawrence/status/978699980486725633", "978699980486725633")</f>
        <v/>
      </c>
      <c r="B1483" s="2" t="n">
        <v>43186.76890046296</v>
      </c>
      <c r="C1483" t="n">
        <v>0</v>
      </c>
      <c r="D1483" t="n">
        <v>10746</v>
      </c>
      <c r="E1483" t="s">
        <v>1480</v>
      </c>
      <c r="F1483">
        <f>HYPERLINK("http://pbs.twimg.com/media/DZT8L-oXcAEqdV-.jpg", "http://pbs.twimg.com/media/DZT8L-oXcAEqdV-.jpg")</f>
        <v/>
      </c>
      <c r="G1483" t="s"/>
      <c r="H1483" t="s"/>
      <c r="I1483" t="s"/>
      <c r="J1483" t="n">
        <v>-0.3818</v>
      </c>
      <c r="K1483" t="n">
        <v>0.187</v>
      </c>
      <c r="L1483" t="n">
        <v>0.714</v>
      </c>
      <c r="M1483" t="n">
        <v>0.099</v>
      </c>
    </row>
    <row r="1484" spans="1:13">
      <c r="A1484" s="1">
        <f>HYPERLINK("http://www.twitter.com/NathanBLawrence/status/978699807689728002", "978699807689728002")</f>
        <v/>
      </c>
      <c r="B1484" s="2" t="n">
        <v>43186.76842592593</v>
      </c>
      <c r="C1484" t="n">
        <v>0</v>
      </c>
      <c r="D1484" t="n">
        <v>264</v>
      </c>
      <c r="E1484" t="s">
        <v>1481</v>
      </c>
      <c r="F1484">
        <f>HYPERLINK("http://pbs.twimg.com/media/DZTUGjoVQAA4m1l.jpg", "http://pbs.twimg.com/media/DZTUGjoVQAA4m1l.jpg")</f>
        <v/>
      </c>
      <c r="G1484" t="s"/>
      <c r="H1484" t="s"/>
      <c r="I1484" t="s"/>
      <c r="J1484" t="n">
        <v>0.7096</v>
      </c>
      <c r="K1484" t="n">
        <v>0</v>
      </c>
      <c r="L1484" t="n">
        <v>0.742</v>
      </c>
      <c r="M1484" t="n">
        <v>0.258</v>
      </c>
    </row>
    <row r="1485" spans="1:13">
      <c r="A1485" s="1">
        <f>HYPERLINK("http://www.twitter.com/NathanBLawrence/status/978699223360266242", "978699223360266242")</f>
        <v/>
      </c>
      <c r="B1485" s="2" t="n">
        <v>43186.76680555556</v>
      </c>
      <c r="C1485" t="n">
        <v>0</v>
      </c>
      <c r="D1485" t="n">
        <v>242</v>
      </c>
      <c r="E1485" t="s">
        <v>1482</v>
      </c>
      <c r="F1485" t="s"/>
      <c r="G1485" t="s"/>
      <c r="H1485" t="s"/>
      <c r="I1485" t="s"/>
      <c r="J1485" t="n">
        <v>-0.2808</v>
      </c>
      <c r="K1485" t="n">
        <v>0.118</v>
      </c>
      <c r="L1485" t="n">
        <v>0.882</v>
      </c>
      <c r="M1485" t="n">
        <v>0</v>
      </c>
    </row>
    <row r="1486" spans="1:13">
      <c r="A1486" s="1">
        <f>HYPERLINK("http://www.twitter.com/NathanBLawrence/status/978693954949582852", "978693954949582852")</f>
        <v/>
      </c>
      <c r="B1486" s="2" t="n">
        <v>43186.75226851852</v>
      </c>
      <c r="C1486" t="n">
        <v>35</v>
      </c>
      <c r="D1486" t="n">
        <v>18</v>
      </c>
      <c r="E1486" t="s">
        <v>1483</v>
      </c>
      <c r="F1486" t="s"/>
      <c r="G1486" t="s"/>
      <c r="H1486" t="s"/>
      <c r="I1486" t="s"/>
      <c r="J1486" t="n">
        <v>0.8741</v>
      </c>
      <c r="K1486" t="n">
        <v>0.042</v>
      </c>
      <c r="L1486" t="n">
        <v>0.707</v>
      </c>
      <c r="M1486" t="n">
        <v>0.251</v>
      </c>
    </row>
    <row r="1487" spans="1:13">
      <c r="A1487" s="1">
        <f>HYPERLINK("http://www.twitter.com/NathanBLawrence/status/978692056540426240", "978692056540426240")</f>
        <v/>
      </c>
      <c r="B1487" s="2" t="n">
        <v>43186.74703703704</v>
      </c>
      <c r="C1487" t="n">
        <v>7</v>
      </c>
      <c r="D1487" t="n">
        <v>2</v>
      </c>
      <c r="E1487" t="s">
        <v>1484</v>
      </c>
      <c r="F1487" t="s"/>
      <c r="G1487" t="s"/>
      <c r="H1487" t="s"/>
      <c r="I1487" t="s"/>
      <c r="J1487" t="n">
        <v>0.5282</v>
      </c>
      <c r="K1487" t="n">
        <v>0.08599999999999999</v>
      </c>
      <c r="L1487" t="n">
        <v>0.699</v>
      </c>
      <c r="M1487" t="n">
        <v>0.215</v>
      </c>
    </row>
    <row r="1488" spans="1:13">
      <c r="A1488" s="1">
        <f>HYPERLINK("http://www.twitter.com/NathanBLawrence/status/978628228003835912", "978628228003835912")</f>
        <v/>
      </c>
      <c r="B1488" s="2" t="n">
        <v>43186.57090277778</v>
      </c>
      <c r="C1488" t="n">
        <v>0</v>
      </c>
      <c r="D1488" t="n">
        <v>2</v>
      </c>
      <c r="E1488" t="s">
        <v>1485</v>
      </c>
      <c r="F1488">
        <f>HYPERLINK("http://pbs.twimg.com/media/DZTAbBDVwAc2Sa9.jpg", "http://pbs.twimg.com/media/DZTAbBDVwAc2Sa9.jpg")</f>
        <v/>
      </c>
      <c r="G1488">
        <f>HYPERLINK("http://pbs.twimg.com/media/DZTBDJRU0AEfjm8.jpg", "http://pbs.twimg.com/media/DZTBDJRU0AEfjm8.jpg")</f>
        <v/>
      </c>
      <c r="H1488" t="s"/>
      <c r="I1488" t="s"/>
      <c r="J1488" t="n">
        <v>0.3612</v>
      </c>
      <c r="K1488" t="n">
        <v>0</v>
      </c>
      <c r="L1488" t="n">
        <v>0.857</v>
      </c>
      <c r="M1488" t="n">
        <v>0.143</v>
      </c>
    </row>
    <row r="1489" spans="1:13">
      <c r="A1489" s="1">
        <f>HYPERLINK("http://www.twitter.com/NathanBLawrence/status/978625946369617920", "978625946369617920")</f>
        <v/>
      </c>
      <c r="B1489" s="2" t="n">
        <v>43186.56460648148</v>
      </c>
      <c r="C1489" t="n">
        <v>0</v>
      </c>
      <c r="D1489" t="n">
        <v>17</v>
      </c>
      <c r="E1489" t="s">
        <v>1486</v>
      </c>
      <c r="F1489">
        <f>HYPERLINK("http://pbs.twimg.com/media/DZTEoWbX0AAMksa.jpg", "http://pbs.twimg.com/media/DZTEoWbX0AAMksa.jpg")</f>
        <v/>
      </c>
      <c r="G1489" t="s"/>
      <c r="H1489" t="s"/>
      <c r="I1489" t="s"/>
      <c r="J1489" t="n">
        <v>0.9623</v>
      </c>
      <c r="K1489" t="n">
        <v>0</v>
      </c>
      <c r="L1489" t="n">
        <v>0.379</v>
      </c>
      <c r="M1489" t="n">
        <v>0.621</v>
      </c>
    </row>
    <row r="1490" spans="1:13">
      <c r="A1490" s="1">
        <f>HYPERLINK("http://www.twitter.com/NathanBLawrence/status/978623855152463874", "978623855152463874")</f>
        <v/>
      </c>
      <c r="B1490" s="2" t="n">
        <v>43186.55883101852</v>
      </c>
      <c r="C1490" t="n">
        <v>0</v>
      </c>
      <c r="D1490" t="n">
        <v>1607</v>
      </c>
      <c r="E1490" t="s">
        <v>1487</v>
      </c>
      <c r="F1490" t="s"/>
      <c r="G1490" t="s"/>
      <c r="H1490" t="s"/>
      <c r="I1490" t="s"/>
      <c r="J1490" t="n">
        <v>0.5994</v>
      </c>
      <c r="K1490" t="n">
        <v>0</v>
      </c>
      <c r="L1490" t="n">
        <v>0.83</v>
      </c>
      <c r="M1490" t="n">
        <v>0.17</v>
      </c>
    </row>
    <row r="1491" spans="1:13">
      <c r="A1491" s="1">
        <f>HYPERLINK("http://www.twitter.com/NathanBLawrence/status/978581463506530304", "978581463506530304")</f>
        <v/>
      </c>
      <c r="B1491" s="2" t="n">
        <v>43186.44185185185</v>
      </c>
      <c r="C1491" t="n">
        <v>0</v>
      </c>
      <c r="D1491" t="n">
        <v>41</v>
      </c>
      <c r="E1491" t="s">
        <v>1488</v>
      </c>
      <c r="F1491" t="s"/>
      <c r="G1491" t="s"/>
      <c r="H1491" t="s"/>
      <c r="I1491" t="s"/>
      <c r="J1491" t="n">
        <v>0</v>
      </c>
      <c r="K1491" t="n">
        <v>0</v>
      </c>
      <c r="L1491" t="n">
        <v>1</v>
      </c>
      <c r="M1491" t="n">
        <v>0</v>
      </c>
    </row>
    <row r="1492" spans="1:13">
      <c r="A1492" s="1">
        <f>HYPERLINK("http://www.twitter.com/NathanBLawrence/status/978580464960180224", "978580464960180224")</f>
        <v/>
      </c>
      <c r="B1492" s="2" t="n">
        <v>43186.43909722222</v>
      </c>
      <c r="C1492" t="n">
        <v>0</v>
      </c>
      <c r="D1492" t="n">
        <v>3919</v>
      </c>
      <c r="E1492" t="s">
        <v>1489</v>
      </c>
      <c r="F1492" t="s"/>
      <c r="G1492" t="s"/>
      <c r="H1492" t="s"/>
      <c r="I1492" t="s"/>
      <c r="J1492" t="n">
        <v>0.8953</v>
      </c>
      <c r="K1492" t="n">
        <v>0</v>
      </c>
      <c r="L1492" t="n">
        <v>0.661</v>
      </c>
      <c r="M1492" t="n">
        <v>0.339</v>
      </c>
    </row>
    <row r="1493" spans="1:13">
      <c r="A1493" s="1">
        <f>HYPERLINK("http://www.twitter.com/NathanBLawrence/status/978578344701767680", "978578344701767680")</f>
        <v/>
      </c>
      <c r="B1493" s="2" t="n">
        <v>43186.43325231481</v>
      </c>
      <c r="C1493" t="n">
        <v>1</v>
      </c>
      <c r="D1493" t="n">
        <v>0</v>
      </c>
      <c r="E1493" t="s">
        <v>1490</v>
      </c>
      <c r="F1493" t="s"/>
      <c r="G1493" t="s"/>
      <c r="H1493" t="s"/>
      <c r="I1493" t="s"/>
      <c r="J1493" t="n">
        <v>0</v>
      </c>
      <c r="K1493" t="n">
        <v>0</v>
      </c>
      <c r="L1493" t="n">
        <v>1</v>
      </c>
      <c r="M1493" t="n">
        <v>0</v>
      </c>
    </row>
    <row r="1494" spans="1:13">
      <c r="A1494" s="1">
        <f>HYPERLINK("http://www.twitter.com/NathanBLawrence/status/978473182926659585", "978473182926659585")</f>
        <v/>
      </c>
      <c r="B1494" s="2" t="n">
        <v>43186.14305555556</v>
      </c>
      <c r="C1494" t="n">
        <v>0</v>
      </c>
      <c r="D1494" t="n">
        <v>13</v>
      </c>
      <c r="E1494" t="s">
        <v>1491</v>
      </c>
      <c r="F1494" t="s"/>
      <c r="G1494" t="s"/>
      <c r="H1494" t="s"/>
      <c r="I1494" t="s"/>
      <c r="J1494" t="n">
        <v>0</v>
      </c>
      <c r="K1494" t="n">
        <v>0</v>
      </c>
      <c r="L1494" t="n">
        <v>1</v>
      </c>
      <c r="M1494" t="n">
        <v>0</v>
      </c>
    </row>
    <row r="1495" spans="1:13">
      <c r="A1495" s="1">
        <f>HYPERLINK("http://www.twitter.com/NathanBLawrence/status/978471424619896832", "978471424619896832")</f>
        <v/>
      </c>
      <c r="B1495" s="2" t="n">
        <v>43186.13820601852</v>
      </c>
      <c r="C1495" t="n">
        <v>1</v>
      </c>
      <c r="D1495" t="n">
        <v>0</v>
      </c>
      <c r="E1495" t="s">
        <v>1492</v>
      </c>
      <c r="F1495" t="s"/>
      <c r="G1495" t="s"/>
      <c r="H1495" t="s"/>
      <c r="I1495" t="s"/>
      <c r="J1495" t="n">
        <v>0.743</v>
      </c>
      <c r="K1495" t="n">
        <v>0</v>
      </c>
      <c r="L1495" t="n">
        <v>0.777</v>
      </c>
      <c r="M1495" t="n">
        <v>0.223</v>
      </c>
    </row>
    <row r="1496" spans="1:13">
      <c r="A1496" s="1">
        <f>HYPERLINK("http://www.twitter.com/NathanBLawrence/status/978469742620168193", "978469742620168193")</f>
        <v/>
      </c>
      <c r="B1496" s="2" t="n">
        <v>43186.13356481482</v>
      </c>
      <c r="C1496" t="n">
        <v>0</v>
      </c>
      <c r="D1496" t="n">
        <v>5127</v>
      </c>
      <c r="E1496" t="s">
        <v>1493</v>
      </c>
      <c r="F1496" t="s"/>
      <c r="G1496" t="s"/>
      <c r="H1496" t="s"/>
      <c r="I1496" t="s"/>
      <c r="J1496" t="n">
        <v>0.0772</v>
      </c>
      <c r="K1496" t="n">
        <v>0.137</v>
      </c>
      <c r="L1496" t="n">
        <v>0.711</v>
      </c>
      <c r="M1496" t="n">
        <v>0.152</v>
      </c>
    </row>
    <row r="1497" spans="1:13">
      <c r="A1497" s="1">
        <f>HYPERLINK("http://www.twitter.com/NathanBLawrence/status/978453298578624512", "978453298578624512")</f>
        <v/>
      </c>
      <c r="B1497" s="2" t="n">
        <v>43186.08818287037</v>
      </c>
      <c r="C1497" t="n">
        <v>0</v>
      </c>
      <c r="D1497" t="n">
        <v>394</v>
      </c>
      <c r="E1497" t="s">
        <v>1494</v>
      </c>
      <c r="F1497">
        <f>HYPERLINK("https://video.twimg.com/ext_tw_video/978436627071733761/pu/vid/644x360/uV1WXwYkTbkJuJjn.mp4", "https://video.twimg.com/ext_tw_video/978436627071733761/pu/vid/644x360/uV1WXwYkTbkJuJjn.mp4")</f>
        <v/>
      </c>
      <c r="G1497" t="s"/>
      <c r="H1497" t="s"/>
      <c r="I1497" t="s"/>
      <c r="J1497" t="n">
        <v>0.6523</v>
      </c>
      <c r="K1497" t="n">
        <v>0</v>
      </c>
      <c r="L1497" t="n">
        <v>0.75</v>
      </c>
      <c r="M1497" t="n">
        <v>0.25</v>
      </c>
    </row>
    <row r="1498" spans="1:13">
      <c r="A1498" s="1">
        <f>HYPERLINK("http://www.twitter.com/NathanBLawrence/status/978411247933820928", "978411247933820928")</f>
        <v/>
      </c>
      <c r="B1498" s="2" t="n">
        <v>43185.97215277778</v>
      </c>
      <c r="C1498" t="n">
        <v>0</v>
      </c>
      <c r="D1498" t="n">
        <v>1468</v>
      </c>
      <c r="E1498" t="s">
        <v>1495</v>
      </c>
      <c r="F1498" t="s"/>
      <c r="G1498" t="s"/>
      <c r="H1498" t="s"/>
      <c r="I1498" t="s"/>
      <c r="J1498" t="n">
        <v>-0.6597</v>
      </c>
      <c r="K1498" t="n">
        <v>0.161</v>
      </c>
      <c r="L1498" t="n">
        <v>0.839</v>
      </c>
      <c r="M1498" t="n">
        <v>0</v>
      </c>
    </row>
    <row r="1499" spans="1:13">
      <c r="A1499" s="1">
        <f>HYPERLINK("http://www.twitter.com/NathanBLawrence/status/978401188113801216", "978401188113801216")</f>
        <v/>
      </c>
      <c r="B1499" s="2" t="n">
        <v>43185.94438657408</v>
      </c>
      <c r="C1499" t="n">
        <v>0</v>
      </c>
      <c r="D1499" t="n">
        <v>22</v>
      </c>
      <c r="E1499" t="s">
        <v>1496</v>
      </c>
      <c r="F1499">
        <f>HYPERLINK("http://pbs.twimg.com/media/DZPkGJ5W4AEAvAM.jpg", "http://pbs.twimg.com/media/DZPkGJ5W4AEAvAM.jpg")</f>
        <v/>
      </c>
      <c r="G1499" t="s"/>
      <c r="H1499" t="s"/>
      <c r="I1499" t="s"/>
      <c r="J1499" t="n">
        <v>0.4019</v>
      </c>
      <c r="K1499" t="n">
        <v>0</v>
      </c>
      <c r="L1499" t="n">
        <v>0.847</v>
      </c>
      <c r="M1499" t="n">
        <v>0.153</v>
      </c>
    </row>
    <row r="1500" spans="1:13">
      <c r="A1500" s="1">
        <f>HYPERLINK("http://www.twitter.com/NathanBLawrence/status/978400919795748864", "978400919795748864")</f>
        <v/>
      </c>
      <c r="B1500" s="2" t="n">
        <v>43185.94364583334</v>
      </c>
      <c r="C1500" t="n">
        <v>0</v>
      </c>
      <c r="D1500" t="n">
        <v>226</v>
      </c>
      <c r="E1500" t="s">
        <v>1497</v>
      </c>
      <c r="F1500">
        <f>HYPERLINK("http://pbs.twimg.com/media/DZPgbrVX4AARA5S.jpg", "http://pbs.twimg.com/media/DZPgbrVX4AARA5S.jpg")</f>
        <v/>
      </c>
      <c r="G1500" t="s"/>
      <c r="H1500" t="s"/>
      <c r="I1500" t="s"/>
      <c r="J1500" t="n">
        <v>0.765</v>
      </c>
      <c r="K1500" t="n">
        <v>0</v>
      </c>
      <c r="L1500" t="n">
        <v>0.732</v>
      </c>
      <c r="M1500" t="n">
        <v>0.268</v>
      </c>
    </row>
    <row r="1501" spans="1:13">
      <c r="A1501" s="1">
        <f>HYPERLINK("http://www.twitter.com/NathanBLawrence/status/978369413639540736", "978369413639540736")</f>
        <v/>
      </c>
      <c r="B1501" s="2" t="n">
        <v>43185.85671296297</v>
      </c>
      <c r="C1501" t="n">
        <v>0</v>
      </c>
      <c r="D1501" t="n">
        <v>7626</v>
      </c>
      <c r="E1501" t="s">
        <v>1498</v>
      </c>
      <c r="F1501" t="s"/>
      <c r="G1501" t="s"/>
      <c r="H1501" t="s"/>
      <c r="I1501" t="s"/>
      <c r="J1501" t="n">
        <v>0.4404</v>
      </c>
      <c r="K1501" t="n">
        <v>0</v>
      </c>
      <c r="L1501" t="n">
        <v>0.888</v>
      </c>
      <c r="M1501" t="n">
        <v>0.112</v>
      </c>
    </row>
    <row r="1502" spans="1:13">
      <c r="A1502" s="1">
        <f>HYPERLINK("http://www.twitter.com/NathanBLawrence/status/978369290947702784", "978369290947702784")</f>
        <v/>
      </c>
      <c r="B1502" s="2" t="n">
        <v>43185.85636574074</v>
      </c>
      <c r="C1502" t="n">
        <v>0</v>
      </c>
      <c r="D1502" t="n">
        <v>279</v>
      </c>
      <c r="E1502" t="s">
        <v>1499</v>
      </c>
      <c r="F1502">
        <f>HYPERLINK("http://pbs.twimg.com/media/DZL7mf1U8AEaoo9.jpg", "http://pbs.twimg.com/media/DZL7mf1U8AEaoo9.jpg")</f>
        <v/>
      </c>
      <c r="G1502" t="s"/>
      <c r="H1502" t="s"/>
      <c r="I1502" t="s"/>
      <c r="J1502" t="n">
        <v>-0.8519</v>
      </c>
      <c r="K1502" t="n">
        <v>0.33</v>
      </c>
      <c r="L1502" t="n">
        <v>0.632</v>
      </c>
      <c r="M1502" t="n">
        <v>0.039</v>
      </c>
    </row>
    <row r="1503" spans="1:13">
      <c r="A1503" s="1">
        <f>HYPERLINK("http://www.twitter.com/NathanBLawrence/status/978366594089922560", "978366594089922560")</f>
        <v/>
      </c>
      <c r="B1503" s="2" t="n">
        <v>43185.84892361111</v>
      </c>
      <c r="C1503" t="n">
        <v>0</v>
      </c>
      <c r="D1503" t="n">
        <v>336</v>
      </c>
      <c r="E1503" t="s">
        <v>1500</v>
      </c>
      <c r="F1503">
        <f>HYPERLINK("http://pbs.twimg.com/media/DY2qgjiXkAEoGbA.jpg", "http://pbs.twimg.com/media/DY2qgjiXkAEoGbA.jpg")</f>
        <v/>
      </c>
      <c r="G1503" t="s"/>
      <c r="H1503" t="s"/>
      <c r="I1503" t="s"/>
      <c r="J1503" t="n">
        <v>0.5411</v>
      </c>
      <c r="K1503" t="n">
        <v>0</v>
      </c>
      <c r="L1503" t="n">
        <v>0.766</v>
      </c>
      <c r="M1503" t="n">
        <v>0.234</v>
      </c>
    </row>
    <row r="1504" spans="1:13">
      <c r="A1504" s="1">
        <f>HYPERLINK("http://www.twitter.com/NathanBLawrence/status/978359902258253825", "978359902258253825")</f>
        <v/>
      </c>
      <c r="B1504" s="2" t="n">
        <v>43185.83046296296</v>
      </c>
      <c r="C1504" t="n">
        <v>0</v>
      </c>
      <c r="D1504" t="n">
        <v>37</v>
      </c>
      <c r="E1504" t="s">
        <v>1501</v>
      </c>
      <c r="F1504" t="s"/>
      <c r="G1504" t="s"/>
      <c r="H1504" t="s"/>
      <c r="I1504" t="s"/>
      <c r="J1504" t="n">
        <v>0</v>
      </c>
      <c r="K1504" t="n">
        <v>0</v>
      </c>
      <c r="L1504" t="n">
        <v>1</v>
      </c>
      <c r="M1504" t="n">
        <v>0</v>
      </c>
    </row>
    <row r="1505" spans="1:13">
      <c r="A1505" s="1">
        <f>HYPERLINK("http://www.twitter.com/NathanBLawrence/status/978345244549926912", "978345244549926912")</f>
        <v/>
      </c>
      <c r="B1505" s="2" t="n">
        <v>43185.79001157408</v>
      </c>
      <c r="C1505" t="n">
        <v>0</v>
      </c>
      <c r="D1505" t="n">
        <v>154</v>
      </c>
      <c r="E1505" t="s">
        <v>1502</v>
      </c>
      <c r="F1505">
        <f>HYPERLINK("http://pbs.twimg.com/media/DUvuQI9VAAAVZWs.jpg", "http://pbs.twimg.com/media/DUvuQI9VAAAVZWs.jpg")</f>
        <v/>
      </c>
      <c r="G1505" t="s"/>
      <c r="H1505" t="s"/>
      <c r="I1505" t="s"/>
      <c r="J1505" t="n">
        <v>0.516</v>
      </c>
      <c r="K1505" t="n">
        <v>0</v>
      </c>
      <c r="L1505" t="n">
        <v>0.844</v>
      </c>
      <c r="M1505" t="n">
        <v>0.156</v>
      </c>
    </row>
    <row r="1506" spans="1:13">
      <c r="A1506" s="1">
        <f>HYPERLINK("http://www.twitter.com/NathanBLawrence/status/978325641920765953", "978325641920765953")</f>
        <v/>
      </c>
      <c r="B1506" s="2" t="n">
        <v>43185.73592592592</v>
      </c>
      <c r="C1506" t="n">
        <v>0</v>
      </c>
      <c r="D1506" t="n">
        <v>4</v>
      </c>
      <c r="E1506" t="s">
        <v>1503</v>
      </c>
      <c r="F1506">
        <f>HYPERLINK("http://pbs.twimg.com/media/DZOhE15UQAI2d83.jpg", "http://pbs.twimg.com/media/DZOhE15UQAI2d83.jpg")</f>
        <v/>
      </c>
      <c r="G1506">
        <f>HYPERLINK("http://pbs.twimg.com/media/DZOhJ5EVoAAyiOD.jpg", "http://pbs.twimg.com/media/DZOhJ5EVoAAyiOD.jpg")</f>
        <v/>
      </c>
      <c r="H1506">
        <f>HYPERLINK("http://pbs.twimg.com/media/DZOhJ5GVwAAcYBi.jpg", "http://pbs.twimg.com/media/DZOhJ5GVwAAcYBi.jpg")</f>
        <v/>
      </c>
      <c r="I1506" t="s"/>
      <c r="J1506" t="n">
        <v>-0.3919</v>
      </c>
      <c r="K1506" t="n">
        <v>0.099</v>
      </c>
      <c r="L1506" t="n">
        <v>0.901</v>
      </c>
      <c r="M1506" t="n">
        <v>0</v>
      </c>
    </row>
    <row r="1507" spans="1:13">
      <c r="A1507" s="1">
        <f>HYPERLINK("http://www.twitter.com/NathanBLawrence/status/978318636866826240", "978318636866826240")</f>
        <v/>
      </c>
      <c r="B1507" s="2" t="n">
        <v>43185.71658564815</v>
      </c>
      <c r="C1507" t="n">
        <v>0</v>
      </c>
      <c r="D1507" t="n">
        <v>124</v>
      </c>
      <c r="E1507" t="s">
        <v>1504</v>
      </c>
      <c r="F1507">
        <f>HYPERLINK("http://pbs.twimg.com/media/DZOuip7U0AAU9LV.jpg", "http://pbs.twimg.com/media/DZOuip7U0AAU9LV.jpg")</f>
        <v/>
      </c>
      <c r="G1507" t="s"/>
      <c r="H1507" t="s"/>
      <c r="I1507" t="s"/>
      <c r="J1507" t="n">
        <v>0</v>
      </c>
      <c r="K1507" t="n">
        <v>0.123</v>
      </c>
      <c r="L1507" t="n">
        <v>0.754</v>
      </c>
      <c r="M1507" t="n">
        <v>0.123</v>
      </c>
    </row>
    <row r="1508" spans="1:13">
      <c r="A1508" s="1">
        <f>HYPERLINK("http://www.twitter.com/NathanBLawrence/status/978307511643201537", "978307511643201537")</f>
        <v/>
      </c>
      <c r="B1508" s="2" t="n">
        <v>43185.68589120371</v>
      </c>
      <c r="C1508" t="n">
        <v>0</v>
      </c>
      <c r="D1508" t="n">
        <v>0</v>
      </c>
      <c r="E1508" t="s">
        <v>1505</v>
      </c>
      <c r="F1508" t="s"/>
      <c r="G1508" t="s"/>
      <c r="H1508" t="s"/>
      <c r="I1508" t="s"/>
      <c r="J1508" t="n">
        <v>0</v>
      </c>
      <c r="K1508" t="n">
        <v>0</v>
      </c>
      <c r="L1508" t="n">
        <v>1</v>
      </c>
      <c r="M1508" t="n">
        <v>0</v>
      </c>
    </row>
    <row r="1509" spans="1:13">
      <c r="A1509" s="1">
        <f>HYPERLINK("http://www.twitter.com/NathanBLawrence/status/978306128890220544", "978306128890220544")</f>
        <v/>
      </c>
      <c r="B1509" s="2" t="n">
        <v>43185.68207175926</v>
      </c>
      <c r="C1509" t="n">
        <v>0</v>
      </c>
      <c r="D1509" t="n">
        <v>330</v>
      </c>
      <c r="E1509" t="s">
        <v>1506</v>
      </c>
      <c r="F1509">
        <f>HYPERLINK("http://pbs.twimg.com/media/DZE_MNkVMAA_bwQ.jpg", "http://pbs.twimg.com/media/DZE_MNkVMAA_bwQ.jpg")</f>
        <v/>
      </c>
      <c r="G1509">
        <f>HYPERLINK("http://pbs.twimg.com/media/DZE_MNyUQAAFNxa.jpg", "http://pbs.twimg.com/media/DZE_MNyUQAAFNxa.jpg")</f>
        <v/>
      </c>
      <c r="H1509" t="s"/>
      <c r="I1509" t="s"/>
      <c r="J1509" t="n">
        <v>0</v>
      </c>
      <c r="K1509" t="n">
        <v>0</v>
      </c>
      <c r="L1509" t="n">
        <v>1</v>
      </c>
      <c r="M1509" t="n">
        <v>0</v>
      </c>
    </row>
    <row r="1510" spans="1:13">
      <c r="A1510" s="1">
        <f>HYPERLINK("http://www.twitter.com/NathanBLawrence/status/978282166281961473", "978282166281961473")</f>
        <v/>
      </c>
      <c r="B1510" s="2" t="n">
        <v>43185.61594907408</v>
      </c>
      <c r="C1510" t="n">
        <v>0</v>
      </c>
      <c r="D1510" t="n">
        <v>481</v>
      </c>
      <c r="E1510" t="s">
        <v>1507</v>
      </c>
      <c r="F1510">
        <f>HYPERLINK("http://pbs.twimg.com/media/DZDckLBW4AAqPez.jpg", "http://pbs.twimg.com/media/DZDckLBW4AAqPez.jpg")</f>
        <v/>
      </c>
      <c r="G1510" t="s"/>
      <c r="H1510" t="s"/>
      <c r="I1510" t="s"/>
      <c r="J1510" t="n">
        <v>-0.4151</v>
      </c>
      <c r="K1510" t="n">
        <v>0.264</v>
      </c>
      <c r="L1510" t="n">
        <v>0.545</v>
      </c>
      <c r="M1510" t="n">
        <v>0.19</v>
      </c>
    </row>
    <row r="1511" spans="1:13">
      <c r="A1511" s="1">
        <f>HYPERLINK("http://www.twitter.com/NathanBLawrence/status/978278218531667969", "978278218531667969")</f>
        <v/>
      </c>
      <c r="B1511" s="2" t="n">
        <v>43185.60505787037</v>
      </c>
      <c r="C1511" t="n">
        <v>0</v>
      </c>
      <c r="D1511" t="n">
        <v>92</v>
      </c>
      <c r="E1511" t="s">
        <v>1508</v>
      </c>
      <c r="F1511">
        <f>HYPERLINK("http://pbs.twimg.com/media/DZGtOHiU0AAqoL7.jpg", "http://pbs.twimg.com/media/DZGtOHiU0AAqoL7.jpg")</f>
        <v/>
      </c>
      <c r="G1511" t="s"/>
      <c r="H1511" t="s"/>
      <c r="I1511" t="s"/>
      <c r="J1511" t="n">
        <v>0.6892</v>
      </c>
      <c r="K1511" t="n">
        <v>0</v>
      </c>
      <c r="L1511" t="n">
        <v>0.802</v>
      </c>
      <c r="M1511" t="n">
        <v>0.198</v>
      </c>
    </row>
    <row r="1512" spans="1:13">
      <c r="A1512" s="1">
        <f>HYPERLINK("http://www.twitter.com/NathanBLawrence/status/978277941896458242", "978277941896458242")</f>
        <v/>
      </c>
      <c r="B1512" s="2" t="n">
        <v>43185.60429398148</v>
      </c>
      <c r="C1512" t="n">
        <v>0</v>
      </c>
      <c r="D1512" t="n">
        <v>0</v>
      </c>
      <c r="E1512" t="s">
        <v>1509</v>
      </c>
      <c r="F1512" t="s"/>
      <c r="G1512" t="s"/>
      <c r="H1512" t="s"/>
      <c r="I1512" t="s"/>
      <c r="J1512" t="n">
        <v>0</v>
      </c>
      <c r="K1512" t="n">
        <v>0</v>
      </c>
      <c r="L1512" t="n">
        <v>1</v>
      </c>
      <c r="M1512" t="n">
        <v>0</v>
      </c>
    </row>
    <row r="1513" spans="1:13">
      <c r="A1513" s="1">
        <f>HYPERLINK("http://www.twitter.com/NathanBLawrence/status/978277848266964994", "978277848266964994")</f>
        <v/>
      </c>
      <c r="B1513" s="2" t="n">
        <v>43185.60403935185</v>
      </c>
      <c r="C1513" t="n">
        <v>0</v>
      </c>
      <c r="D1513" t="n">
        <v>42</v>
      </c>
      <c r="E1513" t="s">
        <v>1510</v>
      </c>
      <c r="F1513" t="s"/>
      <c r="G1513" t="s"/>
      <c r="H1513" t="s"/>
      <c r="I1513" t="s"/>
      <c r="J1513" t="n">
        <v>-0.4767</v>
      </c>
      <c r="K1513" t="n">
        <v>0.134</v>
      </c>
      <c r="L1513" t="n">
        <v>0.866</v>
      </c>
      <c r="M1513" t="n">
        <v>0</v>
      </c>
    </row>
    <row r="1514" spans="1:13">
      <c r="A1514" s="1">
        <f>HYPERLINK("http://www.twitter.com/NathanBLawrence/status/978275312873234433", "978275312873234433")</f>
        <v/>
      </c>
      <c r="B1514" s="2" t="n">
        <v>43185.59703703703</v>
      </c>
      <c r="C1514" t="n">
        <v>9</v>
      </c>
      <c r="D1514" t="n">
        <v>10</v>
      </c>
      <c r="E1514" t="s">
        <v>1511</v>
      </c>
      <c r="F1514" t="s"/>
      <c r="G1514" t="s"/>
      <c r="H1514" t="s"/>
      <c r="I1514" t="s"/>
      <c r="J1514" t="n">
        <v>-0.6876</v>
      </c>
      <c r="K1514" t="n">
        <v>0.147</v>
      </c>
      <c r="L1514" t="n">
        <v>0.853</v>
      </c>
      <c r="M1514" t="n">
        <v>0</v>
      </c>
    </row>
    <row r="1515" spans="1:13">
      <c r="A1515" s="1">
        <f>HYPERLINK("http://www.twitter.com/NathanBLawrence/status/978269568211869696", "978269568211869696")</f>
        <v/>
      </c>
      <c r="B1515" s="2" t="n">
        <v>43185.58119212963</v>
      </c>
      <c r="C1515" t="n">
        <v>0</v>
      </c>
      <c r="D1515" t="n">
        <v>2950</v>
      </c>
      <c r="E1515" t="s">
        <v>1512</v>
      </c>
      <c r="F1515">
        <f>HYPERLINK("http://pbs.twimg.com/media/DZLtIjNUMAAwOQZ.jpg", "http://pbs.twimg.com/media/DZLtIjNUMAAwOQZ.jpg")</f>
        <v/>
      </c>
      <c r="G1515" t="s"/>
      <c r="H1515" t="s"/>
      <c r="I1515" t="s"/>
      <c r="J1515" t="n">
        <v>0</v>
      </c>
      <c r="K1515" t="n">
        <v>0</v>
      </c>
      <c r="L1515" t="n">
        <v>1</v>
      </c>
      <c r="M1515" t="n">
        <v>0</v>
      </c>
    </row>
    <row r="1516" spans="1:13">
      <c r="A1516" s="1">
        <f>HYPERLINK("http://www.twitter.com/NathanBLawrence/status/978252782217113600", "978252782217113600")</f>
        <v/>
      </c>
      <c r="B1516" s="2" t="n">
        <v>43185.53486111111</v>
      </c>
      <c r="C1516" t="n">
        <v>0</v>
      </c>
      <c r="D1516" t="n">
        <v>769</v>
      </c>
      <c r="E1516" t="s">
        <v>1513</v>
      </c>
      <c r="F1516" t="s"/>
      <c r="G1516" t="s"/>
      <c r="H1516" t="s"/>
      <c r="I1516" t="s"/>
      <c r="J1516" t="n">
        <v>0</v>
      </c>
      <c r="K1516" t="n">
        <v>0</v>
      </c>
      <c r="L1516" t="n">
        <v>1</v>
      </c>
      <c r="M1516" t="n">
        <v>0</v>
      </c>
    </row>
    <row r="1517" spans="1:13">
      <c r="A1517" s="1">
        <f>HYPERLINK("http://www.twitter.com/NathanBLawrence/status/978252327680389120", "978252327680389120")</f>
        <v/>
      </c>
      <c r="B1517" s="2" t="n">
        <v>43185.53361111111</v>
      </c>
      <c r="C1517" t="n">
        <v>0</v>
      </c>
      <c r="D1517" t="n">
        <v>8</v>
      </c>
      <c r="E1517" t="s">
        <v>1514</v>
      </c>
      <c r="F1517" t="s"/>
      <c r="G1517" t="s"/>
      <c r="H1517" t="s"/>
      <c r="I1517" t="s"/>
      <c r="J1517" t="n">
        <v>-0.3595</v>
      </c>
      <c r="K1517" t="n">
        <v>0.161</v>
      </c>
      <c r="L1517" t="n">
        <v>0.839</v>
      </c>
      <c r="M1517" t="n">
        <v>0</v>
      </c>
    </row>
    <row r="1518" spans="1:13">
      <c r="A1518" s="1">
        <f>HYPERLINK("http://www.twitter.com/NathanBLawrence/status/978252133580595200", "978252133580595200")</f>
        <v/>
      </c>
      <c r="B1518" s="2" t="n">
        <v>43185.5330787037</v>
      </c>
      <c r="C1518" t="n">
        <v>0</v>
      </c>
      <c r="D1518" t="n">
        <v>11</v>
      </c>
      <c r="E1518" t="s">
        <v>1515</v>
      </c>
      <c r="F1518">
        <f>HYPERLINK("http://pbs.twimg.com/media/DZMOU0eU0AEz6tK.jpg", "http://pbs.twimg.com/media/DZMOU0eU0AEz6tK.jpg")</f>
        <v/>
      </c>
      <c r="G1518" t="s"/>
      <c r="H1518" t="s"/>
      <c r="I1518" t="s"/>
      <c r="J1518" t="n">
        <v>0</v>
      </c>
      <c r="K1518" t="n">
        <v>0</v>
      </c>
      <c r="L1518" t="n">
        <v>1</v>
      </c>
      <c r="M1518" t="n">
        <v>0</v>
      </c>
    </row>
    <row r="1519" spans="1:13">
      <c r="A1519" s="1">
        <f>HYPERLINK("http://www.twitter.com/NathanBLawrence/status/978251874498482176", "978251874498482176")</f>
        <v/>
      </c>
      <c r="B1519" s="2" t="n">
        <v>43185.53236111111</v>
      </c>
      <c r="C1519" t="n">
        <v>0</v>
      </c>
      <c r="D1519" t="n">
        <v>10</v>
      </c>
      <c r="E1519" t="s">
        <v>1516</v>
      </c>
      <c r="F1519" t="s"/>
      <c r="G1519" t="s"/>
      <c r="H1519" t="s"/>
      <c r="I1519" t="s"/>
      <c r="J1519" t="n">
        <v>0.5994</v>
      </c>
      <c r="K1519" t="n">
        <v>0</v>
      </c>
      <c r="L1519" t="n">
        <v>0.795</v>
      </c>
      <c r="M1519" t="n">
        <v>0.205</v>
      </c>
    </row>
    <row r="1520" spans="1:13">
      <c r="A1520" s="1">
        <f>HYPERLINK("http://www.twitter.com/NathanBLawrence/status/978251716301901825", "978251716301901825")</f>
        <v/>
      </c>
      <c r="B1520" s="2" t="n">
        <v>43185.53192129629</v>
      </c>
      <c r="C1520" t="n">
        <v>0</v>
      </c>
      <c r="D1520" t="n">
        <v>12392</v>
      </c>
      <c r="E1520" t="s">
        <v>1517</v>
      </c>
      <c r="F1520" t="s"/>
      <c r="G1520" t="s"/>
      <c r="H1520" t="s"/>
      <c r="I1520" t="s"/>
      <c r="J1520" t="n">
        <v>0.4215</v>
      </c>
      <c r="K1520" t="n">
        <v>0.08400000000000001</v>
      </c>
      <c r="L1520" t="n">
        <v>0.725</v>
      </c>
      <c r="M1520" t="n">
        <v>0.191</v>
      </c>
    </row>
    <row r="1521" spans="1:13">
      <c r="A1521" s="1">
        <f>HYPERLINK("http://www.twitter.com/NathanBLawrence/status/978251607073873921", "978251607073873921")</f>
        <v/>
      </c>
      <c r="B1521" s="2" t="n">
        <v>43185.53162037037</v>
      </c>
      <c r="C1521" t="n">
        <v>0</v>
      </c>
      <c r="D1521" t="n">
        <v>12</v>
      </c>
      <c r="E1521" t="s">
        <v>1518</v>
      </c>
      <c r="F1521" t="s"/>
      <c r="G1521" t="s"/>
      <c r="H1521" t="s"/>
      <c r="I1521" t="s"/>
      <c r="J1521" t="n">
        <v>0</v>
      </c>
      <c r="K1521" t="n">
        <v>0</v>
      </c>
      <c r="L1521" t="n">
        <v>1</v>
      </c>
      <c r="M1521" t="n">
        <v>0</v>
      </c>
    </row>
    <row r="1522" spans="1:13">
      <c r="A1522" s="1">
        <f>HYPERLINK("http://www.twitter.com/NathanBLawrence/status/978251469836054528", "978251469836054528")</f>
        <v/>
      </c>
      <c r="B1522" s="2" t="n">
        <v>43185.53125</v>
      </c>
      <c r="C1522" t="n">
        <v>0</v>
      </c>
      <c r="D1522" t="n">
        <v>10</v>
      </c>
      <c r="E1522" t="s">
        <v>1519</v>
      </c>
      <c r="F1522">
        <f>HYPERLINK("http://pbs.twimg.com/media/DZNRTS8VQAAIw4F.jpg", "http://pbs.twimg.com/media/DZNRTS8VQAAIw4F.jpg")</f>
        <v/>
      </c>
      <c r="G1522" t="s"/>
      <c r="H1522" t="s"/>
      <c r="I1522" t="s"/>
      <c r="J1522" t="n">
        <v>0.3612</v>
      </c>
      <c r="K1522" t="n">
        <v>0</v>
      </c>
      <c r="L1522" t="n">
        <v>0.872</v>
      </c>
      <c r="M1522" t="n">
        <v>0.128</v>
      </c>
    </row>
    <row r="1523" spans="1:13">
      <c r="A1523" s="1">
        <f>HYPERLINK("http://www.twitter.com/NathanBLawrence/status/978251337870790656", "978251337870790656")</f>
        <v/>
      </c>
      <c r="B1523" s="2" t="n">
        <v>43185.53087962963</v>
      </c>
      <c r="C1523" t="n">
        <v>0</v>
      </c>
      <c r="D1523" t="n">
        <v>2113</v>
      </c>
      <c r="E1523" t="s">
        <v>1520</v>
      </c>
      <c r="F1523" t="s"/>
      <c r="G1523" t="s"/>
      <c r="H1523" t="s"/>
      <c r="I1523" t="s"/>
      <c r="J1523" t="n">
        <v>0</v>
      </c>
      <c r="K1523" t="n">
        <v>0</v>
      </c>
      <c r="L1523" t="n">
        <v>1</v>
      </c>
      <c r="M1523" t="n">
        <v>0</v>
      </c>
    </row>
    <row r="1524" spans="1:13">
      <c r="A1524" s="1">
        <f>HYPERLINK("http://www.twitter.com/NathanBLawrence/status/978244141246308358", "978244141246308358")</f>
        <v/>
      </c>
      <c r="B1524" s="2" t="n">
        <v>43185.51101851852</v>
      </c>
      <c r="C1524" t="n">
        <v>0</v>
      </c>
      <c r="D1524" t="n">
        <v>9</v>
      </c>
      <c r="E1524" t="s">
        <v>1521</v>
      </c>
      <c r="F1524">
        <f>HYPERLINK("http://pbs.twimg.com/media/DZNBGxmW0AQL7fs.jpg", "http://pbs.twimg.com/media/DZNBGxmW0AQL7fs.jpg")</f>
        <v/>
      </c>
      <c r="G1524" t="s"/>
      <c r="H1524" t="s"/>
      <c r="I1524" t="s"/>
      <c r="J1524" t="n">
        <v>0.6009</v>
      </c>
      <c r="K1524" t="n">
        <v>0</v>
      </c>
      <c r="L1524" t="n">
        <v>0.821</v>
      </c>
      <c r="M1524" t="n">
        <v>0.179</v>
      </c>
    </row>
    <row r="1525" spans="1:13">
      <c r="A1525" s="1">
        <f>HYPERLINK("http://www.twitter.com/NathanBLawrence/status/978243405993127937", "978243405993127937")</f>
        <v/>
      </c>
      <c r="B1525" s="2" t="n">
        <v>43185.50899305556</v>
      </c>
      <c r="C1525" t="n">
        <v>3</v>
      </c>
      <c r="D1525" t="n">
        <v>0</v>
      </c>
      <c r="E1525" t="s">
        <v>1522</v>
      </c>
      <c r="F1525" t="s"/>
      <c r="G1525" t="s"/>
      <c r="H1525" t="s"/>
      <c r="I1525" t="s"/>
      <c r="J1525" t="n">
        <v>-0.9524</v>
      </c>
      <c r="K1525" t="n">
        <v>0.34</v>
      </c>
      <c r="L1525" t="n">
        <v>0.609</v>
      </c>
      <c r="M1525" t="n">
        <v>0.051</v>
      </c>
    </row>
    <row r="1526" spans="1:13">
      <c r="A1526" s="1">
        <f>HYPERLINK("http://www.twitter.com/NathanBLawrence/status/978237857549750272", "978237857549750272")</f>
        <v/>
      </c>
      <c r="B1526" s="2" t="n">
        <v>43185.49368055556</v>
      </c>
      <c r="C1526" t="n">
        <v>0</v>
      </c>
      <c r="D1526" t="n">
        <v>27</v>
      </c>
      <c r="E1526" t="s">
        <v>1523</v>
      </c>
      <c r="F1526" t="s"/>
      <c r="G1526" t="s"/>
      <c r="H1526" t="s"/>
      <c r="I1526" t="s"/>
      <c r="J1526" t="n">
        <v>-0.5719</v>
      </c>
      <c r="K1526" t="n">
        <v>0.222</v>
      </c>
      <c r="L1526" t="n">
        <v>0.778</v>
      </c>
      <c r="M1526" t="n">
        <v>0</v>
      </c>
    </row>
    <row r="1527" spans="1:13">
      <c r="A1527" s="1">
        <f>HYPERLINK("http://www.twitter.com/NathanBLawrence/status/978237607661441024", "978237607661441024")</f>
        <v/>
      </c>
      <c r="B1527" s="2" t="n">
        <v>43185.49299768519</v>
      </c>
      <c r="C1527" t="n">
        <v>0</v>
      </c>
      <c r="D1527" t="n">
        <v>6</v>
      </c>
      <c r="E1527" t="s">
        <v>1524</v>
      </c>
      <c r="F1527">
        <f>HYPERLINK("http://pbs.twimg.com/media/DZLGzu9V4AAUgt8.jpg", "http://pbs.twimg.com/media/DZLGzu9V4AAUgt8.jpg")</f>
        <v/>
      </c>
      <c r="G1527" t="s"/>
      <c r="H1527" t="s"/>
      <c r="I1527" t="s"/>
      <c r="J1527" t="n">
        <v>-0.126</v>
      </c>
      <c r="K1527" t="n">
        <v>0.168</v>
      </c>
      <c r="L1527" t="n">
        <v>0.68</v>
      </c>
      <c r="M1527" t="n">
        <v>0.152</v>
      </c>
    </row>
    <row r="1528" spans="1:13">
      <c r="A1528" s="1">
        <f>HYPERLINK("http://www.twitter.com/NathanBLawrence/status/978121517862195200", "978121517862195200")</f>
        <v/>
      </c>
      <c r="B1528" s="2" t="n">
        <v>43185.17265046296</v>
      </c>
      <c r="C1528" t="n">
        <v>0</v>
      </c>
      <c r="D1528" t="n">
        <v>1</v>
      </c>
      <c r="E1528" t="s">
        <v>1525</v>
      </c>
      <c r="F1528" t="s"/>
      <c r="G1528" t="s"/>
      <c r="H1528" t="s"/>
      <c r="I1528" t="s"/>
      <c r="J1528" t="n">
        <v>0</v>
      </c>
      <c r="K1528" t="n">
        <v>0</v>
      </c>
      <c r="L1528" t="n">
        <v>1</v>
      </c>
      <c r="M1528" t="n">
        <v>0</v>
      </c>
    </row>
    <row r="1529" spans="1:13">
      <c r="A1529" s="1">
        <f>HYPERLINK("http://www.twitter.com/NathanBLawrence/status/978108086727643136", "978108086727643136")</f>
        <v/>
      </c>
      <c r="B1529" s="2" t="n">
        <v>43185.1355787037</v>
      </c>
      <c r="C1529" t="n">
        <v>0</v>
      </c>
      <c r="D1529" t="n">
        <v>85</v>
      </c>
      <c r="E1529" t="s">
        <v>1526</v>
      </c>
      <c r="F1529" t="s"/>
      <c r="G1529" t="s"/>
      <c r="H1529" t="s"/>
      <c r="I1529" t="s"/>
      <c r="J1529" t="n">
        <v>-0.3412</v>
      </c>
      <c r="K1529" t="n">
        <v>0.138</v>
      </c>
      <c r="L1529" t="n">
        <v>0.862</v>
      </c>
      <c r="M1529" t="n">
        <v>0</v>
      </c>
    </row>
    <row r="1530" spans="1:13">
      <c r="A1530" s="1">
        <f>HYPERLINK("http://www.twitter.com/NathanBLawrence/status/978107124038422529", "978107124038422529")</f>
        <v/>
      </c>
      <c r="B1530" s="2" t="n">
        <v>43185.13292824074</v>
      </c>
      <c r="C1530" t="n">
        <v>0</v>
      </c>
      <c r="D1530" t="n">
        <v>108</v>
      </c>
      <c r="E1530" t="s">
        <v>1527</v>
      </c>
      <c r="F1530" t="s"/>
      <c r="G1530" t="s"/>
      <c r="H1530" t="s"/>
      <c r="I1530" t="s"/>
      <c r="J1530" t="n">
        <v>0</v>
      </c>
      <c r="K1530" t="n">
        <v>0</v>
      </c>
      <c r="L1530" t="n">
        <v>1</v>
      </c>
      <c r="M1530" t="n">
        <v>0</v>
      </c>
    </row>
    <row r="1531" spans="1:13">
      <c r="A1531" s="1">
        <f>HYPERLINK("http://www.twitter.com/NathanBLawrence/status/978107106405552129", "978107106405552129")</f>
        <v/>
      </c>
      <c r="B1531" s="2" t="n">
        <v>43185.13288194445</v>
      </c>
      <c r="C1531" t="n">
        <v>0</v>
      </c>
      <c r="D1531" t="n">
        <v>9</v>
      </c>
      <c r="E1531" t="s">
        <v>1528</v>
      </c>
      <c r="F1531">
        <f>HYPERLINK("http://pbs.twimg.com/media/DZLhCNAVoAIYxp-.jpg", "http://pbs.twimg.com/media/DZLhCNAVoAIYxp-.jpg")</f>
        <v/>
      </c>
      <c r="G1531" t="s"/>
      <c r="H1531" t="s"/>
      <c r="I1531" t="s"/>
      <c r="J1531" t="n">
        <v>0</v>
      </c>
      <c r="K1531" t="n">
        <v>0</v>
      </c>
      <c r="L1531" t="n">
        <v>1</v>
      </c>
      <c r="M1531" t="n">
        <v>0</v>
      </c>
    </row>
    <row r="1532" spans="1:13">
      <c r="A1532" s="1">
        <f>HYPERLINK("http://www.twitter.com/NathanBLawrence/status/978091147741552640", "978091147741552640")</f>
        <v/>
      </c>
      <c r="B1532" s="2" t="n">
        <v>43185.0888425926</v>
      </c>
      <c r="C1532" t="n">
        <v>0</v>
      </c>
      <c r="D1532" t="n">
        <v>5420</v>
      </c>
      <c r="E1532" t="s">
        <v>1529</v>
      </c>
      <c r="F1532" t="s"/>
      <c r="G1532" t="s"/>
      <c r="H1532" t="s"/>
      <c r="I1532" t="s"/>
      <c r="J1532" t="n">
        <v>0.3818</v>
      </c>
      <c r="K1532" t="n">
        <v>0</v>
      </c>
      <c r="L1532" t="n">
        <v>0.89</v>
      </c>
      <c r="M1532" t="n">
        <v>0.11</v>
      </c>
    </row>
    <row r="1533" spans="1:13">
      <c r="A1533" s="1">
        <f>HYPERLINK("http://www.twitter.com/NathanBLawrence/status/978089581152296960", "978089581152296960")</f>
        <v/>
      </c>
      <c r="B1533" s="2" t="n">
        <v>43185.08451388889</v>
      </c>
      <c r="C1533" t="n">
        <v>1</v>
      </c>
      <c r="D1533" t="n">
        <v>0</v>
      </c>
      <c r="E1533" t="s">
        <v>1530</v>
      </c>
      <c r="F1533" t="s"/>
      <c r="G1533" t="s"/>
      <c r="H1533" t="s"/>
      <c r="I1533" t="s"/>
      <c r="J1533" t="n">
        <v>0</v>
      </c>
      <c r="K1533" t="n">
        <v>0</v>
      </c>
      <c r="L1533" t="n">
        <v>1</v>
      </c>
      <c r="M1533" t="n">
        <v>0</v>
      </c>
    </row>
    <row r="1534" spans="1:13">
      <c r="A1534" s="1">
        <f>HYPERLINK("http://www.twitter.com/NathanBLawrence/status/978089473144696833", "978089473144696833")</f>
        <v/>
      </c>
      <c r="B1534" s="2" t="n">
        <v>43185.08422453704</v>
      </c>
      <c r="C1534" t="n">
        <v>1</v>
      </c>
      <c r="D1534" t="n">
        <v>0</v>
      </c>
      <c r="E1534" t="s">
        <v>1531</v>
      </c>
      <c r="F1534" t="s"/>
      <c r="G1534" t="s"/>
      <c r="H1534" t="s"/>
      <c r="I1534" t="s"/>
      <c r="J1534" t="n">
        <v>0</v>
      </c>
      <c r="K1534" t="n">
        <v>0</v>
      </c>
      <c r="L1534" t="n">
        <v>1</v>
      </c>
      <c r="M1534" t="n">
        <v>0</v>
      </c>
    </row>
    <row r="1535" spans="1:13">
      <c r="A1535" s="1">
        <f>HYPERLINK("http://www.twitter.com/NathanBLawrence/status/978088044942196736", "978088044942196736")</f>
        <v/>
      </c>
      <c r="B1535" s="2" t="n">
        <v>43185.08027777778</v>
      </c>
      <c r="C1535" t="n">
        <v>0</v>
      </c>
      <c r="D1535" t="n">
        <v>22</v>
      </c>
      <c r="E1535" t="s">
        <v>1532</v>
      </c>
      <c r="F1535">
        <f>HYPERLINK("http://pbs.twimg.com/media/DZLRCyTVAAAGqs5.jpg", "http://pbs.twimg.com/media/DZLRCyTVAAAGqs5.jpg")</f>
        <v/>
      </c>
      <c r="G1535" t="s"/>
      <c r="H1535" t="s"/>
      <c r="I1535" t="s"/>
      <c r="J1535" t="n">
        <v>0.4199</v>
      </c>
      <c r="K1535" t="n">
        <v>0</v>
      </c>
      <c r="L1535" t="n">
        <v>0.8110000000000001</v>
      </c>
      <c r="M1535" t="n">
        <v>0.189</v>
      </c>
    </row>
    <row r="1536" spans="1:13">
      <c r="A1536" s="1">
        <f>HYPERLINK("http://www.twitter.com/NathanBLawrence/status/978085510517321728", "978085510517321728")</f>
        <v/>
      </c>
      <c r="B1536" s="2" t="n">
        <v>43185.07328703703</v>
      </c>
      <c r="C1536" t="n">
        <v>8</v>
      </c>
      <c r="D1536" t="n">
        <v>6</v>
      </c>
      <c r="E1536" t="s">
        <v>1533</v>
      </c>
      <c r="F1536">
        <f>HYPERLINK("http://pbs.twimg.com/media/DZLbke5WAAEMbAu.jpg", "http://pbs.twimg.com/media/DZLbke5WAAEMbAu.jpg")</f>
        <v/>
      </c>
      <c r="G1536" t="s"/>
      <c r="H1536" t="s"/>
      <c r="I1536" t="s"/>
      <c r="J1536" t="n">
        <v>-0.9186</v>
      </c>
      <c r="K1536" t="n">
        <v>0.247</v>
      </c>
      <c r="L1536" t="n">
        <v>0.67</v>
      </c>
      <c r="M1536" t="n">
        <v>0.083</v>
      </c>
    </row>
    <row r="1537" spans="1:13">
      <c r="A1537" s="1">
        <f>HYPERLINK("http://www.twitter.com/NathanBLawrence/status/978043187158749184", "978043187158749184")</f>
        <v/>
      </c>
      <c r="B1537" s="2" t="n">
        <v>43184.95649305556</v>
      </c>
      <c r="C1537" t="n">
        <v>23</v>
      </c>
      <c r="D1537" t="n">
        <v>23</v>
      </c>
      <c r="E1537" t="s">
        <v>1534</v>
      </c>
      <c r="F1537">
        <f>HYPERLINK("http://pbs.twimg.com/media/DZK1E1CUQAEY4ra.jpg", "http://pbs.twimg.com/media/DZK1E1CUQAEY4ra.jpg")</f>
        <v/>
      </c>
      <c r="G1537" t="s"/>
      <c r="H1537" t="s"/>
      <c r="I1537" t="s"/>
      <c r="J1537" t="n">
        <v>-0.9547</v>
      </c>
      <c r="K1537" t="n">
        <v>0.344</v>
      </c>
      <c r="L1537" t="n">
        <v>0.605</v>
      </c>
      <c r="M1537" t="n">
        <v>0.051</v>
      </c>
    </row>
    <row r="1538" spans="1:13">
      <c r="A1538" s="1">
        <f>HYPERLINK("http://www.twitter.com/NathanBLawrence/status/978034290817748992", "978034290817748992")</f>
        <v/>
      </c>
      <c r="B1538" s="2" t="n">
        <v>43184.93194444444</v>
      </c>
      <c r="C1538" t="n">
        <v>0</v>
      </c>
      <c r="D1538" t="n">
        <v>2</v>
      </c>
      <c r="E1538" t="s">
        <v>1535</v>
      </c>
      <c r="F1538" t="s"/>
      <c r="G1538" t="s"/>
      <c r="H1538" t="s"/>
      <c r="I1538" t="s"/>
      <c r="J1538" t="n">
        <v>0.4404</v>
      </c>
      <c r="K1538" t="n">
        <v>0</v>
      </c>
      <c r="L1538" t="n">
        <v>0.868</v>
      </c>
      <c r="M1538" t="n">
        <v>0.132</v>
      </c>
    </row>
    <row r="1539" spans="1:13">
      <c r="A1539" s="1">
        <f>HYPERLINK("http://www.twitter.com/NathanBLawrence/status/978034210215809024", "978034210215809024")</f>
        <v/>
      </c>
      <c r="B1539" s="2" t="n">
        <v>43184.93172453704</v>
      </c>
      <c r="C1539" t="n">
        <v>4</v>
      </c>
      <c r="D1539" t="n">
        <v>2</v>
      </c>
      <c r="E1539" t="s">
        <v>1536</v>
      </c>
      <c r="F1539" t="s"/>
      <c r="G1539" t="s"/>
      <c r="H1539" t="s"/>
      <c r="I1539" t="s"/>
      <c r="J1539" t="n">
        <v>-0.6197</v>
      </c>
      <c r="K1539" t="n">
        <v>0.163</v>
      </c>
      <c r="L1539" t="n">
        <v>0.743</v>
      </c>
      <c r="M1539" t="n">
        <v>0.095</v>
      </c>
    </row>
    <row r="1540" spans="1:13">
      <c r="A1540" s="1">
        <f>HYPERLINK("http://www.twitter.com/NathanBLawrence/status/978030260355829761", "978030260355829761")</f>
        <v/>
      </c>
      <c r="B1540" s="2" t="n">
        <v>43184.92082175926</v>
      </c>
      <c r="C1540" t="n">
        <v>0</v>
      </c>
      <c r="D1540" t="n">
        <v>1951</v>
      </c>
      <c r="E1540" t="s">
        <v>1537</v>
      </c>
      <c r="F1540" t="s"/>
      <c r="G1540" t="s"/>
      <c r="H1540" t="s"/>
      <c r="I1540" t="s"/>
      <c r="J1540" t="n">
        <v>0.4019</v>
      </c>
      <c r="K1540" t="n">
        <v>0</v>
      </c>
      <c r="L1540" t="n">
        <v>0.895</v>
      </c>
      <c r="M1540" t="n">
        <v>0.105</v>
      </c>
    </row>
    <row r="1541" spans="1:13">
      <c r="A1541" s="1">
        <f>HYPERLINK("http://www.twitter.com/NathanBLawrence/status/978029766451359744", "978029766451359744")</f>
        <v/>
      </c>
      <c r="B1541" s="2" t="n">
        <v>43184.91945601852</v>
      </c>
      <c r="C1541" t="n">
        <v>0</v>
      </c>
      <c r="D1541" t="n">
        <v>119</v>
      </c>
      <c r="E1541" t="s">
        <v>1274</v>
      </c>
      <c r="F1541">
        <f>HYPERLINK("http://pbs.twimg.com/media/DZKMjqPX4AEQoFm.jpg", "http://pbs.twimg.com/media/DZKMjqPX4AEQoFm.jpg")</f>
        <v/>
      </c>
      <c r="G1541" t="s"/>
      <c r="H1541" t="s"/>
      <c r="I1541" t="s"/>
      <c r="J1541" t="n">
        <v>0</v>
      </c>
      <c r="K1541" t="n">
        <v>0</v>
      </c>
      <c r="L1541" t="n">
        <v>1</v>
      </c>
      <c r="M1541" t="n">
        <v>0</v>
      </c>
    </row>
    <row r="1542" spans="1:13">
      <c r="A1542" s="1">
        <f>HYPERLINK("http://www.twitter.com/NathanBLawrence/status/978029508128276480", "978029508128276480")</f>
        <v/>
      </c>
      <c r="B1542" s="2" t="n">
        <v>43184.91875</v>
      </c>
      <c r="C1542" t="n">
        <v>0</v>
      </c>
      <c r="D1542" t="n">
        <v>364</v>
      </c>
      <c r="E1542" t="s">
        <v>1538</v>
      </c>
      <c r="F1542" t="s"/>
      <c r="G1542" t="s"/>
      <c r="H1542" t="s"/>
      <c r="I1542" t="s"/>
      <c r="J1542" t="n">
        <v>0</v>
      </c>
      <c r="K1542" t="n">
        <v>0</v>
      </c>
      <c r="L1542" t="n">
        <v>1</v>
      </c>
      <c r="M1542" t="n">
        <v>0</v>
      </c>
    </row>
    <row r="1543" spans="1:13">
      <c r="A1543" s="1">
        <f>HYPERLINK("http://www.twitter.com/NathanBLawrence/status/978029151385989120", "978029151385989120")</f>
        <v/>
      </c>
      <c r="B1543" s="2" t="n">
        <v>43184.9177662037</v>
      </c>
      <c r="C1543" t="n">
        <v>0</v>
      </c>
      <c r="D1543" t="n">
        <v>28</v>
      </c>
      <c r="E1543" t="s">
        <v>1539</v>
      </c>
      <c r="F1543">
        <f>HYPERLINK("http://pbs.twimg.com/media/DZKeDz0VMAArTML.jpg", "http://pbs.twimg.com/media/DZKeDz0VMAArTML.jpg")</f>
        <v/>
      </c>
      <c r="G1543" t="s"/>
      <c r="H1543" t="s"/>
      <c r="I1543" t="s"/>
      <c r="J1543" t="n">
        <v>0</v>
      </c>
      <c r="K1543" t="n">
        <v>0</v>
      </c>
      <c r="L1543" t="n">
        <v>1</v>
      </c>
      <c r="M1543" t="n">
        <v>0</v>
      </c>
    </row>
    <row r="1544" spans="1:13">
      <c r="A1544" s="1">
        <f>HYPERLINK("http://www.twitter.com/NathanBLawrence/status/978028966178062341", "978028966178062341")</f>
        <v/>
      </c>
      <c r="B1544" s="2" t="n">
        <v>43184.91725694444</v>
      </c>
      <c r="C1544" t="n">
        <v>0</v>
      </c>
      <c r="D1544" t="n">
        <v>15</v>
      </c>
      <c r="E1544" t="s">
        <v>1540</v>
      </c>
      <c r="F1544">
        <f>HYPERLINK("http://pbs.twimg.com/media/DZKnDQQV4AERvz1.jpg", "http://pbs.twimg.com/media/DZKnDQQV4AERvz1.jpg")</f>
        <v/>
      </c>
      <c r="G1544" t="s"/>
      <c r="H1544" t="s"/>
      <c r="I1544" t="s"/>
      <c r="J1544" t="n">
        <v>0.6037</v>
      </c>
      <c r="K1544" t="n">
        <v>0</v>
      </c>
      <c r="L1544" t="n">
        <v>0.8169999999999999</v>
      </c>
      <c r="M1544" t="n">
        <v>0.183</v>
      </c>
    </row>
    <row r="1545" spans="1:13">
      <c r="A1545" s="1">
        <f>HYPERLINK("http://www.twitter.com/NathanBLawrence/status/978021733889388545", "978021733889388545")</f>
        <v/>
      </c>
      <c r="B1545" s="2" t="n">
        <v>43184.89729166667</v>
      </c>
      <c r="C1545" t="n">
        <v>0</v>
      </c>
      <c r="D1545" t="n">
        <v>48</v>
      </c>
      <c r="E1545" t="s">
        <v>1541</v>
      </c>
      <c r="F1545" t="s"/>
      <c r="G1545" t="s"/>
      <c r="H1545" t="s"/>
      <c r="I1545" t="s"/>
      <c r="J1545" t="n">
        <v>0</v>
      </c>
      <c r="K1545" t="n">
        <v>0</v>
      </c>
      <c r="L1545" t="n">
        <v>1</v>
      </c>
      <c r="M1545" t="n">
        <v>0</v>
      </c>
    </row>
    <row r="1546" spans="1:13">
      <c r="A1546" s="1">
        <f>HYPERLINK("http://www.twitter.com/NathanBLawrence/status/978021378598285312", "978021378598285312")</f>
        <v/>
      </c>
      <c r="B1546" s="2" t="n">
        <v>43184.89631944444</v>
      </c>
      <c r="C1546" t="n">
        <v>9</v>
      </c>
      <c r="D1546" t="n">
        <v>11</v>
      </c>
      <c r="E1546" t="s">
        <v>1542</v>
      </c>
      <c r="F1546" t="s"/>
      <c r="G1546" t="s"/>
      <c r="H1546" t="s"/>
      <c r="I1546" t="s"/>
      <c r="J1546" t="n">
        <v>-0.8834</v>
      </c>
      <c r="K1546" t="n">
        <v>0.229</v>
      </c>
      <c r="L1546" t="n">
        <v>0.6840000000000001</v>
      </c>
      <c r="M1546" t="n">
        <v>0.08699999999999999</v>
      </c>
    </row>
    <row r="1547" spans="1:13">
      <c r="A1547" s="1">
        <f>HYPERLINK("http://www.twitter.com/NathanBLawrence/status/978017042723954694", "978017042723954694")</f>
        <v/>
      </c>
      <c r="B1547" s="2" t="n">
        <v>43184.88435185186</v>
      </c>
      <c r="C1547" t="n">
        <v>0</v>
      </c>
      <c r="D1547" t="n">
        <v>472</v>
      </c>
      <c r="E1547" t="s">
        <v>1543</v>
      </c>
      <c r="F1547" t="s"/>
      <c r="G1547" t="s"/>
      <c r="H1547" t="s"/>
      <c r="I1547" t="s"/>
      <c r="J1547" t="n">
        <v>0.7351</v>
      </c>
      <c r="K1547" t="n">
        <v>0</v>
      </c>
      <c r="L1547" t="n">
        <v>0.772</v>
      </c>
      <c r="M1547" t="n">
        <v>0.228</v>
      </c>
    </row>
    <row r="1548" spans="1:13">
      <c r="A1548" s="1">
        <f>HYPERLINK("http://www.twitter.com/NathanBLawrence/status/978016791829143552", "978016791829143552")</f>
        <v/>
      </c>
      <c r="B1548" s="2" t="n">
        <v>43184.88365740741</v>
      </c>
      <c r="C1548" t="n">
        <v>0</v>
      </c>
      <c r="D1548" t="n">
        <v>14</v>
      </c>
      <c r="E1548" t="s">
        <v>1544</v>
      </c>
      <c r="F1548" t="s"/>
      <c r="G1548" t="s"/>
      <c r="H1548" t="s"/>
      <c r="I1548" t="s"/>
      <c r="J1548" t="n">
        <v>0</v>
      </c>
      <c r="K1548" t="n">
        <v>0</v>
      </c>
      <c r="L1548" t="n">
        <v>1</v>
      </c>
      <c r="M1548" t="n">
        <v>0</v>
      </c>
    </row>
    <row r="1549" spans="1:13">
      <c r="A1549" s="1">
        <f>HYPERLINK("http://www.twitter.com/NathanBLawrence/status/978004817338683392", "978004817338683392")</f>
        <v/>
      </c>
      <c r="B1549" s="2" t="n">
        <v>43184.85061342592</v>
      </c>
      <c r="C1549" t="n">
        <v>0</v>
      </c>
      <c r="D1549" t="n">
        <v>1177</v>
      </c>
      <c r="E1549" t="s">
        <v>1545</v>
      </c>
      <c r="F1549">
        <f>HYPERLINK("http://pbs.twimg.com/media/DZIwXhtVQAAaxWW.jpg", "http://pbs.twimg.com/media/DZIwXhtVQAAaxWW.jpg")</f>
        <v/>
      </c>
      <c r="G1549" t="s"/>
      <c r="H1549" t="s"/>
      <c r="I1549" t="s"/>
      <c r="J1549" t="n">
        <v>-0.1531</v>
      </c>
      <c r="K1549" t="n">
        <v>0.139</v>
      </c>
      <c r="L1549" t="n">
        <v>0.743</v>
      </c>
      <c r="M1549" t="n">
        <v>0.118</v>
      </c>
    </row>
    <row r="1550" spans="1:13">
      <c r="A1550" s="1">
        <f>HYPERLINK("http://www.twitter.com/NathanBLawrence/status/978002849501274112", "978002849501274112")</f>
        <v/>
      </c>
      <c r="B1550" s="2" t="n">
        <v>43184.84518518519</v>
      </c>
      <c r="C1550" t="n">
        <v>0</v>
      </c>
      <c r="D1550" t="n">
        <v>51</v>
      </c>
      <c r="E1550" t="s">
        <v>1546</v>
      </c>
      <c r="F1550">
        <f>HYPERLINK("http://pbs.twimg.com/media/DZGBzVRVoAAWsMK.jpg", "http://pbs.twimg.com/media/DZGBzVRVoAAWsMK.jpg")</f>
        <v/>
      </c>
      <c r="G1550" t="s"/>
      <c r="H1550" t="s"/>
      <c r="I1550" t="s"/>
      <c r="J1550" t="n">
        <v>0.4754</v>
      </c>
      <c r="K1550" t="n">
        <v>0</v>
      </c>
      <c r="L1550" t="n">
        <v>0.877</v>
      </c>
      <c r="M1550" t="n">
        <v>0.123</v>
      </c>
    </row>
    <row r="1551" spans="1:13">
      <c r="A1551" s="1">
        <f>HYPERLINK("http://www.twitter.com/NathanBLawrence/status/977756223687811072", "977756223687811072")</f>
        <v/>
      </c>
      <c r="B1551" s="2" t="n">
        <v>43184.16462962963</v>
      </c>
      <c r="C1551" t="n">
        <v>0</v>
      </c>
      <c r="D1551" t="n">
        <v>2939</v>
      </c>
      <c r="E1551" t="s">
        <v>1547</v>
      </c>
      <c r="F1551" t="s"/>
      <c r="G1551" t="s"/>
      <c r="H1551" t="s"/>
      <c r="I1551" t="s"/>
      <c r="J1551" t="n">
        <v>-0.25</v>
      </c>
      <c r="K1551" t="n">
        <v>0.095</v>
      </c>
      <c r="L1551" t="n">
        <v>0.905</v>
      </c>
      <c r="M1551" t="n">
        <v>0</v>
      </c>
    </row>
    <row r="1552" spans="1:13">
      <c r="A1552" s="1">
        <f>HYPERLINK("http://www.twitter.com/NathanBLawrence/status/977754843635994624", "977754843635994624")</f>
        <v/>
      </c>
      <c r="B1552" s="2" t="n">
        <v>43184.16082175926</v>
      </c>
      <c r="C1552" t="n">
        <v>0</v>
      </c>
      <c r="D1552" t="n">
        <v>39</v>
      </c>
      <c r="E1552" t="s">
        <v>1548</v>
      </c>
      <c r="F1552">
        <f>HYPERLINK("http://pbs.twimg.com/media/DZGl3_-U8AArxqv.jpg", "http://pbs.twimg.com/media/DZGl3_-U8AArxqv.jpg")</f>
        <v/>
      </c>
      <c r="G1552">
        <f>HYPERLINK("http://pbs.twimg.com/media/DZGl4AEVAAAzjLL.jpg", "http://pbs.twimg.com/media/DZGl4AEVAAAzjLL.jpg")</f>
        <v/>
      </c>
      <c r="H1552">
        <f>HYPERLINK("http://pbs.twimg.com/media/DZGl4ARVwAE-Xkh.jpg", "http://pbs.twimg.com/media/DZGl4ARVwAE-Xkh.jpg")</f>
        <v/>
      </c>
      <c r="I1552" t="s"/>
      <c r="J1552" t="n">
        <v>0</v>
      </c>
      <c r="K1552" t="n">
        <v>0</v>
      </c>
      <c r="L1552" t="n">
        <v>1</v>
      </c>
      <c r="M1552" t="n">
        <v>0</v>
      </c>
    </row>
    <row r="1553" spans="1:13">
      <c r="A1553" s="1">
        <f>HYPERLINK("http://www.twitter.com/NathanBLawrence/status/977722981760819200", "977722981760819200")</f>
        <v/>
      </c>
      <c r="B1553" s="2" t="n">
        <v>43184.07289351852</v>
      </c>
      <c r="C1553" t="n">
        <v>0</v>
      </c>
      <c r="D1553" t="n">
        <v>0</v>
      </c>
      <c r="E1553" t="s">
        <v>1549</v>
      </c>
      <c r="F1553" t="s"/>
      <c r="G1553" t="s"/>
      <c r="H1553" t="s"/>
      <c r="I1553" t="s"/>
      <c r="J1553" t="n">
        <v>-0.34</v>
      </c>
      <c r="K1553" t="n">
        <v>0.14</v>
      </c>
      <c r="L1553" t="n">
        <v>0.767</v>
      </c>
      <c r="M1553" t="n">
        <v>0.093</v>
      </c>
    </row>
    <row r="1554" spans="1:13">
      <c r="A1554" s="1">
        <f>HYPERLINK("http://www.twitter.com/NathanBLawrence/status/977696638503456768", "977696638503456768")</f>
        <v/>
      </c>
      <c r="B1554" s="2" t="n">
        <v>43184.00020833333</v>
      </c>
      <c r="C1554" t="n">
        <v>0</v>
      </c>
      <c r="D1554" t="n">
        <v>14</v>
      </c>
      <c r="E1554" t="s">
        <v>1550</v>
      </c>
      <c r="F1554" t="s"/>
      <c r="G1554" t="s"/>
      <c r="H1554" t="s"/>
      <c r="I1554" t="s"/>
      <c r="J1554" t="n">
        <v>-0.5266999999999999</v>
      </c>
      <c r="K1554" t="n">
        <v>0.139</v>
      </c>
      <c r="L1554" t="n">
        <v>0.861</v>
      </c>
      <c r="M1554" t="n">
        <v>0</v>
      </c>
    </row>
    <row r="1555" spans="1:13">
      <c r="A1555" s="1">
        <f>HYPERLINK("http://www.twitter.com/NathanBLawrence/status/977684598653161473", "977684598653161473")</f>
        <v/>
      </c>
      <c r="B1555" s="2" t="n">
        <v>43183.96697916667</v>
      </c>
      <c r="C1555" t="n">
        <v>1</v>
      </c>
      <c r="D1555" t="n">
        <v>0</v>
      </c>
      <c r="E1555" t="s">
        <v>1551</v>
      </c>
      <c r="F1555" t="s"/>
      <c r="G1555" t="s"/>
      <c r="H1555" t="s"/>
      <c r="I1555" t="s"/>
      <c r="J1555" t="n">
        <v>0</v>
      </c>
      <c r="K1555" t="n">
        <v>0</v>
      </c>
      <c r="L1555" t="n">
        <v>1</v>
      </c>
      <c r="M1555" t="n">
        <v>0</v>
      </c>
    </row>
    <row r="1556" spans="1:13">
      <c r="A1556" s="1">
        <f>HYPERLINK("http://www.twitter.com/NathanBLawrence/status/977683997609295872", "977683997609295872")</f>
        <v/>
      </c>
      <c r="B1556" s="2" t="n">
        <v>43183.96532407407</v>
      </c>
      <c r="C1556" t="n">
        <v>7</v>
      </c>
      <c r="D1556" t="n">
        <v>5</v>
      </c>
      <c r="E1556" t="s">
        <v>1552</v>
      </c>
      <c r="F1556" t="s"/>
      <c r="G1556" t="s"/>
      <c r="H1556" t="s"/>
      <c r="I1556" t="s"/>
      <c r="J1556" t="n">
        <v>0</v>
      </c>
      <c r="K1556" t="n">
        <v>0</v>
      </c>
      <c r="L1556" t="n">
        <v>1</v>
      </c>
      <c r="M1556" t="n">
        <v>0</v>
      </c>
    </row>
    <row r="1557" spans="1:13">
      <c r="A1557" s="1">
        <f>HYPERLINK("http://www.twitter.com/NathanBLawrence/status/977683348402384899", "977683348402384899")</f>
        <v/>
      </c>
      <c r="B1557" s="2" t="n">
        <v>43183.96353009259</v>
      </c>
      <c r="C1557" t="n">
        <v>0</v>
      </c>
      <c r="D1557" t="n">
        <v>101</v>
      </c>
      <c r="E1557" t="s">
        <v>1553</v>
      </c>
      <c r="F1557" t="s"/>
      <c r="G1557" t="s"/>
      <c r="H1557" t="s"/>
      <c r="I1557" t="s"/>
      <c r="J1557" t="n">
        <v>0</v>
      </c>
      <c r="K1557" t="n">
        <v>0</v>
      </c>
      <c r="L1557" t="n">
        <v>1</v>
      </c>
      <c r="M1557" t="n">
        <v>0</v>
      </c>
    </row>
    <row r="1558" spans="1:13">
      <c r="A1558" s="1">
        <f>HYPERLINK("http://www.twitter.com/NathanBLawrence/status/977683330832502785", "977683330832502785")</f>
        <v/>
      </c>
      <c r="B1558" s="2" t="n">
        <v>43183.96348379629</v>
      </c>
      <c r="C1558" t="n">
        <v>0</v>
      </c>
      <c r="D1558" t="n">
        <v>108</v>
      </c>
      <c r="E1558" t="s">
        <v>1554</v>
      </c>
      <c r="F1558" t="s"/>
      <c r="G1558" t="s"/>
      <c r="H1558" t="s"/>
      <c r="I1558" t="s"/>
      <c r="J1558" t="n">
        <v>0.2732</v>
      </c>
      <c r="K1558" t="n">
        <v>0</v>
      </c>
      <c r="L1558" t="n">
        <v>0.9</v>
      </c>
      <c r="M1558" t="n">
        <v>0.1</v>
      </c>
    </row>
    <row r="1559" spans="1:13">
      <c r="A1559" s="1">
        <f>HYPERLINK("http://www.twitter.com/NathanBLawrence/status/977630611195211782", "977630611195211782")</f>
        <v/>
      </c>
      <c r="B1559" s="2" t="n">
        <v>43183.81799768518</v>
      </c>
      <c r="C1559" t="n">
        <v>0</v>
      </c>
      <c r="D1559" t="n">
        <v>1006</v>
      </c>
      <c r="E1559" t="s">
        <v>1555</v>
      </c>
      <c r="F1559" t="s"/>
      <c r="G1559" t="s"/>
      <c r="H1559" t="s"/>
      <c r="I1559" t="s"/>
      <c r="J1559" t="n">
        <v>-0.8989</v>
      </c>
      <c r="K1559" t="n">
        <v>0.392</v>
      </c>
      <c r="L1559" t="n">
        <v>0.608</v>
      </c>
      <c r="M1559" t="n">
        <v>0</v>
      </c>
    </row>
    <row r="1560" spans="1:13">
      <c r="A1560" s="1">
        <f>HYPERLINK("http://www.twitter.com/NathanBLawrence/status/977617433979703298", "977617433979703298")</f>
        <v/>
      </c>
      <c r="B1560" s="2" t="n">
        <v>43183.78164351852</v>
      </c>
      <c r="C1560" t="n">
        <v>0</v>
      </c>
      <c r="D1560" t="n">
        <v>2</v>
      </c>
      <c r="E1560" t="s">
        <v>1556</v>
      </c>
      <c r="F1560" t="s"/>
      <c r="G1560" t="s"/>
      <c r="H1560" t="s"/>
      <c r="I1560" t="s"/>
      <c r="J1560" t="n">
        <v>0</v>
      </c>
      <c r="K1560" t="n">
        <v>0</v>
      </c>
      <c r="L1560" t="n">
        <v>1</v>
      </c>
      <c r="M1560" t="n">
        <v>0</v>
      </c>
    </row>
    <row r="1561" spans="1:13">
      <c r="A1561" s="1">
        <f>HYPERLINK("http://www.twitter.com/NathanBLawrence/status/977577443778289665", "977577443778289665")</f>
        <v/>
      </c>
      <c r="B1561" s="2" t="n">
        <v>43183.67128472222</v>
      </c>
      <c r="C1561" t="n">
        <v>1</v>
      </c>
      <c r="D1561" t="n">
        <v>0</v>
      </c>
      <c r="E1561" t="s">
        <v>1557</v>
      </c>
      <c r="F1561">
        <f>HYPERLINK("http://pbs.twimg.com/media/DZENc02X0AA1kGU.jpg", "http://pbs.twimg.com/media/DZENc02X0AA1kGU.jpg")</f>
        <v/>
      </c>
      <c r="G1561" t="s"/>
      <c r="H1561" t="s"/>
      <c r="I1561" t="s"/>
      <c r="J1561" t="n">
        <v>0.7003</v>
      </c>
      <c r="K1561" t="n">
        <v>0</v>
      </c>
      <c r="L1561" t="n">
        <v>0.851</v>
      </c>
      <c r="M1561" t="n">
        <v>0.149</v>
      </c>
    </row>
    <row r="1562" spans="1:13">
      <c r="A1562" s="1">
        <f>HYPERLINK("http://www.twitter.com/NathanBLawrence/status/977574797298282496", "977574797298282496")</f>
        <v/>
      </c>
      <c r="B1562" s="2" t="n">
        <v>43183.66398148148</v>
      </c>
      <c r="C1562" t="n">
        <v>0</v>
      </c>
      <c r="D1562" t="n">
        <v>257</v>
      </c>
      <c r="E1562" t="s">
        <v>1558</v>
      </c>
      <c r="F1562">
        <f>HYPERLINK("http://pbs.twimg.com/media/DZAlLIBWAAYtBPd.jpg", "http://pbs.twimg.com/media/DZAlLIBWAAYtBPd.jpg")</f>
        <v/>
      </c>
      <c r="G1562">
        <f>HYPERLINK("http://pbs.twimg.com/media/DZAlafaWkAA5og0.jpg", "http://pbs.twimg.com/media/DZAlafaWkAA5og0.jpg")</f>
        <v/>
      </c>
      <c r="H1562">
        <f>HYPERLINK("http://pbs.twimg.com/media/DZAliIeWAAA-c3n.jpg", "http://pbs.twimg.com/media/DZAliIeWAAA-c3n.jpg")</f>
        <v/>
      </c>
      <c r="I1562">
        <f>HYPERLINK("http://pbs.twimg.com/media/DZA2tusXcAALDzs.jpg", "http://pbs.twimg.com/media/DZA2tusXcAALDzs.jpg")</f>
        <v/>
      </c>
      <c r="J1562" t="n">
        <v>0</v>
      </c>
      <c r="K1562" t="n">
        <v>0</v>
      </c>
      <c r="L1562" t="n">
        <v>1</v>
      </c>
      <c r="M1562" t="n">
        <v>0</v>
      </c>
    </row>
    <row r="1563" spans="1:13">
      <c r="A1563" s="1">
        <f>HYPERLINK("http://www.twitter.com/NathanBLawrence/status/977571227731742720", "977571227731742720")</f>
        <v/>
      </c>
      <c r="B1563" s="2" t="n">
        <v>43183.65413194444</v>
      </c>
      <c r="C1563" t="n">
        <v>0</v>
      </c>
      <c r="D1563" t="n">
        <v>9</v>
      </c>
      <c r="E1563" t="s">
        <v>1559</v>
      </c>
      <c r="F1563">
        <f>HYPERLINK("http://pbs.twimg.com/media/DZD4UrAVMAAC2DY.jpg", "http://pbs.twimg.com/media/DZD4UrAVMAAC2DY.jpg")</f>
        <v/>
      </c>
      <c r="G1563" t="s"/>
      <c r="H1563" t="s"/>
      <c r="I1563" t="s"/>
      <c r="J1563" t="n">
        <v>0</v>
      </c>
      <c r="K1563" t="n">
        <v>0</v>
      </c>
      <c r="L1563" t="n">
        <v>1</v>
      </c>
      <c r="M1563" t="n">
        <v>0</v>
      </c>
    </row>
    <row r="1564" spans="1:13">
      <c r="A1564" s="1">
        <f>HYPERLINK("http://www.twitter.com/NathanBLawrence/status/977570290837401602", "977570290837401602")</f>
        <v/>
      </c>
      <c r="B1564" s="2" t="n">
        <v>43183.65155092593</v>
      </c>
      <c r="C1564" t="n">
        <v>0</v>
      </c>
      <c r="D1564" t="n">
        <v>80</v>
      </c>
      <c r="E1564" t="s">
        <v>1560</v>
      </c>
      <c r="F1564" t="s"/>
      <c r="G1564" t="s"/>
      <c r="H1564" t="s"/>
      <c r="I1564" t="s"/>
      <c r="J1564" t="n">
        <v>0.6808</v>
      </c>
      <c r="K1564" t="n">
        <v>0</v>
      </c>
      <c r="L1564" t="n">
        <v>0.641</v>
      </c>
      <c r="M1564" t="n">
        <v>0.359</v>
      </c>
    </row>
    <row r="1565" spans="1:13">
      <c r="A1565" s="1">
        <f>HYPERLINK("http://www.twitter.com/NathanBLawrence/status/977569757103902720", "977569757103902720")</f>
        <v/>
      </c>
      <c r="B1565" s="2" t="n">
        <v>43183.65008101852</v>
      </c>
      <c r="C1565" t="n">
        <v>0</v>
      </c>
      <c r="D1565" t="n">
        <v>78</v>
      </c>
      <c r="E1565" t="s">
        <v>1561</v>
      </c>
      <c r="F1565" t="s"/>
      <c r="G1565" t="s"/>
      <c r="H1565" t="s"/>
      <c r="I1565" t="s"/>
      <c r="J1565" t="n">
        <v>-0.3832</v>
      </c>
      <c r="K1565" t="n">
        <v>0.106</v>
      </c>
      <c r="L1565" t="n">
        <v>0.894</v>
      </c>
      <c r="M1565" t="n">
        <v>0</v>
      </c>
    </row>
    <row r="1566" spans="1:13">
      <c r="A1566" s="1">
        <f>HYPERLINK("http://www.twitter.com/NathanBLawrence/status/977556914249879553", "977556914249879553")</f>
        <v/>
      </c>
      <c r="B1566" s="2" t="n">
        <v>43183.61464120371</v>
      </c>
      <c r="C1566" t="n">
        <v>0</v>
      </c>
      <c r="D1566" t="n">
        <v>278</v>
      </c>
      <c r="E1566" t="s">
        <v>1562</v>
      </c>
      <c r="F1566">
        <f>HYPERLINK("http://pbs.twimg.com/media/DZA5FRBU8AAJqLk.jpg", "http://pbs.twimg.com/media/DZA5FRBU8AAJqLk.jpg")</f>
        <v/>
      </c>
      <c r="G1566" t="s"/>
      <c r="H1566" t="s"/>
      <c r="I1566" t="s"/>
      <c r="J1566" t="n">
        <v>0.6588000000000001</v>
      </c>
      <c r="K1566" t="n">
        <v>0</v>
      </c>
      <c r="L1566" t="n">
        <v>0.758</v>
      </c>
      <c r="M1566" t="n">
        <v>0.242</v>
      </c>
    </row>
    <row r="1567" spans="1:13">
      <c r="A1567" s="1">
        <f>HYPERLINK("http://www.twitter.com/NathanBLawrence/status/977556546308714499", "977556546308714499")</f>
        <v/>
      </c>
      <c r="B1567" s="2" t="n">
        <v>43183.61362268519</v>
      </c>
      <c r="C1567" t="n">
        <v>0</v>
      </c>
      <c r="D1567" t="n">
        <v>508</v>
      </c>
      <c r="E1567" t="s">
        <v>1563</v>
      </c>
      <c r="F1567" t="s"/>
      <c r="G1567" t="s"/>
      <c r="H1567" t="s"/>
      <c r="I1567" t="s"/>
      <c r="J1567" t="n">
        <v>0</v>
      </c>
      <c r="K1567" t="n">
        <v>0</v>
      </c>
      <c r="L1567" t="n">
        <v>1</v>
      </c>
      <c r="M1567" t="n">
        <v>0</v>
      </c>
    </row>
    <row r="1568" spans="1:13">
      <c r="A1568" s="1">
        <f>HYPERLINK("http://www.twitter.com/NathanBLawrence/status/977556192464703488", "977556192464703488")</f>
        <v/>
      </c>
      <c r="B1568" s="2" t="n">
        <v>43183.61265046296</v>
      </c>
      <c r="C1568" t="n">
        <v>0</v>
      </c>
      <c r="D1568" t="n">
        <v>40497</v>
      </c>
      <c r="E1568" t="s">
        <v>1564</v>
      </c>
      <c r="F1568">
        <f>HYPERLINK("http://pbs.twimg.com/media/DYzCJV-VAAEeaeG.jpg", "http://pbs.twimg.com/media/DYzCJV-VAAEeaeG.jpg")</f>
        <v/>
      </c>
      <c r="G1568" t="s"/>
      <c r="H1568" t="s"/>
      <c r="I1568" t="s"/>
      <c r="J1568" t="n">
        <v>0</v>
      </c>
      <c r="K1568" t="n">
        <v>0</v>
      </c>
      <c r="L1568" t="n">
        <v>1</v>
      </c>
      <c r="M1568" t="n">
        <v>0</v>
      </c>
    </row>
    <row r="1569" spans="1:13">
      <c r="A1569" s="1">
        <f>HYPERLINK("http://www.twitter.com/NathanBLawrence/status/977534912441061376", "977534912441061376")</f>
        <v/>
      </c>
      <c r="B1569" s="2" t="n">
        <v>43183.55392361111</v>
      </c>
      <c r="C1569" t="n">
        <v>0</v>
      </c>
      <c r="D1569" t="n">
        <v>5</v>
      </c>
      <c r="E1569" t="s">
        <v>1565</v>
      </c>
      <c r="F1569" t="s"/>
      <c r="G1569" t="s"/>
      <c r="H1569" t="s"/>
      <c r="I1569" t="s"/>
      <c r="J1569" t="n">
        <v>0</v>
      </c>
      <c r="K1569" t="n">
        <v>0</v>
      </c>
      <c r="L1569" t="n">
        <v>1</v>
      </c>
      <c r="M1569" t="n">
        <v>0</v>
      </c>
    </row>
    <row r="1570" spans="1:13">
      <c r="A1570" s="1">
        <f>HYPERLINK("http://www.twitter.com/NathanBLawrence/status/977531891187318785", "977531891187318785")</f>
        <v/>
      </c>
      <c r="B1570" s="2" t="n">
        <v>43183.54559027778</v>
      </c>
      <c r="C1570" t="n">
        <v>0</v>
      </c>
      <c r="D1570" t="n">
        <v>21</v>
      </c>
      <c r="E1570" t="s">
        <v>1566</v>
      </c>
      <c r="F1570" t="s"/>
      <c r="G1570" t="s"/>
      <c r="H1570" t="s"/>
      <c r="I1570" t="s"/>
      <c r="J1570" t="n">
        <v>0.6671</v>
      </c>
      <c r="K1570" t="n">
        <v>0</v>
      </c>
      <c r="L1570" t="n">
        <v>0.825</v>
      </c>
      <c r="M1570" t="n">
        <v>0.175</v>
      </c>
    </row>
    <row r="1571" spans="1:13">
      <c r="A1571" s="1">
        <f>HYPERLINK("http://www.twitter.com/NathanBLawrence/status/977461430160121856", "977461430160121856")</f>
        <v/>
      </c>
      <c r="B1571" s="2" t="n">
        <v>43183.35114583333</v>
      </c>
      <c r="C1571" t="n">
        <v>0</v>
      </c>
      <c r="D1571" t="n">
        <v>2</v>
      </c>
      <c r="E1571" t="s">
        <v>1567</v>
      </c>
      <c r="F1571" t="s"/>
      <c r="G1571" t="s"/>
      <c r="H1571" t="s"/>
      <c r="I1571" t="s"/>
      <c r="J1571" t="n">
        <v>-0.4215</v>
      </c>
      <c r="K1571" t="n">
        <v>0.141</v>
      </c>
      <c r="L1571" t="n">
        <v>0.859</v>
      </c>
      <c r="M1571" t="n">
        <v>0</v>
      </c>
    </row>
    <row r="1572" spans="1:13">
      <c r="A1572" s="1">
        <f>HYPERLINK("http://www.twitter.com/NathanBLawrence/status/977459960161464320", "977459960161464320")</f>
        <v/>
      </c>
      <c r="B1572" s="2" t="n">
        <v>43183.34709490741</v>
      </c>
      <c r="C1572" t="n">
        <v>0</v>
      </c>
      <c r="D1572" t="n">
        <v>6</v>
      </c>
      <c r="E1572" t="s">
        <v>1568</v>
      </c>
      <c r="F1572" t="s"/>
      <c r="G1572" t="s"/>
      <c r="H1572" t="s"/>
      <c r="I1572" t="s"/>
      <c r="J1572" t="n">
        <v>-0.4069</v>
      </c>
      <c r="K1572" t="n">
        <v>0.146</v>
      </c>
      <c r="L1572" t="n">
        <v>0.854</v>
      </c>
      <c r="M1572" t="n">
        <v>0</v>
      </c>
    </row>
    <row r="1573" spans="1:13">
      <c r="A1573" s="1">
        <f>HYPERLINK("http://www.twitter.com/NathanBLawrence/status/977433474297745410", "977433474297745410")</f>
        <v/>
      </c>
      <c r="B1573" s="2" t="n">
        <v>43183.27400462963</v>
      </c>
      <c r="C1573" t="n">
        <v>0</v>
      </c>
      <c r="D1573" t="n">
        <v>0</v>
      </c>
      <c r="E1573" t="s">
        <v>1569</v>
      </c>
      <c r="F1573" t="s"/>
      <c r="G1573" t="s"/>
      <c r="H1573" t="s"/>
      <c r="I1573" t="s"/>
      <c r="J1573" t="n">
        <v>0</v>
      </c>
      <c r="K1573" t="n">
        <v>0</v>
      </c>
      <c r="L1573" t="n">
        <v>1</v>
      </c>
      <c r="M1573" t="n">
        <v>0</v>
      </c>
    </row>
    <row r="1574" spans="1:13">
      <c r="A1574" s="1">
        <f>HYPERLINK("http://www.twitter.com/NathanBLawrence/status/977428859137200130", "977428859137200130")</f>
        <v/>
      </c>
      <c r="B1574" s="2" t="n">
        <v>43183.26127314815</v>
      </c>
      <c r="C1574" t="n">
        <v>14</v>
      </c>
      <c r="D1574" t="n">
        <v>6</v>
      </c>
      <c r="E1574" t="s">
        <v>1570</v>
      </c>
      <c r="F1574" t="s"/>
      <c r="G1574" t="s"/>
      <c r="H1574" t="s"/>
      <c r="I1574" t="s"/>
      <c r="J1574" t="n">
        <v>-0.4692</v>
      </c>
      <c r="K1574" t="n">
        <v>0.137</v>
      </c>
      <c r="L1574" t="n">
        <v>0.761</v>
      </c>
      <c r="M1574" t="n">
        <v>0.102</v>
      </c>
    </row>
    <row r="1575" spans="1:13">
      <c r="A1575" s="1">
        <f>HYPERLINK("http://www.twitter.com/NathanBLawrence/status/977420471569453056", "977420471569453056")</f>
        <v/>
      </c>
      <c r="B1575" s="2" t="n">
        <v>43183.238125</v>
      </c>
      <c r="C1575" t="n">
        <v>0</v>
      </c>
      <c r="D1575" t="n">
        <v>14</v>
      </c>
      <c r="E1575" t="s">
        <v>1571</v>
      </c>
      <c r="F1575">
        <f>HYPERLINK("http://pbs.twimg.com/media/DZB-A4vVwAAeWsf.jpg", "http://pbs.twimg.com/media/DZB-A4vVwAAeWsf.jpg")</f>
        <v/>
      </c>
      <c r="G1575" t="s"/>
      <c r="H1575" t="s"/>
      <c r="I1575" t="s"/>
      <c r="J1575" t="n">
        <v>0.6447000000000001</v>
      </c>
      <c r="K1575" t="n">
        <v>0</v>
      </c>
      <c r="L1575" t="n">
        <v>0.789</v>
      </c>
      <c r="M1575" t="n">
        <v>0.211</v>
      </c>
    </row>
    <row r="1576" spans="1:13">
      <c r="A1576" s="1">
        <f>HYPERLINK("http://www.twitter.com/NathanBLawrence/status/977419737687904256", "977419737687904256")</f>
        <v/>
      </c>
      <c r="B1576" s="2" t="n">
        <v>43183.23609953704</v>
      </c>
      <c r="C1576" t="n">
        <v>27</v>
      </c>
      <c r="D1576" t="n">
        <v>14</v>
      </c>
      <c r="E1576" t="s">
        <v>1572</v>
      </c>
      <c r="F1576">
        <f>HYPERLINK("http://pbs.twimg.com/media/DZB-A4vVwAAeWsf.jpg", "http://pbs.twimg.com/media/DZB-A4vVwAAeWsf.jpg")</f>
        <v/>
      </c>
      <c r="G1576" t="s"/>
      <c r="H1576" t="s"/>
      <c r="I1576" t="s"/>
      <c r="J1576" t="n">
        <v>0.8048</v>
      </c>
      <c r="K1576" t="n">
        <v>0</v>
      </c>
      <c r="L1576" t="n">
        <v>0.88</v>
      </c>
      <c r="M1576" t="n">
        <v>0.12</v>
      </c>
    </row>
    <row r="1577" spans="1:13">
      <c r="A1577" s="1">
        <f>HYPERLINK("http://www.twitter.com/NathanBLawrence/status/977380965675884545", "977380965675884545")</f>
        <v/>
      </c>
      <c r="B1577" s="2" t="n">
        <v>43183.1291087963</v>
      </c>
      <c r="C1577" t="n">
        <v>0</v>
      </c>
      <c r="D1577" t="n">
        <v>161</v>
      </c>
      <c r="E1577" t="s">
        <v>1573</v>
      </c>
      <c r="F1577">
        <f>HYPERLINK("http://pbs.twimg.com/media/DZBJayBUQAArEWJ.jpg", "http://pbs.twimg.com/media/DZBJayBUQAArEWJ.jpg")</f>
        <v/>
      </c>
      <c r="G1577" t="s"/>
      <c r="H1577" t="s"/>
      <c r="I1577" t="s"/>
      <c r="J1577" t="n">
        <v>0</v>
      </c>
      <c r="K1577" t="n">
        <v>0</v>
      </c>
      <c r="L1577" t="n">
        <v>1</v>
      </c>
      <c r="M1577" t="n">
        <v>0</v>
      </c>
    </row>
    <row r="1578" spans="1:13">
      <c r="A1578" s="1">
        <f>HYPERLINK("http://www.twitter.com/NathanBLawrence/status/977348434746400768", "977348434746400768")</f>
        <v/>
      </c>
      <c r="B1578" s="2" t="n">
        <v>43183.03934027778</v>
      </c>
      <c r="C1578" t="n">
        <v>0</v>
      </c>
      <c r="D1578" t="n">
        <v>0</v>
      </c>
      <c r="E1578" t="s">
        <v>1574</v>
      </c>
      <c r="F1578" t="s"/>
      <c r="G1578" t="s"/>
      <c r="H1578" t="s"/>
      <c r="I1578" t="s"/>
      <c r="J1578" t="n">
        <v>-0.8481</v>
      </c>
      <c r="K1578" t="n">
        <v>0.202</v>
      </c>
      <c r="L1578" t="n">
        <v>0.75</v>
      </c>
      <c r="M1578" t="n">
        <v>0.048</v>
      </c>
    </row>
    <row r="1579" spans="1:13">
      <c r="A1579" s="1">
        <f>HYPERLINK("http://www.twitter.com/NathanBLawrence/status/977339201153740801", "977339201153740801")</f>
        <v/>
      </c>
      <c r="B1579" s="2" t="n">
        <v>43183.01386574074</v>
      </c>
      <c r="C1579" t="n">
        <v>5</v>
      </c>
      <c r="D1579" t="n">
        <v>3</v>
      </c>
      <c r="E1579" t="s">
        <v>1575</v>
      </c>
      <c r="F1579" t="s"/>
      <c r="G1579" t="s"/>
      <c r="H1579" t="s"/>
      <c r="I1579" t="s"/>
      <c r="J1579" t="n">
        <v>0.743</v>
      </c>
      <c r="K1579" t="n">
        <v>0</v>
      </c>
      <c r="L1579" t="n">
        <v>0.831</v>
      </c>
      <c r="M1579" t="n">
        <v>0.169</v>
      </c>
    </row>
    <row r="1580" spans="1:13">
      <c r="A1580" s="1">
        <f>HYPERLINK("http://www.twitter.com/NathanBLawrence/status/977337661835821057", "977337661835821057")</f>
        <v/>
      </c>
      <c r="B1580" s="2" t="n">
        <v>43183.00961805556</v>
      </c>
      <c r="C1580" t="n">
        <v>0</v>
      </c>
      <c r="D1580" t="n">
        <v>0</v>
      </c>
      <c r="E1580" t="s">
        <v>1576</v>
      </c>
      <c r="F1580" t="s"/>
      <c r="G1580" t="s"/>
      <c r="H1580" t="s"/>
      <c r="I1580" t="s"/>
      <c r="J1580" t="n">
        <v>0</v>
      </c>
      <c r="K1580" t="n">
        <v>0</v>
      </c>
      <c r="L1580" t="n">
        <v>1</v>
      </c>
      <c r="M1580" t="n">
        <v>0</v>
      </c>
    </row>
    <row r="1581" spans="1:13">
      <c r="A1581" s="1">
        <f>HYPERLINK("http://www.twitter.com/NathanBLawrence/status/977336983860142081", "977336983860142081")</f>
        <v/>
      </c>
      <c r="B1581" s="2" t="n">
        <v>43183.00774305555</v>
      </c>
      <c r="C1581" t="n">
        <v>15</v>
      </c>
      <c r="D1581" t="n">
        <v>17</v>
      </c>
      <c r="E1581" t="s">
        <v>1577</v>
      </c>
      <c r="F1581" t="s"/>
      <c r="G1581" t="s"/>
      <c r="H1581" t="s"/>
      <c r="I1581" t="s"/>
      <c r="J1581" t="n">
        <v>-0.73</v>
      </c>
      <c r="K1581" t="n">
        <v>0.125</v>
      </c>
      <c r="L1581" t="n">
        <v>0.875</v>
      </c>
      <c r="M1581" t="n">
        <v>0</v>
      </c>
    </row>
    <row r="1582" spans="1:13">
      <c r="A1582" s="1">
        <f>HYPERLINK("http://www.twitter.com/NathanBLawrence/status/977325111333261317", "977325111333261317")</f>
        <v/>
      </c>
      <c r="B1582" s="2" t="n">
        <v>43182.97498842593</v>
      </c>
      <c r="C1582" t="n">
        <v>2</v>
      </c>
      <c r="D1582" t="n">
        <v>1</v>
      </c>
      <c r="E1582" t="s">
        <v>1578</v>
      </c>
      <c r="F1582" t="s"/>
      <c r="G1582" t="s"/>
      <c r="H1582" t="s"/>
      <c r="I1582" t="s"/>
      <c r="J1582" t="n">
        <v>0.6875</v>
      </c>
      <c r="K1582" t="n">
        <v>0.049</v>
      </c>
      <c r="L1582" t="n">
        <v>0.806</v>
      </c>
      <c r="M1582" t="n">
        <v>0.144</v>
      </c>
    </row>
    <row r="1583" spans="1:13">
      <c r="A1583" s="1">
        <f>HYPERLINK("http://www.twitter.com/NathanBLawrence/status/977323676524785664", "977323676524785664")</f>
        <v/>
      </c>
      <c r="B1583" s="2" t="n">
        <v>43182.97101851852</v>
      </c>
      <c r="C1583" t="n">
        <v>1</v>
      </c>
      <c r="D1583" t="n">
        <v>0</v>
      </c>
      <c r="E1583" t="s">
        <v>1579</v>
      </c>
      <c r="F1583" t="s"/>
      <c r="G1583" t="s"/>
      <c r="H1583" t="s"/>
      <c r="I1583" t="s"/>
      <c r="J1583" t="n">
        <v>0.8385</v>
      </c>
      <c r="K1583" t="n">
        <v>0.046</v>
      </c>
      <c r="L1583" t="n">
        <v>0.768</v>
      </c>
      <c r="M1583" t="n">
        <v>0.186</v>
      </c>
    </row>
    <row r="1584" spans="1:13">
      <c r="A1584" s="1">
        <f>HYPERLINK("http://www.twitter.com/NathanBLawrence/status/977313562552098816", "977313562552098816")</f>
        <v/>
      </c>
      <c r="B1584" s="2" t="n">
        <v>43182.94311342593</v>
      </c>
      <c r="C1584" t="n">
        <v>1</v>
      </c>
      <c r="D1584" t="n">
        <v>0</v>
      </c>
      <c r="E1584" t="s">
        <v>1580</v>
      </c>
      <c r="F1584" t="s"/>
      <c r="G1584" t="s"/>
      <c r="H1584" t="s"/>
      <c r="I1584" t="s"/>
      <c r="J1584" t="n">
        <v>0.4574</v>
      </c>
      <c r="K1584" t="n">
        <v>0</v>
      </c>
      <c r="L1584" t="n">
        <v>0.626</v>
      </c>
      <c r="M1584" t="n">
        <v>0.374</v>
      </c>
    </row>
    <row r="1585" spans="1:13">
      <c r="A1585" s="1">
        <f>HYPERLINK("http://www.twitter.com/NathanBLawrence/status/977313142920314880", "977313142920314880")</f>
        <v/>
      </c>
      <c r="B1585" s="2" t="n">
        <v>43182.94195601852</v>
      </c>
      <c r="C1585" t="n">
        <v>1</v>
      </c>
      <c r="D1585" t="n">
        <v>0</v>
      </c>
      <c r="E1585" t="s">
        <v>1581</v>
      </c>
      <c r="F1585" t="s"/>
      <c r="G1585" t="s"/>
      <c r="H1585" t="s"/>
      <c r="I1585" t="s"/>
      <c r="J1585" t="n">
        <v>0</v>
      </c>
      <c r="K1585" t="n">
        <v>0</v>
      </c>
      <c r="L1585" t="n">
        <v>1</v>
      </c>
      <c r="M1585" t="n">
        <v>0</v>
      </c>
    </row>
    <row r="1586" spans="1:13">
      <c r="A1586" s="1">
        <f>HYPERLINK("http://www.twitter.com/NathanBLawrence/status/977310295256428544", "977310295256428544")</f>
        <v/>
      </c>
      <c r="B1586" s="2" t="n">
        <v>43182.93409722222</v>
      </c>
      <c r="C1586" t="n">
        <v>3</v>
      </c>
      <c r="D1586" t="n">
        <v>1</v>
      </c>
      <c r="E1586" t="s">
        <v>1582</v>
      </c>
      <c r="F1586" t="s"/>
      <c r="G1586" t="s"/>
      <c r="H1586" t="s"/>
      <c r="I1586" t="s"/>
      <c r="J1586" t="n">
        <v>-0.7423999999999999</v>
      </c>
      <c r="K1586" t="n">
        <v>0.139</v>
      </c>
      <c r="L1586" t="n">
        <v>0.861</v>
      </c>
      <c r="M1586" t="n">
        <v>0</v>
      </c>
    </row>
    <row r="1587" spans="1:13">
      <c r="A1587" s="1">
        <f>HYPERLINK("http://www.twitter.com/NathanBLawrence/status/977303392157667328", "977303392157667328")</f>
        <v/>
      </c>
      <c r="B1587" s="2" t="n">
        <v>43182.91504629629</v>
      </c>
      <c r="C1587" t="n">
        <v>0</v>
      </c>
      <c r="D1587" t="n">
        <v>0</v>
      </c>
      <c r="E1587" t="s">
        <v>1583</v>
      </c>
      <c r="F1587" t="s"/>
      <c r="G1587" t="s"/>
      <c r="H1587" t="s"/>
      <c r="I1587" t="s"/>
      <c r="J1587" t="n">
        <v>-0.4389</v>
      </c>
      <c r="K1587" t="n">
        <v>0.096</v>
      </c>
      <c r="L1587" t="n">
        <v>0.831</v>
      </c>
      <c r="M1587" t="n">
        <v>0.073</v>
      </c>
    </row>
    <row r="1588" spans="1:13">
      <c r="A1588" s="1">
        <f>HYPERLINK("http://www.twitter.com/NathanBLawrence/status/977293841224163328", "977293841224163328")</f>
        <v/>
      </c>
      <c r="B1588" s="2" t="n">
        <v>43182.88869212963</v>
      </c>
      <c r="C1588" t="n">
        <v>8</v>
      </c>
      <c r="D1588" t="n">
        <v>8</v>
      </c>
      <c r="E1588" t="s">
        <v>1584</v>
      </c>
      <c r="F1588">
        <f>HYPERLINK("http://pbs.twimg.com/media/DZALjUiXcAIYmHc.jpg", "http://pbs.twimg.com/media/DZALjUiXcAIYmHc.jpg")</f>
        <v/>
      </c>
      <c r="G1588" t="s"/>
      <c r="H1588" t="s"/>
      <c r="I1588" t="s"/>
      <c r="J1588" t="n">
        <v>-0.6551</v>
      </c>
      <c r="K1588" t="n">
        <v>0.16</v>
      </c>
      <c r="L1588" t="n">
        <v>0.782</v>
      </c>
      <c r="M1588" t="n">
        <v>0.058</v>
      </c>
    </row>
    <row r="1589" spans="1:13">
      <c r="A1589" s="1">
        <f>HYPERLINK("http://www.twitter.com/NathanBLawrence/status/977248613318447104", "977248613318447104")</f>
        <v/>
      </c>
      <c r="B1589" s="2" t="n">
        <v>43182.76388888889</v>
      </c>
      <c r="C1589" t="n">
        <v>66</v>
      </c>
      <c r="D1589" t="n">
        <v>41</v>
      </c>
      <c r="E1589" t="s">
        <v>1585</v>
      </c>
      <c r="F1589" t="s"/>
      <c r="G1589" t="s"/>
      <c r="H1589" t="s"/>
      <c r="I1589" t="s"/>
      <c r="J1589" t="n">
        <v>0.9343</v>
      </c>
      <c r="K1589" t="n">
        <v>0.045</v>
      </c>
      <c r="L1589" t="n">
        <v>0.671</v>
      </c>
      <c r="M1589" t="n">
        <v>0.284</v>
      </c>
    </row>
    <row r="1590" spans="1:13">
      <c r="A1590" s="1">
        <f>HYPERLINK("http://www.twitter.com/NathanBLawrence/status/977218843172106241", "977218843172106241")</f>
        <v/>
      </c>
      <c r="B1590" s="2" t="n">
        <v>43182.68173611111</v>
      </c>
      <c r="C1590" t="n">
        <v>0</v>
      </c>
      <c r="D1590" t="n">
        <v>80</v>
      </c>
      <c r="E1590" t="s">
        <v>1586</v>
      </c>
      <c r="F1590">
        <f>HYPERLINK("http://pbs.twimg.com/media/DY_CZjKU0AArr2H.jpg", "http://pbs.twimg.com/media/DY_CZjKU0AArr2H.jpg")</f>
        <v/>
      </c>
      <c r="G1590">
        <f>HYPERLINK("http://pbs.twimg.com/media/DY_CZjQV4AEEvzj.jpg", "http://pbs.twimg.com/media/DY_CZjQV4AEEvzj.jpg")</f>
        <v/>
      </c>
      <c r="H1590">
        <f>HYPERLINK("http://pbs.twimg.com/media/DY_CZmWVoAIftoG.jpg", "http://pbs.twimg.com/media/DY_CZmWVoAIftoG.jpg")</f>
        <v/>
      </c>
      <c r="I1590">
        <f>HYPERLINK("http://pbs.twimg.com/media/DY_CZjPUMAEbw_V.jpg", "http://pbs.twimg.com/media/DY_CZjPUMAEbw_V.jpg")</f>
        <v/>
      </c>
      <c r="J1590" t="n">
        <v>-0.4404</v>
      </c>
      <c r="K1590" t="n">
        <v>0.198</v>
      </c>
      <c r="L1590" t="n">
        <v>0.707</v>
      </c>
      <c r="M1590" t="n">
        <v>0.095</v>
      </c>
    </row>
    <row r="1591" spans="1:13">
      <c r="A1591" s="1">
        <f>HYPERLINK("http://www.twitter.com/NathanBLawrence/status/977210752107819009", "977210752107819009")</f>
        <v/>
      </c>
      <c r="B1591" s="2" t="n">
        <v>43182.65940972222</v>
      </c>
      <c r="C1591" t="n">
        <v>0</v>
      </c>
      <c r="D1591" t="n">
        <v>684</v>
      </c>
      <c r="E1591" t="s">
        <v>1587</v>
      </c>
      <c r="F1591">
        <f>HYPERLINK("http://pbs.twimg.com/media/DTcSE4oXkAAMw1B.jpg", "http://pbs.twimg.com/media/DTcSE4oXkAAMw1B.jpg")</f>
        <v/>
      </c>
      <c r="G1591" t="s"/>
      <c r="H1591" t="s"/>
      <c r="I1591" t="s"/>
      <c r="J1591" t="n">
        <v>0</v>
      </c>
      <c r="K1591" t="n">
        <v>0</v>
      </c>
      <c r="L1591" t="n">
        <v>1</v>
      </c>
      <c r="M1591" t="n">
        <v>0</v>
      </c>
    </row>
    <row r="1592" spans="1:13">
      <c r="A1592" s="1">
        <f>HYPERLINK("http://www.twitter.com/NathanBLawrence/status/977178687387897861", "977178687387897861")</f>
        <v/>
      </c>
      <c r="B1592" s="2" t="n">
        <v>43182.57092592592</v>
      </c>
      <c r="C1592" t="n">
        <v>0</v>
      </c>
      <c r="D1592" t="n">
        <v>36652</v>
      </c>
      <c r="E1592" t="s">
        <v>1588</v>
      </c>
      <c r="F1592" t="s"/>
      <c r="G1592" t="s"/>
      <c r="H1592" t="s"/>
      <c r="I1592" t="s"/>
      <c r="J1592" t="n">
        <v>0</v>
      </c>
      <c r="K1592" t="n">
        <v>0</v>
      </c>
      <c r="L1592" t="n">
        <v>1</v>
      </c>
      <c r="M1592" t="n">
        <v>0</v>
      </c>
    </row>
    <row r="1593" spans="1:13">
      <c r="A1593" s="1">
        <f>HYPERLINK("http://www.twitter.com/NathanBLawrence/status/977165884455313410", "977165884455313410")</f>
        <v/>
      </c>
      <c r="B1593" s="2" t="n">
        <v>43182.53560185185</v>
      </c>
      <c r="C1593" t="n">
        <v>0</v>
      </c>
      <c r="D1593" t="n">
        <v>78</v>
      </c>
      <c r="E1593" t="s">
        <v>1589</v>
      </c>
      <c r="F1593">
        <f>HYPERLINK("http://pbs.twimg.com/media/DY9H9jSXcAIKgVa.jpg", "http://pbs.twimg.com/media/DY9H9jSXcAIKgVa.jpg")</f>
        <v/>
      </c>
      <c r="G1593" t="s"/>
      <c r="H1593" t="s"/>
      <c r="I1593" t="s"/>
      <c r="J1593" t="n">
        <v>0.2023</v>
      </c>
      <c r="K1593" t="n">
        <v>0</v>
      </c>
      <c r="L1593" t="n">
        <v>0.921</v>
      </c>
      <c r="M1593" t="n">
        <v>0.079</v>
      </c>
    </row>
    <row r="1594" spans="1:13">
      <c r="A1594" s="1">
        <f>HYPERLINK("http://www.twitter.com/NathanBLawrence/status/977165779014705152", "977165779014705152")</f>
        <v/>
      </c>
      <c r="B1594" s="2" t="n">
        <v>43182.5353125</v>
      </c>
      <c r="C1594" t="n">
        <v>0</v>
      </c>
      <c r="D1594" t="n">
        <v>1805</v>
      </c>
      <c r="E1594" t="s">
        <v>1590</v>
      </c>
      <c r="F1594" t="s"/>
      <c r="G1594" t="s"/>
      <c r="H1594" t="s"/>
      <c r="I1594" t="s"/>
      <c r="J1594" t="n">
        <v>-0.6207</v>
      </c>
      <c r="K1594" t="n">
        <v>0.266</v>
      </c>
      <c r="L1594" t="n">
        <v>0.5649999999999999</v>
      </c>
      <c r="M1594" t="n">
        <v>0.169</v>
      </c>
    </row>
    <row r="1595" spans="1:13">
      <c r="A1595" s="1">
        <f>HYPERLINK("http://www.twitter.com/NathanBLawrence/status/977089943016177664", "977089943016177664")</f>
        <v/>
      </c>
      <c r="B1595" s="2" t="n">
        <v>43182.32604166667</v>
      </c>
      <c r="C1595" t="n">
        <v>0</v>
      </c>
      <c r="D1595" t="n">
        <v>342</v>
      </c>
      <c r="E1595" t="s">
        <v>1591</v>
      </c>
      <c r="F1595" t="s"/>
      <c r="G1595" t="s"/>
      <c r="H1595" t="s"/>
      <c r="I1595" t="s"/>
      <c r="J1595" t="n">
        <v>-0.7506</v>
      </c>
      <c r="K1595" t="n">
        <v>0.335</v>
      </c>
      <c r="L1595" t="n">
        <v>0.497</v>
      </c>
      <c r="M1595" t="n">
        <v>0.168</v>
      </c>
    </row>
    <row r="1596" spans="1:13">
      <c r="A1596" s="1">
        <f>HYPERLINK("http://www.twitter.com/NathanBLawrence/status/977085876021940224", "977085876021940224")</f>
        <v/>
      </c>
      <c r="B1596" s="2" t="n">
        <v>43182.31481481482</v>
      </c>
      <c r="C1596" t="n">
        <v>0</v>
      </c>
      <c r="D1596" t="n">
        <v>0</v>
      </c>
      <c r="E1596" t="s">
        <v>1592</v>
      </c>
      <c r="F1596" t="s"/>
      <c r="G1596" t="s"/>
      <c r="H1596" t="s"/>
      <c r="I1596" t="s"/>
      <c r="J1596" t="n">
        <v>0</v>
      </c>
      <c r="K1596" t="n">
        <v>0</v>
      </c>
      <c r="L1596" t="n">
        <v>1</v>
      </c>
      <c r="M1596" t="n">
        <v>0</v>
      </c>
    </row>
    <row r="1597" spans="1:13">
      <c r="A1597" s="1">
        <f>HYPERLINK("http://www.twitter.com/NathanBLawrence/status/977085674296922112", "977085674296922112")</f>
        <v/>
      </c>
      <c r="B1597" s="2" t="n">
        <v>43182.31425925926</v>
      </c>
      <c r="C1597" t="n">
        <v>0</v>
      </c>
      <c r="D1597" t="n">
        <v>7199</v>
      </c>
      <c r="E1597" t="s">
        <v>1593</v>
      </c>
      <c r="F1597" t="s"/>
      <c r="G1597" t="s"/>
      <c r="H1597" t="s"/>
      <c r="I1597" t="s"/>
      <c r="J1597" t="n">
        <v>-0.6792</v>
      </c>
      <c r="K1597" t="n">
        <v>0.255</v>
      </c>
      <c r="L1597" t="n">
        <v>0.657</v>
      </c>
      <c r="M1597" t="n">
        <v>0.08799999999999999</v>
      </c>
    </row>
    <row r="1598" spans="1:13">
      <c r="A1598" s="1">
        <f>HYPERLINK("http://www.twitter.com/NathanBLawrence/status/977071781616893952", "977071781616893952")</f>
        <v/>
      </c>
      <c r="B1598" s="2" t="n">
        <v>43182.27592592593</v>
      </c>
      <c r="C1598" t="n">
        <v>0</v>
      </c>
      <c r="D1598" t="n">
        <v>0</v>
      </c>
      <c r="E1598" t="s">
        <v>1594</v>
      </c>
      <c r="F1598" t="s"/>
      <c r="G1598" t="s"/>
      <c r="H1598" t="s"/>
      <c r="I1598" t="s"/>
      <c r="J1598" t="n">
        <v>0.7165</v>
      </c>
      <c r="K1598" t="n">
        <v>0</v>
      </c>
      <c r="L1598" t="n">
        <v>0.819</v>
      </c>
      <c r="M1598" t="n">
        <v>0.181</v>
      </c>
    </row>
    <row r="1599" spans="1:13">
      <c r="A1599" s="1">
        <f>HYPERLINK("http://www.twitter.com/NathanBLawrence/status/977070055597977600", "977070055597977600")</f>
        <v/>
      </c>
      <c r="B1599" s="2" t="n">
        <v>43182.27115740741</v>
      </c>
      <c r="C1599" t="n">
        <v>1</v>
      </c>
      <c r="D1599" t="n">
        <v>0</v>
      </c>
      <c r="E1599" t="s">
        <v>1595</v>
      </c>
      <c r="F1599" t="s"/>
      <c r="G1599" t="s"/>
      <c r="H1599" t="s"/>
      <c r="I1599" t="s"/>
      <c r="J1599" t="n">
        <v>-0.6249</v>
      </c>
      <c r="K1599" t="n">
        <v>0.18</v>
      </c>
      <c r="L1599" t="n">
        <v>0.746</v>
      </c>
      <c r="M1599" t="n">
        <v>0.074</v>
      </c>
    </row>
    <row r="1600" spans="1:13">
      <c r="A1600" s="1">
        <f>HYPERLINK("http://www.twitter.com/NathanBLawrence/status/977066035387002881", "977066035387002881")</f>
        <v/>
      </c>
      <c r="B1600" s="2" t="n">
        <v>43182.26006944444</v>
      </c>
      <c r="C1600" t="n">
        <v>0</v>
      </c>
      <c r="D1600" t="n">
        <v>1181</v>
      </c>
      <c r="E1600" t="s">
        <v>1596</v>
      </c>
      <c r="F1600">
        <f>HYPERLINK("http://pbs.twimg.com/media/DY68MYJUMAAxoJt.jpg", "http://pbs.twimg.com/media/DY68MYJUMAAxoJt.jpg")</f>
        <v/>
      </c>
      <c r="G1600" t="s"/>
      <c r="H1600" t="s"/>
      <c r="I1600" t="s"/>
      <c r="J1600" t="n">
        <v>-0.4466</v>
      </c>
      <c r="K1600" t="n">
        <v>0.113</v>
      </c>
      <c r="L1600" t="n">
        <v>0.887</v>
      </c>
      <c r="M1600" t="n">
        <v>0</v>
      </c>
    </row>
    <row r="1601" spans="1:13">
      <c r="A1601" s="1">
        <f>HYPERLINK("http://www.twitter.com/NathanBLawrence/status/977064994973069312", "977064994973069312")</f>
        <v/>
      </c>
      <c r="B1601" s="2" t="n">
        <v>43182.25719907408</v>
      </c>
      <c r="C1601" t="n">
        <v>0</v>
      </c>
      <c r="D1601" t="n">
        <v>761</v>
      </c>
      <c r="E1601" t="s">
        <v>1597</v>
      </c>
      <c r="F1601" t="s"/>
      <c r="G1601" t="s"/>
      <c r="H1601" t="s"/>
      <c r="I1601" t="s"/>
      <c r="J1601" t="n">
        <v>0.5106000000000001</v>
      </c>
      <c r="K1601" t="n">
        <v>0</v>
      </c>
      <c r="L1601" t="n">
        <v>0.845</v>
      </c>
      <c r="M1601" t="n">
        <v>0.155</v>
      </c>
    </row>
    <row r="1602" spans="1:13">
      <c r="A1602" s="1">
        <f>HYPERLINK("http://www.twitter.com/NathanBLawrence/status/977064266468675585", "977064266468675585")</f>
        <v/>
      </c>
      <c r="B1602" s="2" t="n">
        <v>43182.25518518518</v>
      </c>
      <c r="C1602" t="n">
        <v>0</v>
      </c>
      <c r="D1602" t="n">
        <v>1419</v>
      </c>
      <c r="E1602" t="s">
        <v>1598</v>
      </c>
      <c r="F1602" t="s"/>
      <c r="G1602" t="s"/>
      <c r="H1602" t="s"/>
      <c r="I1602" t="s"/>
      <c r="J1602" t="n">
        <v>0</v>
      </c>
      <c r="K1602" t="n">
        <v>0</v>
      </c>
      <c r="L1602" t="n">
        <v>1</v>
      </c>
      <c r="M1602" t="n">
        <v>0</v>
      </c>
    </row>
    <row r="1603" spans="1:13">
      <c r="A1603" s="1">
        <f>HYPERLINK("http://www.twitter.com/NathanBLawrence/status/977063985370550272", "977063985370550272")</f>
        <v/>
      </c>
      <c r="B1603" s="2" t="n">
        <v>43182.25440972222</v>
      </c>
      <c r="C1603" t="n">
        <v>0</v>
      </c>
      <c r="D1603" t="n">
        <v>10993</v>
      </c>
      <c r="E1603" t="s">
        <v>1599</v>
      </c>
      <c r="F1603" t="s"/>
      <c r="G1603" t="s"/>
      <c r="H1603" t="s"/>
      <c r="I1603" t="s"/>
      <c r="J1603" t="n">
        <v>0.3875</v>
      </c>
      <c r="K1603" t="n">
        <v>0</v>
      </c>
      <c r="L1603" t="n">
        <v>0.84</v>
      </c>
      <c r="M1603" t="n">
        <v>0.16</v>
      </c>
    </row>
    <row r="1604" spans="1:13">
      <c r="A1604" s="1">
        <f>HYPERLINK("http://www.twitter.com/NathanBLawrence/status/977063524181651456", "977063524181651456")</f>
        <v/>
      </c>
      <c r="B1604" s="2" t="n">
        <v>43182.25313657407</v>
      </c>
      <c r="C1604" t="n">
        <v>0</v>
      </c>
      <c r="D1604" t="n">
        <v>1037</v>
      </c>
      <c r="E1604" t="s">
        <v>1600</v>
      </c>
      <c r="F1604" t="s"/>
      <c r="G1604" t="s"/>
      <c r="H1604" t="s"/>
      <c r="I1604" t="s"/>
      <c r="J1604" t="n">
        <v>-0.7865</v>
      </c>
      <c r="K1604" t="n">
        <v>0.267</v>
      </c>
      <c r="L1604" t="n">
        <v>0.733</v>
      </c>
      <c r="M1604" t="n">
        <v>0</v>
      </c>
    </row>
    <row r="1605" spans="1:13">
      <c r="A1605" s="1">
        <f>HYPERLINK("http://www.twitter.com/NathanBLawrence/status/977062853957079041", "977062853957079041")</f>
        <v/>
      </c>
      <c r="B1605" s="2" t="n">
        <v>43182.25128472222</v>
      </c>
      <c r="C1605" t="n">
        <v>0</v>
      </c>
      <c r="D1605" t="n">
        <v>4</v>
      </c>
      <c r="E1605" t="s">
        <v>1601</v>
      </c>
      <c r="F1605" t="s"/>
      <c r="G1605" t="s"/>
      <c r="H1605" t="s"/>
      <c r="I1605" t="s"/>
      <c r="J1605" t="n">
        <v>-0.5538</v>
      </c>
      <c r="K1605" t="n">
        <v>0.183</v>
      </c>
      <c r="L1605" t="n">
        <v>0.8169999999999999</v>
      </c>
      <c r="M1605" t="n">
        <v>0</v>
      </c>
    </row>
    <row r="1606" spans="1:13">
      <c r="A1606" s="1">
        <f>HYPERLINK("http://www.twitter.com/NathanBLawrence/status/977062675573288960", "977062675573288960")</f>
        <v/>
      </c>
      <c r="B1606" s="2" t="n">
        <v>43182.25079861111</v>
      </c>
      <c r="C1606" t="n">
        <v>0</v>
      </c>
      <c r="D1606" t="n">
        <v>11</v>
      </c>
      <c r="E1606" t="s">
        <v>1602</v>
      </c>
      <c r="F1606" t="s"/>
      <c r="G1606" t="s"/>
      <c r="H1606" t="s"/>
      <c r="I1606" t="s"/>
      <c r="J1606" t="n">
        <v>0.3182</v>
      </c>
      <c r="K1606" t="n">
        <v>0</v>
      </c>
      <c r="L1606" t="n">
        <v>0.892</v>
      </c>
      <c r="M1606" t="n">
        <v>0.108</v>
      </c>
    </row>
    <row r="1607" spans="1:13">
      <c r="A1607" s="1">
        <f>HYPERLINK("http://www.twitter.com/NathanBLawrence/status/977062618287484928", "977062618287484928")</f>
        <v/>
      </c>
      <c r="B1607" s="2" t="n">
        <v>43182.25063657408</v>
      </c>
      <c r="C1607" t="n">
        <v>0</v>
      </c>
      <c r="D1607" t="n">
        <v>1</v>
      </c>
      <c r="E1607" t="s">
        <v>1603</v>
      </c>
      <c r="F1607" t="s"/>
      <c r="G1607" t="s"/>
      <c r="H1607" t="s"/>
      <c r="I1607" t="s"/>
      <c r="J1607" t="n">
        <v>-0.2792</v>
      </c>
      <c r="K1607" t="n">
        <v>0.161</v>
      </c>
      <c r="L1607" t="n">
        <v>0.72</v>
      </c>
      <c r="M1607" t="n">
        <v>0.119</v>
      </c>
    </row>
    <row r="1608" spans="1:13">
      <c r="A1608" s="1">
        <f>HYPERLINK("http://www.twitter.com/NathanBLawrence/status/977062126119542784", "977062126119542784")</f>
        <v/>
      </c>
      <c r="B1608" s="2" t="n">
        <v>43182.24928240741</v>
      </c>
      <c r="C1608" t="n">
        <v>0</v>
      </c>
      <c r="D1608" t="n">
        <v>2</v>
      </c>
      <c r="E1608" t="s">
        <v>1604</v>
      </c>
      <c r="F1608">
        <f>HYPERLINK("http://pbs.twimg.com/media/DY81QmEU0AAtDSE.jpg", "http://pbs.twimg.com/media/DY81QmEU0AAtDSE.jpg")</f>
        <v/>
      </c>
      <c r="G1608">
        <f>HYPERLINK("http://pbs.twimg.com/media/DY81QmAUQAE-OQO.jpg", "http://pbs.twimg.com/media/DY81QmAUQAE-OQO.jpg")</f>
        <v/>
      </c>
      <c r="H1608" t="s"/>
      <c r="I1608" t="s"/>
      <c r="J1608" t="n">
        <v>0</v>
      </c>
      <c r="K1608" t="n">
        <v>0</v>
      </c>
      <c r="L1608" t="n">
        <v>1</v>
      </c>
      <c r="M1608" t="n">
        <v>0</v>
      </c>
    </row>
    <row r="1609" spans="1:13">
      <c r="A1609" s="1">
        <f>HYPERLINK("http://www.twitter.com/NathanBLawrence/status/977061260654268417", "977061260654268417")</f>
        <v/>
      </c>
      <c r="B1609" s="2" t="n">
        <v>43182.24689814815</v>
      </c>
      <c r="C1609" t="n">
        <v>0</v>
      </c>
      <c r="D1609" t="n">
        <v>18</v>
      </c>
      <c r="E1609" t="s">
        <v>1605</v>
      </c>
      <c r="F1609" t="s"/>
      <c r="G1609" t="s"/>
      <c r="H1609" t="s"/>
      <c r="I1609" t="s"/>
      <c r="J1609" t="n">
        <v>-0.3647</v>
      </c>
      <c r="K1609" t="n">
        <v>0.168</v>
      </c>
      <c r="L1609" t="n">
        <v>0.729</v>
      </c>
      <c r="M1609" t="n">
        <v>0.103</v>
      </c>
    </row>
    <row r="1610" spans="1:13">
      <c r="A1610" s="1">
        <f>HYPERLINK("http://www.twitter.com/NathanBLawrence/status/977056699969409024", "977056699969409024")</f>
        <v/>
      </c>
      <c r="B1610" s="2" t="n">
        <v>43182.23430555555</v>
      </c>
      <c r="C1610" t="n">
        <v>0</v>
      </c>
      <c r="D1610" t="n">
        <v>2050</v>
      </c>
      <c r="E1610" t="s">
        <v>1606</v>
      </c>
      <c r="F1610" t="s"/>
      <c r="G1610" t="s"/>
      <c r="H1610" t="s"/>
      <c r="I1610" t="s"/>
      <c r="J1610" t="n">
        <v>-0.128</v>
      </c>
      <c r="K1610" t="n">
        <v>0.108</v>
      </c>
      <c r="L1610" t="n">
        <v>0.803</v>
      </c>
      <c r="M1610" t="n">
        <v>0.08799999999999999</v>
      </c>
    </row>
    <row r="1611" spans="1:13">
      <c r="A1611" s="1">
        <f>HYPERLINK("http://www.twitter.com/NathanBLawrence/status/977056365830078464", "977056365830078464")</f>
        <v/>
      </c>
      <c r="B1611" s="2" t="n">
        <v>43182.23339120371</v>
      </c>
      <c r="C1611" t="n">
        <v>0</v>
      </c>
      <c r="D1611" t="n">
        <v>2062</v>
      </c>
      <c r="E1611" t="s">
        <v>1607</v>
      </c>
      <c r="F1611" t="s"/>
      <c r="G1611" t="s"/>
      <c r="H1611" t="s"/>
      <c r="I1611" t="s"/>
      <c r="J1611" t="n">
        <v>-0.5574</v>
      </c>
      <c r="K1611" t="n">
        <v>0.141</v>
      </c>
      <c r="L1611" t="n">
        <v>0.859</v>
      </c>
      <c r="M1611" t="n">
        <v>0</v>
      </c>
    </row>
    <row r="1612" spans="1:13">
      <c r="A1612" s="1">
        <f>HYPERLINK("http://www.twitter.com/NathanBLawrence/status/977051597518856192", "977051597518856192")</f>
        <v/>
      </c>
      <c r="B1612" s="2" t="n">
        <v>43182.22023148148</v>
      </c>
      <c r="C1612" t="n">
        <v>0</v>
      </c>
      <c r="D1612" t="n">
        <v>501</v>
      </c>
      <c r="E1612" t="s">
        <v>1608</v>
      </c>
      <c r="F1612">
        <f>HYPERLINK("http://pbs.twimg.com/media/DY6LcTRXkAANRbC.jpg", "http://pbs.twimg.com/media/DY6LcTRXkAANRbC.jpg")</f>
        <v/>
      </c>
      <c r="G1612" t="s"/>
      <c r="H1612" t="s"/>
      <c r="I1612" t="s"/>
      <c r="J1612" t="n">
        <v>0</v>
      </c>
      <c r="K1612" t="n">
        <v>0</v>
      </c>
      <c r="L1612" t="n">
        <v>1</v>
      </c>
      <c r="M1612" t="n">
        <v>0</v>
      </c>
    </row>
    <row r="1613" spans="1:13">
      <c r="A1613" s="1">
        <f>HYPERLINK("http://www.twitter.com/NathanBLawrence/status/977051457571753984", "977051457571753984")</f>
        <v/>
      </c>
      <c r="B1613" s="2" t="n">
        <v>43182.21983796296</v>
      </c>
      <c r="C1613" t="n">
        <v>0</v>
      </c>
      <c r="D1613" t="n">
        <v>629</v>
      </c>
      <c r="E1613" t="s">
        <v>1609</v>
      </c>
      <c r="F1613" t="s"/>
      <c r="G1613" t="s"/>
      <c r="H1613" t="s"/>
      <c r="I1613" t="s"/>
      <c r="J1613" t="n">
        <v>0</v>
      </c>
      <c r="K1613" t="n">
        <v>0</v>
      </c>
      <c r="L1613" t="n">
        <v>1</v>
      </c>
      <c r="M1613" t="n">
        <v>0</v>
      </c>
    </row>
    <row r="1614" spans="1:13">
      <c r="A1614" s="1">
        <f>HYPERLINK("http://www.twitter.com/NathanBLawrence/status/977047883764649984", "977047883764649984")</f>
        <v/>
      </c>
      <c r="B1614" s="2" t="n">
        <v>43182.20997685185</v>
      </c>
      <c r="C1614" t="n">
        <v>0</v>
      </c>
      <c r="D1614" t="n">
        <v>8</v>
      </c>
      <c r="E1614" t="s">
        <v>1610</v>
      </c>
      <c r="F1614" t="s"/>
      <c r="G1614" t="s"/>
      <c r="H1614" t="s"/>
      <c r="I1614" t="s"/>
      <c r="J1614" t="n">
        <v>0.7906</v>
      </c>
      <c r="K1614" t="n">
        <v>0</v>
      </c>
      <c r="L1614" t="n">
        <v>0.65</v>
      </c>
      <c r="M1614" t="n">
        <v>0.35</v>
      </c>
    </row>
    <row r="1615" spans="1:13">
      <c r="A1615" s="1">
        <f>HYPERLINK("http://www.twitter.com/NathanBLawrence/status/977047738704629760", "977047738704629760")</f>
        <v/>
      </c>
      <c r="B1615" s="2" t="n">
        <v>43182.20958333334</v>
      </c>
      <c r="C1615" t="n">
        <v>0</v>
      </c>
      <c r="D1615" t="n">
        <v>2075</v>
      </c>
      <c r="E1615" t="s">
        <v>1611</v>
      </c>
      <c r="F1615">
        <f>HYPERLINK("http://pbs.twimg.com/media/DY5Hf9eV4AAsEA3.jpg", "http://pbs.twimg.com/media/DY5Hf9eV4AAsEA3.jpg")</f>
        <v/>
      </c>
      <c r="G1615" t="s"/>
      <c r="H1615" t="s"/>
      <c r="I1615" t="s"/>
      <c r="J1615" t="n">
        <v>0.3818</v>
      </c>
      <c r="K1615" t="n">
        <v>0</v>
      </c>
      <c r="L1615" t="n">
        <v>0.852</v>
      </c>
      <c r="M1615" t="n">
        <v>0.148</v>
      </c>
    </row>
    <row r="1616" spans="1:13">
      <c r="A1616" s="1">
        <f>HYPERLINK("http://www.twitter.com/NathanBLawrence/status/977045235942526977", "977045235942526977")</f>
        <v/>
      </c>
      <c r="B1616" s="2" t="n">
        <v>43182.20267361111</v>
      </c>
      <c r="C1616" t="n">
        <v>0</v>
      </c>
      <c r="D1616" t="n">
        <v>16</v>
      </c>
      <c r="E1616" t="s">
        <v>1612</v>
      </c>
      <c r="F1616" t="s"/>
      <c r="G1616" t="s"/>
      <c r="H1616" t="s"/>
      <c r="I1616" t="s"/>
      <c r="J1616" t="n">
        <v>0.5423</v>
      </c>
      <c r="K1616" t="n">
        <v>0</v>
      </c>
      <c r="L1616" t="n">
        <v>0.837</v>
      </c>
      <c r="M1616" t="n">
        <v>0.163</v>
      </c>
    </row>
    <row r="1617" spans="1:13">
      <c r="A1617" s="1">
        <f>HYPERLINK("http://www.twitter.com/NathanBLawrence/status/977045062659043329", "977045062659043329")</f>
        <v/>
      </c>
      <c r="B1617" s="2" t="n">
        <v>43182.20219907408</v>
      </c>
      <c r="C1617" t="n">
        <v>0</v>
      </c>
      <c r="D1617" t="n">
        <v>13</v>
      </c>
      <c r="E1617" t="s">
        <v>1613</v>
      </c>
      <c r="F1617">
        <f>HYPERLINK("http://pbs.twimg.com/media/DY8nNzUUMAA4Alu.jpg", "http://pbs.twimg.com/media/DY8nNzUUMAA4Alu.jpg")</f>
        <v/>
      </c>
      <c r="G1617" t="s"/>
      <c r="H1617" t="s"/>
      <c r="I1617" t="s"/>
      <c r="J1617" t="n">
        <v>0.2023</v>
      </c>
      <c r="K1617" t="n">
        <v>0</v>
      </c>
      <c r="L1617" t="n">
        <v>0.9379999999999999</v>
      </c>
      <c r="M1617" t="n">
        <v>0.062</v>
      </c>
    </row>
    <row r="1618" spans="1:13">
      <c r="A1618" s="1">
        <f>HYPERLINK("http://www.twitter.com/NathanBLawrence/status/977043101301858304", "977043101301858304")</f>
        <v/>
      </c>
      <c r="B1618" s="2" t="n">
        <v>43182.19678240741</v>
      </c>
      <c r="C1618" t="n">
        <v>0</v>
      </c>
      <c r="D1618" t="n">
        <v>133</v>
      </c>
      <c r="E1618" t="s">
        <v>1614</v>
      </c>
      <c r="F1618" t="s"/>
      <c r="G1618" t="s"/>
      <c r="H1618" t="s"/>
      <c r="I1618" t="s"/>
      <c r="J1618" t="n">
        <v>0.4588</v>
      </c>
      <c r="K1618" t="n">
        <v>0</v>
      </c>
      <c r="L1618" t="n">
        <v>0.833</v>
      </c>
      <c r="M1618" t="n">
        <v>0.167</v>
      </c>
    </row>
    <row r="1619" spans="1:13">
      <c r="A1619" s="1">
        <f>HYPERLINK("http://www.twitter.com/NathanBLawrence/status/977030251564937216", "977030251564937216")</f>
        <v/>
      </c>
      <c r="B1619" s="2" t="n">
        <v>43182.16131944444</v>
      </c>
      <c r="C1619" t="n">
        <v>0</v>
      </c>
      <c r="D1619" t="n">
        <v>27</v>
      </c>
      <c r="E1619" t="s">
        <v>1615</v>
      </c>
      <c r="F1619">
        <f>HYPERLINK("http://pbs.twimg.com/media/DY8YHbZWkAYA8dF.jpg", "http://pbs.twimg.com/media/DY8YHbZWkAYA8dF.jpg")</f>
        <v/>
      </c>
      <c r="G1619" t="s"/>
      <c r="H1619" t="s"/>
      <c r="I1619" t="s"/>
      <c r="J1619" t="n">
        <v>-0.4199</v>
      </c>
      <c r="K1619" t="n">
        <v>0.128</v>
      </c>
      <c r="L1619" t="n">
        <v>0.872</v>
      </c>
      <c r="M1619" t="n">
        <v>0</v>
      </c>
    </row>
    <row r="1620" spans="1:13">
      <c r="A1620" s="1">
        <f>HYPERLINK("http://www.twitter.com/NathanBLawrence/status/977006255851163649", "977006255851163649")</f>
        <v/>
      </c>
      <c r="B1620" s="2" t="n">
        <v>43182.09510416666</v>
      </c>
      <c r="C1620" t="n">
        <v>0</v>
      </c>
      <c r="D1620" t="n">
        <v>185</v>
      </c>
      <c r="E1620" t="s">
        <v>1616</v>
      </c>
      <c r="F1620" t="s"/>
      <c r="G1620" t="s"/>
      <c r="H1620" t="s"/>
      <c r="I1620" t="s"/>
      <c r="J1620" t="n">
        <v>0.7574</v>
      </c>
      <c r="K1620" t="n">
        <v>0</v>
      </c>
      <c r="L1620" t="n">
        <v>0.764</v>
      </c>
      <c r="M1620" t="n">
        <v>0.236</v>
      </c>
    </row>
    <row r="1621" spans="1:13">
      <c r="A1621" s="1">
        <f>HYPERLINK("http://www.twitter.com/NathanBLawrence/status/976972417779331077", "976972417779331077")</f>
        <v/>
      </c>
      <c r="B1621" s="2" t="n">
        <v>43182.00173611111</v>
      </c>
      <c r="C1621" t="n">
        <v>0</v>
      </c>
      <c r="D1621" t="n">
        <v>0</v>
      </c>
      <c r="E1621" t="s">
        <v>1617</v>
      </c>
      <c r="F1621">
        <f>HYPERLINK("http://pbs.twimg.com/media/DY7nNuwXUAAIRsG.jpg", "http://pbs.twimg.com/media/DY7nNuwXUAAIRsG.jpg")</f>
        <v/>
      </c>
      <c r="G1621" t="s"/>
      <c r="H1621" t="s"/>
      <c r="I1621" t="s"/>
      <c r="J1621" t="n">
        <v>0</v>
      </c>
      <c r="K1621" t="n">
        <v>0</v>
      </c>
      <c r="L1621" t="n">
        <v>1</v>
      </c>
      <c r="M1621" t="n">
        <v>0</v>
      </c>
    </row>
    <row r="1622" spans="1:13">
      <c r="A1622" s="1">
        <f>HYPERLINK("http://www.twitter.com/NathanBLawrence/status/976967656363438080", "976967656363438080")</f>
        <v/>
      </c>
      <c r="B1622" s="2" t="n">
        <v>43181.98859953704</v>
      </c>
      <c r="C1622" t="n">
        <v>0</v>
      </c>
      <c r="D1622" t="n">
        <v>310</v>
      </c>
      <c r="E1622" t="s">
        <v>1618</v>
      </c>
      <c r="F1622">
        <f>HYPERLINK("http://pbs.twimg.com/media/DY7hTXhVQAEC3f7.jpg", "http://pbs.twimg.com/media/DY7hTXhVQAEC3f7.jpg")</f>
        <v/>
      </c>
      <c r="G1622" t="s"/>
      <c r="H1622" t="s"/>
      <c r="I1622" t="s"/>
      <c r="J1622" t="n">
        <v>-0.5574</v>
      </c>
      <c r="K1622" t="n">
        <v>0.159</v>
      </c>
      <c r="L1622" t="n">
        <v>0.841</v>
      </c>
      <c r="M1622" t="n">
        <v>0</v>
      </c>
    </row>
    <row r="1623" spans="1:13">
      <c r="A1623" s="1">
        <f>HYPERLINK("http://www.twitter.com/NathanBLawrence/status/976946378415976450", "976946378415976450")</f>
        <v/>
      </c>
      <c r="B1623" s="2" t="n">
        <v>43181.92988425926</v>
      </c>
      <c r="C1623" t="n">
        <v>0</v>
      </c>
      <c r="D1623" t="n">
        <v>2</v>
      </c>
      <c r="E1623" t="s">
        <v>1619</v>
      </c>
      <c r="F1623">
        <f>HYPERLINK("http://pbs.twimg.com/media/DXLYXcyU0AAJChs.jpg", "http://pbs.twimg.com/media/DXLYXcyU0AAJChs.jpg")</f>
        <v/>
      </c>
      <c r="G1623" t="s"/>
      <c r="H1623" t="s"/>
      <c r="I1623" t="s"/>
      <c r="J1623" t="n">
        <v>0.5848</v>
      </c>
      <c r="K1623" t="n">
        <v>0</v>
      </c>
      <c r="L1623" t="n">
        <v>0.725</v>
      </c>
      <c r="M1623" t="n">
        <v>0.275</v>
      </c>
    </row>
    <row r="1624" spans="1:13">
      <c r="A1624" s="1">
        <f>HYPERLINK("http://www.twitter.com/NathanBLawrence/status/976946302012547072", "976946302012547072")</f>
        <v/>
      </c>
      <c r="B1624" s="2" t="n">
        <v>43181.92966435185</v>
      </c>
      <c r="C1624" t="n">
        <v>2</v>
      </c>
      <c r="D1624" t="n">
        <v>0</v>
      </c>
      <c r="E1624" t="s">
        <v>1620</v>
      </c>
      <c r="F1624">
        <f>HYPERLINK("http://pbs.twimg.com/media/DY7PbI0W0AExacu.jpg", "http://pbs.twimg.com/media/DY7PbI0W0AExacu.jpg")</f>
        <v/>
      </c>
      <c r="G1624" t="s"/>
      <c r="H1624" t="s"/>
      <c r="I1624" t="s"/>
      <c r="J1624" t="n">
        <v>0</v>
      </c>
      <c r="K1624" t="n">
        <v>0</v>
      </c>
      <c r="L1624" t="n">
        <v>1</v>
      </c>
      <c r="M1624" t="n">
        <v>0</v>
      </c>
    </row>
    <row r="1625" spans="1:13">
      <c r="A1625" s="1">
        <f>HYPERLINK("http://www.twitter.com/NathanBLawrence/status/976943993010442241", "976943993010442241")</f>
        <v/>
      </c>
      <c r="B1625" s="2" t="n">
        <v>43181.92329861111</v>
      </c>
      <c r="C1625" t="n">
        <v>0</v>
      </c>
      <c r="D1625" t="n">
        <v>6</v>
      </c>
      <c r="E1625" t="s">
        <v>1621</v>
      </c>
      <c r="F1625" t="s"/>
      <c r="G1625" t="s"/>
      <c r="H1625" t="s"/>
      <c r="I1625" t="s"/>
      <c r="J1625" t="n">
        <v>0</v>
      </c>
      <c r="K1625" t="n">
        <v>0</v>
      </c>
      <c r="L1625" t="n">
        <v>1</v>
      </c>
      <c r="M1625" t="n">
        <v>0</v>
      </c>
    </row>
    <row r="1626" spans="1:13">
      <c r="A1626" s="1">
        <f>HYPERLINK("http://www.twitter.com/NathanBLawrence/status/976943229378744320", "976943229378744320")</f>
        <v/>
      </c>
      <c r="B1626" s="2" t="n">
        <v>43181.92119212963</v>
      </c>
      <c r="C1626" t="n">
        <v>0</v>
      </c>
      <c r="D1626" t="n">
        <v>93</v>
      </c>
      <c r="E1626" t="s">
        <v>1622</v>
      </c>
      <c r="F1626">
        <f>HYPERLINK("https://video.twimg.com/ext_tw_video/973954777582206976/pu/vid/1280x720/AbBo9LpSG6Rr_8T9.mp4", "https://video.twimg.com/ext_tw_video/973954777582206976/pu/vid/1280x720/AbBo9LpSG6Rr_8T9.mp4")</f>
        <v/>
      </c>
      <c r="G1626" t="s"/>
      <c r="H1626" t="s"/>
      <c r="I1626" t="s"/>
      <c r="J1626" t="n">
        <v>0.8979</v>
      </c>
      <c r="K1626" t="n">
        <v>0</v>
      </c>
      <c r="L1626" t="n">
        <v>0.658</v>
      </c>
      <c r="M1626" t="n">
        <v>0.342</v>
      </c>
    </row>
    <row r="1627" spans="1:13">
      <c r="A1627" s="1">
        <f>HYPERLINK("http://www.twitter.com/NathanBLawrence/status/976939400868319232", "976939400868319232")</f>
        <v/>
      </c>
      <c r="B1627" s="2" t="n">
        <v>43181.910625</v>
      </c>
      <c r="C1627" t="n">
        <v>2</v>
      </c>
      <c r="D1627" t="n">
        <v>0</v>
      </c>
      <c r="E1627" t="s">
        <v>1623</v>
      </c>
      <c r="F1627">
        <f>HYPERLINK("http://pbs.twimg.com/media/DY7JMl8WAAAQBNL.jpg", "http://pbs.twimg.com/media/DY7JMl8WAAAQBNL.jpg")</f>
        <v/>
      </c>
      <c r="G1627" t="s"/>
      <c r="H1627" t="s"/>
      <c r="I1627" t="s"/>
      <c r="J1627" t="n">
        <v>-0.446</v>
      </c>
      <c r="K1627" t="n">
        <v>0.204</v>
      </c>
      <c r="L1627" t="n">
        <v>0.638</v>
      </c>
      <c r="M1627" t="n">
        <v>0.157</v>
      </c>
    </row>
    <row r="1628" spans="1:13">
      <c r="A1628" s="1">
        <f>HYPERLINK("http://www.twitter.com/NathanBLawrence/status/976926627149045760", "976926627149045760")</f>
        <v/>
      </c>
      <c r="B1628" s="2" t="n">
        <v>43181.87537037037</v>
      </c>
      <c r="C1628" t="n">
        <v>0</v>
      </c>
      <c r="D1628" t="n">
        <v>26</v>
      </c>
      <c r="E1628" t="s">
        <v>1624</v>
      </c>
      <c r="F1628">
        <f>HYPERLINK("http://pbs.twimg.com/media/DY6z9O6VMAAJOiG.jpg", "http://pbs.twimg.com/media/DY6z9O6VMAAJOiG.jpg")</f>
        <v/>
      </c>
      <c r="G1628" t="s"/>
      <c r="H1628" t="s"/>
      <c r="I1628" t="s"/>
      <c r="J1628" t="n">
        <v>0.3724</v>
      </c>
      <c r="K1628" t="n">
        <v>0</v>
      </c>
      <c r="L1628" t="n">
        <v>0.887</v>
      </c>
      <c r="M1628" t="n">
        <v>0.113</v>
      </c>
    </row>
    <row r="1629" spans="1:13">
      <c r="A1629" s="1">
        <f>HYPERLINK("http://www.twitter.com/NathanBLawrence/status/976925860757409792", "976925860757409792")</f>
        <v/>
      </c>
      <c r="B1629" s="2" t="n">
        <v>43181.87326388889</v>
      </c>
      <c r="C1629" t="n">
        <v>0</v>
      </c>
      <c r="D1629" t="n">
        <v>7</v>
      </c>
      <c r="E1629" t="s">
        <v>1625</v>
      </c>
      <c r="F1629" t="s"/>
      <c r="G1629" t="s"/>
      <c r="H1629" t="s"/>
      <c r="I1629" t="s"/>
      <c r="J1629" t="n">
        <v>-0.5256</v>
      </c>
      <c r="K1629" t="n">
        <v>0.124</v>
      </c>
      <c r="L1629" t="n">
        <v>0.876</v>
      </c>
      <c r="M1629" t="n">
        <v>0</v>
      </c>
    </row>
    <row r="1630" spans="1:13">
      <c r="A1630" s="1">
        <f>HYPERLINK("http://www.twitter.com/NathanBLawrence/status/976925785096417280", "976925785096417280")</f>
        <v/>
      </c>
      <c r="B1630" s="2" t="n">
        <v>43181.87305555555</v>
      </c>
      <c r="C1630" t="n">
        <v>0</v>
      </c>
      <c r="D1630" t="n">
        <v>7</v>
      </c>
      <c r="E1630" t="s">
        <v>1626</v>
      </c>
      <c r="F1630" t="s"/>
      <c r="G1630" t="s"/>
      <c r="H1630" t="s"/>
      <c r="I1630" t="s"/>
      <c r="J1630" t="n">
        <v>-0.4404</v>
      </c>
      <c r="K1630" t="n">
        <v>0.108</v>
      </c>
      <c r="L1630" t="n">
        <v>0.892</v>
      </c>
      <c r="M1630" t="n">
        <v>0</v>
      </c>
    </row>
    <row r="1631" spans="1:13">
      <c r="A1631" s="1">
        <f>HYPERLINK("http://www.twitter.com/NathanBLawrence/status/976925681157275656", "976925681157275656")</f>
        <v/>
      </c>
      <c r="B1631" s="2" t="n">
        <v>43181.87276620371</v>
      </c>
      <c r="C1631" t="n">
        <v>0</v>
      </c>
      <c r="D1631" t="n">
        <v>6</v>
      </c>
      <c r="E1631" t="s">
        <v>1627</v>
      </c>
      <c r="F1631" t="s"/>
      <c r="G1631" t="s"/>
      <c r="H1631" t="s"/>
      <c r="I1631" t="s"/>
      <c r="J1631" t="n">
        <v>-0.4215</v>
      </c>
      <c r="K1631" t="n">
        <v>0.113</v>
      </c>
      <c r="L1631" t="n">
        <v>0.887</v>
      </c>
      <c r="M1631" t="n">
        <v>0</v>
      </c>
    </row>
    <row r="1632" spans="1:13">
      <c r="A1632" s="1">
        <f>HYPERLINK("http://www.twitter.com/NathanBLawrence/status/976925587800494082", "976925587800494082")</f>
        <v/>
      </c>
      <c r="B1632" s="2" t="n">
        <v>43181.87251157407</v>
      </c>
      <c r="C1632" t="n">
        <v>0</v>
      </c>
      <c r="D1632" t="n">
        <v>8</v>
      </c>
      <c r="E1632" t="s">
        <v>1628</v>
      </c>
      <c r="F1632">
        <f>HYPERLINK("https://video.twimg.com/ext_tw_video/976904892613709824/pu/vid/480x360/5VL4fSLF04N68FBG.mp4", "https://video.twimg.com/ext_tw_video/976904892613709824/pu/vid/480x360/5VL4fSLF04N68FBG.mp4")</f>
        <v/>
      </c>
      <c r="G1632" t="s"/>
      <c r="H1632" t="s"/>
      <c r="I1632" t="s"/>
      <c r="J1632" t="n">
        <v>0.6124000000000001</v>
      </c>
      <c r="K1632" t="n">
        <v>0</v>
      </c>
      <c r="L1632" t="n">
        <v>0.8149999999999999</v>
      </c>
      <c r="M1632" t="n">
        <v>0.185</v>
      </c>
    </row>
    <row r="1633" spans="1:13">
      <c r="A1633" s="1">
        <f>HYPERLINK("http://www.twitter.com/NathanBLawrence/status/976925540417441792", "976925540417441792")</f>
        <v/>
      </c>
      <c r="B1633" s="2" t="n">
        <v>43181.87237268518</v>
      </c>
      <c r="C1633" t="n">
        <v>0</v>
      </c>
      <c r="D1633" t="n">
        <v>13</v>
      </c>
      <c r="E1633" t="s">
        <v>1629</v>
      </c>
      <c r="F1633">
        <f>HYPERLINK("https://video.twimg.com/ext_tw_video/976911990416273408/pu/vid/240x240/nk0LNMBc2K8c7RDJ.mp4", "https://video.twimg.com/ext_tw_video/976911990416273408/pu/vid/240x240/nk0LNMBc2K8c7RDJ.mp4")</f>
        <v/>
      </c>
      <c r="G1633" t="s"/>
      <c r="H1633" t="s"/>
      <c r="I1633" t="s"/>
      <c r="J1633" t="n">
        <v>0</v>
      </c>
      <c r="K1633" t="n">
        <v>0</v>
      </c>
      <c r="L1633" t="n">
        <v>1</v>
      </c>
      <c r="M1633" t="n">
        <v>0</v>
      </c>
    </row>
    <row r="1634" spans="1:13">
      <c r="A1634" s="1">
        <f>HYPERLINK("http://www.twitter.com/NathanBLawrence/status/976925314000531456", "976925314000531456")</f>
        <v/>
      </c>
      <c r="B1634" s="2" t="n">
        <v>43181.87174768518</v>
      </c>
      <c r="C1634" t="n">
        <v>0</v>
      </c>
      <c r="D1634" t="n">
        <v>7</v>
      </c>
      <c r="E1634" t="s">
        <v>1630</v>
      </c>
      <c r="F1634" t="s"/>
      <c r="G1634" t="s"/>
      <c r="H1634" t="s"/>
      <c r="I1634" t="s"/>
      <c r="J1634" t="n">
        <v>-0.8001</v>
      </c>
      <c r="K1634" t="n">
        <v>0.254</v>
      </c>
      <c r="L1634" t="n">
        <v>0.746</v>
      </c>
      <c r="M1634" t="n">
        <v>0</v>
      </c>
    </row>
    <row r="1635" spans="1:13">
      <c r="A1635" s="1">
        <f>HYPERLINK("http://www.twitter.com/NathanBLawrence/status/976909509884039168", "976909509884039168")</f>
        <v/>
      </c>
      <c r="B1635" s="2" t="n">
        <v>43181.82813657408</v>
      </c>
      <c r="C1635" t="n">
        <v>0</v>
      </c>
      <c r="D1635" t="n">
        <v>4</v>
      </c>
      <c r="E1635" t="s">
        <v>1631</v>
      </c>
      <c r="F1635" t="s"/>
      <c r="G1635" t="s"/>
      <c r="H1635" t="s"/>
      <c r="I1635" t="s"/>
      <c r="J1635" t="n">
        <v>-0.2808</v>
      </c>
      <c r="K1635" t="n">
        <v>0.106</v>
      </c>
      <c r="L1635" t="n">
        <v>0.894</v>
      </c>
      <c r="M1635" t="n">
        <v>0</v>
      </c>
    </row>
    <row r="1636" spans="1:13">
      <c r="A1636" s="1">
        <f>HYPERLINK("http://www.twitter.com/NathanBLawrence/status/976909370524160000", "976909370524160000")</f>
        <v/>
      </c>
      <c r="B1636" s="2" t="n">
        <v>43181.82775462963</v>
      </c>
      <c r="C1636" t="n">
        <v>0</v>
      </c>
      <c r="D1636" t="n">
        <v>10</v>
      </c>
      <c r="E1636" t="s">
        <v>1632</v>
      </c>
      <c r="F1636" t="s"/>
      <c r="G1636" t="s"/>
      <c r="H1636" t="s"/>
      <c r="I1636" t="s"/>
      <c r="J1636" t="n">
        <v>0</v>
      </c>
      <c r="K1636" t="n">
        <v>0</v>
      </c>
      <c r="L1636" t="n">
        <v>1</v>
      </c>
      <c r="M1636" t="n">
        <v>0</v>
      </c>
    </row>
    <row r="1637" spans="1:13">
      <c r="A1637" s="1">
        <f>HYPERLINK("http://www.twitter.com/NathanBLawrence/status/976901749591216129", "976901749591216129")</f>
        <v/>
      </c>
      <c r="B1637" s="2" t="n">
        <v>43181.80672453704</v>
      </c>
      <c r="C1637" t="n">
        <v>3</v>
      </c>
      <c r="D1637" t="n">
        <v>0</v>
      </c>
      <c r="E1637" t="s">
        <v>1633</v>
      </c>
      <c r="F1637">
        <f>HYPERLINK("http://pbs.twimg.com/media/DY6m9QnWsAACuAa.jpg", "http://pbs.twimg.com/media/DY6m9QnWsAACuAa.jpg")</f>
        <v/>
      </c>
      <c r="G1637" t="s"/>
      <c r="H1637" t="s"/>
      <c r="I1637" t="s"/>
      <c r="J1637" t="n">
        <v>-0.4855</v>
      </c>
      <c r="K1637" t="n">
        <v>0.182</v>
      </c>
      <c r="L1637" t="n">
        <v>0.6860000000000001</v>
      </c>
      <c r="M1637" t="n">
        <v>0.132</v>
      </c>
    </row>
    <row r="1638" spans="1:13">
      <c r="A1638" s="1">
        <f>HYPERLINK("http://www.twitter.com/NathanBLawrence/status/976878208447602695", "976878208447602695")</f>
        <v/>
      </c>
      <c r="B1638" s="2" t="n">
        <v>43181.74177083333</v>
      </c>
      <c r="C1638" t="n">
        <v>8</v>
      </c>
      <c r="D1638" t="n">
        <v>5</v>
      </c>
      <c r="E1638" t="s">
        <v>1634</v>
      </c>
      <c r="F1638" t="s"/>
      <c r="G1638" t="s"/>
      <c r="H1638" t="s"/>
      <c r="I1638" t="s"/>
      <c r="J1638" t="n">
        <v>-0.8593</v>
      </c>
      <c r="K1638" t="n">
        <v>0.172</v>
      </c>
      <c r="L1638" t="n">
        <v>0.828</v>
      </c>
      <c r="M1638" t="n">
        <v>0</v>
      </c>
    </row>
    <row r="1639" spans="1:13">
      <c r="A1639" s="1">
        <f>HYPERLINK("http://www.twitter.com/NathanBLawrence/status/976866189837250560", "976866189837250560")</f>
        <v/>
      </c>
      <c r="B1639" s="2" t="n">
        <v>43181.70859953704</v>
      </c>
      <c r="C1639" t="n">
        <v>0</v>
      </c>
      <c r="D1639" t="n">
        <v>3</v>
      </c>
      <c r="E1639" t="s">
        <v>1635</v>
      </c>
      <c r="F1639" t="s"/>
      <c r="G1639" t="s"/>
      <c r="H1639" t="s"/>
      <c r="I1639" t="s"/>
      <c r="J1639" t="n">
        <v>0.4648</v>
      </c>
      <c r="K1639" t="n">
        <v>0</v>
      </c>
      <c r="L1639" t="n">
        <v>0.569</v>
      </c>
      <c r="M1639" t="n">
        <v>0.431</v>
      </c>
    </row>
    <row r="1640" spans="1:13">
      <c r="A1640" s="1">
        <f>HYPERLINK("http://www.twitter.com/NathanBLawrence/status/976865600000659457", "976865600000659457")</f>
        <v/>
      </c>
      <c r="B1640" s="2" t="n">
        <v>43181.7069675926</v>
      </c>
      <c r="C1640" t="n">
        <v>0</v>
      </c>
      <c r="D1640" t="n">
        <v>464</v>
      </c>
      <c r="E1640" t="s">
        <v>1636</v>
      </c>
      <c r="F1640">
        <f>HYPERLINK("http://pbs.twimg.com/media/DY5nOMeVwAAur94.jpg", "http://pbs.twimg.com/media/DY5nOMeVwAAur94.jpg")</f>
        <v/>
      </c>
      <c r="G1640" t="s"/>
      <c r="H1640" t="s"/>
      <c r="I1640" t="s"/>
      <c r="J1640" t="n">
        <v>-0.9547</v>
      </c>
      <c r="K1640" t="n">
        <v>0.573</v>
      </c>
      <c r="L1640" t="n">
        <v>0.361</v>
      </c>
      <c r="M1640" t="n">
        <v>0.067</v>
      </c>
    </row>
    <row r="1641" spans="1:13">
      <c r="A1641" s="1">
        <f>HYPERLINK("http://www.twitter.com/NathanBLawrence/status/976865543310532608", "976865543310532608")</f>
        <v/>
      </c>
      <c r="B1641" s="2" t="n">
        <v>43181.70681712963</v>
      </c>
      <c r="C1641" t="n">
        <v>0</v>
      </c>
      <c r="D1641" t="n">
        <v>704</v>
      </c>
      <c r="E1641" t="s">
        <v>1637</v>
      </c>
      <c r="F1641">
        <f>HYPERLINK("http://pbs.twimg.com/media/DY5B0XFU8AAfZFb.jpg", "http://pbs.twimg.com/media/DY5B0XFU8AAfZFb.jpg")</f>
        <v/>
      </c>
      <c r="G1641" t="s"/>
      <c r="H1641" t="s"/>
      <c r="I1641" t="s"/>
      <c r="J1641" t="n">
        <v>0.72</v>
      </c>
      <c r="K1641" t="n">
        <v>0</v>
      </c>
      <c r="L1641" t="n">
        <v>0.777</v>
      </c>
      <c r="M1641" t="n">
        <v>0.223</v>
      </c>
    </row>
    <row r="1642" spans="1:13">
      <c r="A1642" s="1">
        <f>HYPERLINK("http://www.twitter.com/NathanBLawrence/status/976865401463328768", "976865401463328768")</f>
        <v/>
      </c>
      <c r="B1642" s="2" t="n">
        <v>43181.70642361111</v>
      </c>
      <c r="C1642" t="n">
        <v>0</v>
      </c>
      <c r="D1642" t="n">
        <v>43</v>
      </c>
      <c r="E1642" t="s">
        <v>1638</v>
      </c>
      <c r="F1642" t="s"/>
      <c r="G1642" t="s"/>
      <c r="H1642" t="s"/>
      <c r="I1642" t="s"/>
      <c r="J1642" t="n">
        <v>0.9393</v>
      </c>
      <c r="K1642" t="n">
        <v>0</v>
      </c>
      <c r="L1642" t="n">
        <v>0.574</v>
      </c>
      <c r="M1642" t="n">
        <v>0.426</v>
      </c>
    </row>
    <row r="1643" spans="1:13">
      <c r="A1643" s="1">
        <f>HYPERLINK("http://www.twitter.com/NathanBLawrence/status/976609590929514496", "976609590929514496")</f>
        <v/>
      </c>
      <c r="B1643" s="2" t="n">
        <v>43181.00052083333</v>
      </c>
      <c r="C1643" t="n">
        <v>0</v>
      </c>
      <c r="D1643" t="n">
        <v>15</v>
      </c>
      <c r="E1643" t="s">
        <v>1639</v>
      </c>
      <c r="F1643">
        <f>HYPERLINK("http://pbs.twimg.com/media/DYr_HQrVAAAD4nH.jpg", "http://pbs.twimg.com/media/DYr_HQrVAAAD4nH.jpg")</f>
        <v/>
      </c>
      <c r="G1643" t="s"/>
      <c r="H1643" t="s"/>
      <c r="I1643" t="s"/>
      <c r="J1643" t="n">
        <v>0</v>
      </c>
      <c r="K1643" t="n">
        <v>0</v>
      </c>
      <c r="L1643" t="n">
        <v>1</v>
      </c>
      <c r="M1643" t="n">
        <v>0</v>
      </c>
    </row>
    <row r="1644" spans="1:13">
      <c r="A1644" s="1">
        <f>HYPERLINK("http://www.twitter.com/NathanBLawrence/status/976609513125154816", "976609513125154816")</f>
        <v/>
      </c>
      <c r="B1644" s="2" t="n">
        <v>43181.0003125</v>
      </c>
      <c r="C1644" t="n">
        <v>0</v>
      </c>
      <c r="D1644" t="n">
        <v>17</v>
      </c>
      <c r="E1644" t="s">
        <v>1640</v>
      </c>
      <c r="F1644">
        <f>HYPERLINK("http://pbs.twimg.com/media/DYr_RndU8AIrVBT.jpg", "http://pbs.twimg.com/media/DYr_RndU8AIrVBT.jpg")</f>
        <v/>
      </c>
      <c r="G1644" t="s"/>
      <c r="H1644" t="s"/>
      <c r="I1644" t="s"/>
      <c r="J1644" t="n">
        <v>-0.6486</v>
      </c>
      <c r="K1644" t="n">
        <v>0.27</v>
      </c>
      <c r="L1644" t="n">
        <v>0.73</v>
      </c>
      <c r="M1644" t="n">
        <v>0</v>
      </c>
    </row>
    <row r="1645" spans="1:13">
      <c r="A1645" s="1">
        <f>HYPERLINK("http://www.twitter.com/NathanBLawrence/status/976596329035194368", "976596329035194368")</f>
        <v/>
      </c>
      <c r="B1645" s="2" t="n">
        <v>43180.96392361111</v>
      </c>
      <c r="C1645" t="n">
        <v>0</v>
      </c>
      <c r="D1645" t="n">
        <v>19</v>
      </c>
      <c r="E1645" t="s">
        <v>1641</v>
      </c>
      <c r="F1645">
        <f>HYPERLINK("http://pbs.twimg.com/media/DYwWgCuVoAAlpPT.jpg", "http://pbs.twimg.com/media/DYwWgCuVoAAlpPT.jpg")</f>
        <v/>
      </c>
      <c r="G1645">
        <f>HYPERLINK("http://pbs.twimg.com/media/DYwWimCVQAAUv1B.jpg", "http://pbs.twimg.com/media/DYwWimCVQAAUv1B.jpg")</f>
        <v/>
      </c>
      <c r="H1645">
        <f>HYPERLINK("http://pbs.twimg.com/media/DYwWnHPVQAAJQ1F.jpg", "http://pbs.twimg.com/media/DYwWnHPVQAAJQ1F.jpg")</f>
        <v/>
      </c>
      <c r="I1645">
        <f>HYPERLINK("http://pbs.twimg.com/media/DYwWvAxUMAAbc7f.jpg", "http://pbs.twimg.com/media/DYwWvAxUMAAbc7f.jpg")</f>
        <v/>
      </c>
      <c r="J1645" t="n">
        <v>0.2732</v>
      </c>
      <c r="K1645" t="n">
        <v>0</v>
      </c>
      <c r="L1645" t="n">
        <v>0.916</v>
      </c>
      <c r="M1645" t="n">
        <v>0.08400000000000001</v>
      </c>
    </row>
    <row r="1646" spans="1:13">
      <c r="A1646" s="1">
        <f>HYPERLINK("http://www.twitter.com/NathanBLawrence/status/976595235219402752", "976595235219402752")</f>
        <v/>
      </c>
      <c r="B1646" s="2" t="n">
        <v>43180.96090277778</v>
      </c>
      <c r="C1646" t="n">
        <v>0</v>
      </c>
      <c r="D1646" t="n">
        <v>1206</v>
      </c>
      <c r="E1646" t="s">
        <v>1642</v>
      </c>
      <c r="F1646" t="s"/>
      <c r="G1646" t="s"/>
      <c r="H1646" t="s"/>
      <c r="I1646" t="s"/>
      <c r="J1646" t="n">
        <v>0.4019</v>
      </c>
      <c r="K1646" t="n">
        <v>0</v>
      </c>
      <c r="L1646" t="n">
        <v>0.87</v>
      </c>
      <c r="M1646" t="n">
        <v>0.13</v>
      </c>
    </row>
    <row r="1647" spans="1:13">
      <c r="A1647" s="1">
        <f>HYPERLINK("http://www.twitter.com/NathanBLawrence/status/976594058402566145", "976594058402566145")</f>
        <v/>
      </c>
      <c r="B1647" s="2" t="n">
        <v>43180.95766203704</v>
      </c>
      <c r="C1647" t="n">
        <v>0</v>
      </c>
      <c r="D1647" t="n">
        <v>306</v>
      </c>
      <c r="E1647" t="s">
        <v>1643</v>
      </c>
      <c r="F1647" t="s"/>
      <c r="G1647" t="s"/>
      <c r="H1647" t="s"/>
      <c r="I1647" t="s"/>
      <c r="J1647" t="n">
        <v>-0.7695</v>
      </c>
      <c r="K1647" t="n">
        <v>0.3</v>
      </c>
      <c r="L1647" t="n">
        <v>0.583</v>
      </c>
      <c r="M1647" t="n">
        <v>0.117</v>
      </c>
    </row>
    <row r="1648" spans="1:13">
      <c r="A1648" s="1">
        <f>HYPERLINK("http://www.twitter.com/NathanBLawrence/status/976593217914376198", "976593217914376198")</f>
        <v/>
      </c>
      <c r="B1648" s="2" t="n">
        <v>43180.95534722223</v>
      </c>
      <c r="C1648" t="n">
        <v>0</v>
      </c>
      <c r="D1648" t="n">
        <v>7</v>
      </c>
      <c r="E1648" t="s">
        <v>1644</v>
      </c>
      <c r="F1648" t="s"/>
      <c r="G1648" t="s"/>
      <c r="H1648" t="s"/>
      <c r="I1648" t="s"/>
      <c r="J1648" t="n">
        <v>0.2247</v>
      </c>
      <c r="K1648" t="n">
        <v>0.093</v>
      </c>
      <c r="L1648" t="n">
        <v>0.781</v>
      </c>
      <c r="M1648" t="n">
        <v>0.126</v>
      </c>
    </row>
    <row r="1649" spans="1:13">
      <c r="A1649" s="1">
        <f>HYPERLINK("http://www.twitter.com/NathanBLawrence/status/976589309569585152", "976589309569585152")</f>
        <v/>
      </c>
      <c r="B1649" s="2" t="n">
        <v>43180.94456018518</v>
      </c>
      <c r="C1649" t="n">
        <v>0</v>
      </c>
      <c r="D1649" t="n">
        <v>868</v>
      </c>
      <c r="E1649" t="s">
        <v>1645</v>
      </c>
      <c r="F1649">
        <f>HYPERLINK("http://pbs.twimg.com/media/DY1ZJFFUMAAZsBE.jpg", "http://pbs.twimg.com/media/DY1ZJFFUMAAZsBE.jpg")</f>
        <v/>
      </c>
      <c r="G1649" t="s"/>
      <c r="H1649" t="s"/>
      <c r="I1649" t="s"/>
      <c r="J1649" t="n">
        <v>0.128</v>
      </c>
      <c r="K1649" t="n">
        <v>0.089</v>
      </c>
      <c r="L1649" t="n">
        <v>0.8</v>
      </c>
      <c r="M1649" t="n">
        <v>0.111</v>
      </c>
    </row>
    <row r="1650" spans="1:13">
      <c r="A1650" s="1">
        <f>HYPERLINK("http://www.twitter.com/NathanBLawrence/status/976543409786810371", "976543409786810371")</f>
        <v/>
      </c>
      <c r="B1650" s="2" t="n">
        <v>43180.81789351852</v>
      </c>
      <c r="C1650" t="n">
        <v>0</v>
      </c>
      <c r="D1650" t="n">
        <v>50</v>
      </c>
      <c r="E1650" t="s">
        <v>1646</v>
      </c>
      <c r="F1650" t="s"/>
      <c r="G1650" t="s"/>
      <c r="H1650" t="s"/>
      <c r="I1650" t="s"/>
      <c r="J1650" t="n">
        <v>0</v>
      </c>
      <c r="K1650" t="n">
        <v>0</v>
      </c>
      <c r="L1650" t="n">
        <v>1</v>
      </c>
      <c r="M1650" t="n">
        <v>0</v>
      </c>
    </row>
    <row r="1651" spans="1:13">
      <c r="A1651" s="1">
        <f>HYPERLINK("http://www.twitter.com/NathanBLawrence/status/976514867309039616", "976514867309039616")</f>
        <v/>
      </c>
      <c r="B1651" s="2" t="n">
        <v>43180.73913194444</v>
      </c>
      <c r="C1651" t="n">
        <v>0</v>
      </c>
      <c r="D1651" t="n">
        <v>58</v>
      </c>
      <c r="E1651" t="s">
        <v>1647</v>
      </c>
      <c r="F1651">
        <f>HYPERLINK("http://pbs.twimg.com/media/DY0hp9UVAAAfqj9.jpg", "http://pbs.twimg.com/media/DY0hp9UVAAAfqj9.jpg")</f>
        <v/>
      </c>
      <c r="G1651">
        <f>HYPERLINK("http://pbs.twimg.com/media/DY0hp9TV4AAeIMN.jpg", "http://pbs.twimg.com/media/DY0hp9TV4AAeIMN.jpg")</f>
        <v/>
      </c>
      <c r="H1651">
        <f>HYPERLINK("http://pbs.twimg.com/media/DY0hp9eUQAAU8v4.jpg", "http://pbs.twimg.com/media/DY0hp9eUQAAU8v4.jpg")</f>
        <v/>
      </c>
      <c r="I1651">
        <f>HYPERLINK("http://pbs.twimg.com/media/DY0hp9VVwAEsu9r.jpg", "http://pbs.twimg.com/media/DY0hp9VVwAEsu9r.jpg")</f>
        <v/>
      </c>
      <c r="J1651" t="n">
        <v>0.4019</v>
      </c>
      <c r="K1651" t="n">
        <v>0</v>
      </c>
      <c r="L1651" t="n">
        <v>0.87</v>
      </c>
      <c r="M1651" t="n">
        <v>0.13</v>
      </c>
    </row>
    <row r="1652" spans="1:13">
      <c r="A1652" s="1">
        <f>HYPERLINK("http://www.twitter.com/NathanBLawrence/status/976455018688729089", "976455018688729089")</f>
        <v/>
      </c>
      <c r="B1652" s="2" t="n">
        <v>43180.57398148148</v>
      </c>
      <c r="C1652" t="n">
        <v>0</v>
      </c>
      <c r="D1652" t="n">
        <v>6640</v>
      </c>
      <c r="E1652" t="s">
        <v>1648</v>
      </c>
      <c r="F1652">
        <f>HYPERLINK("http://pbs.twimg.com/media/DYz00OoU0AAkCiB.jpg", "http://pbs.twimg.com/media/DYz00OoU0AAkCiB.jpg")</f>
        <v/>
      </c>
      <c r="G1652">
        <f>HYPERLINK("http://pbs.twimg.com/media/DYz00OlV4AAZ5bt.jpg", "http://pbs.twimg.com/media/DYz00OlV4AAZ5bt.jpg")</f>
        <v/>
      </c>
      <c r="H1652" t="s"/>
      <c r="I1652" t="s"/>
      <c r="J1652" t="n">
        <v>-0.6486</v>
      </c>
      <c r="K1652" t="n">
        <v>0.158</v>
      </c>
      <c r="L1652" t="n">
        <v>0.842</v>
      </c>
      <c r="M1652" t="n">
        <v>0</v>
      </c>
    </row>
    <row r="1653" spans="1:13">
      <c r="A1653" s="1">
        <f>HYPERLINK("http://www.twitter.com/NathanBLawrence/status/976333850035957760", "976333850035957760")</f>
        <v/>
      </c>
      <c r="B1653" s="2" t="n">
        <v>43180.23961805556</v>
      </c>
      <c r="C1653" t="n">
        <v>0</v>
      </c>
      <c r="D1653" t="n">
        <v>3</v>
      </c>
      <c r="E1653" t="s">
        <v>1649</v>
      </c>
      <c r="F1653">
        <f>HYPERLINK("http://pbs.twimg.com/media/DYvpkX7XcAIAg7s.jpg", "http://pbs.twimg.com/media/DYvpkX7XcAIAg7s.jpg")</f>
        <v/>
      </c>
      <c r="G1653" t="s"/>
      <c r="H1653" t="s"/>
      <c r="I1653" t="s"/>
      <c r="J1653" t="n">
        <v>0</v>
      </c>
      <c r="K1653" t="n">
        <v>0</v>
      </c>
      <c r="L1653" t="n">
        <v>1</v>
      </c>
      <c r="M1653" t="n">
        <v>0</v>
      </c>
    </row>
    <row r="1654" spans="1:13">
      <c r="A1654" s="1">
        <f>HYPERLINK("http://www.twitter.com/NathanBLawrence/status/976326919603064832", "976326919603064832")</f>
        <v/>
      </c>
      <c r="B1654" s="2" t="n">
        <v>43180.22049768519</v>
      </c>
      <c r="C1654" t="n">
        <v>0</v>
      </c>
      <c r="D1654" t="n">
        <v>1</v>
      </c>
      <c r="E1654" t="s">
        <v>1650</v>
      </c>
      <c r="F1654" t="s"/>
      <c r="G1654" t="s"/>
      <c r="H1654" t="s"/>
      <c r="I1654" t="s"/>
      <c r="J1654" t="n">
        <v>0.5766</v>
      </c>
      <c r="K1654" t="n">
        <v>0</v>
      </c>
      <c r="L1654" t="n">
        <v>0.517</v>
      </c>
      <c r="M1654" t="n">
        <v>0.483</v>
      </c>
    </row>
    <row r="1655" spans="1:13">
      <c r="A1655" s="1">
        <f>HYPERLINK("http://www.twitter.com/NathanBLawrence/status/976324549875781633", "976324549875781633")</f>
        <v/>
      </c>
      <c r="B1655" s="2" t="n">
        <v>43180.21395833333</v>
      </c>
      <c r="C1655" t="n">
        <v>2</v>
      </c>
      <c r="D1655" t="n">
        <v>2</v>
      </c>
      <c r="E1655" t="s">
        <v>1651</v>
      </c>
      <c r="F1655" t="s"/>
      <c r="G1655" t="s"/>
      <c r="H1655" t="s"/>
      <c r="I1655" t="s"/>
      <c r="J1655" t="n">
        <v>0</v>
      </c>
      <c r="K1655" t="n">
        <v>0</v>
      </c>
      <c r="L1655" t="n">
        <v>1</v>
      </c>
      <c r="M1655" t="n">
        <v>0</v>
      </c>
    </row>
    <row r="1656" spans="1:13">
      <c r="A1656" s="1">
        <f>HYPERLINK("http://www.twitter.com/NathanBLawrence/status/976323737703403526", "976323737703403526")</f>
        <v/>
      </c>
      <c r="B1656" s="2" t="n">
        <v>43180.21171296296</v>
      </c>
      <c r="C1656" t="n">
        <v>5</v>
      </c>
      <c r="D1656" t="n">
        <v>6</v>
      </c>
      <c r="E1656" t="s">
        <v>1652</v>
      </c>
      <c r="F1656" t="s"/>
      <c r="G1656" t="s"/>
      <c r="H1656" t="s"/>
      <c r="I1656" t="s"/>
      <c r="J1656" t="n">
        <v>-0.8537</v>
      </c>
      <c r="K1656" t="n">
        <v>0.228</v>
      </c>
      <c r="L1656" t="n">
        <v>0.717</v>
      </c>
      <c r="M1656" t="n">
        <v>0.056</v>
      </c>
    </row>
    <row r="1657" spans="1:13">
      <c r="A1657" s="1">
        <f>HYPERLINK("http://www.twitter.com/NathanBLawrence/status/976310169372999680", "976310169372999680")</f>
        <v/>
      </c>
      <c r="B1657" s="2" t="n">
        <v>43180.17428240741</v>
      </c>
      <c r="C1657" t="n">
        <v>0</v>
      </c>
      <c r="D1657" t="n">
        <v>0</v>
      </c>
      <c r="E1657" t="s">
        <v>1653</v>
      </c>
      <c r="F1657" t="s"/>
      <c r="G1657" t="s"/>
      <c r="H1657" t="s"/>
      <c r="I1657" t="s"/>
      <c r="J1657" t="n">
        <v>0.2686</v>
      </c>
      <c r="K1657" t="n">
        <v>0.038</v>
      </c>
      <c r="L1657" t="n">
        <v>0.895</v>
      </c>
      <c r="M1657" t="n">
        <v>0.067</v>
      </c>
    </row>
    <row r="1658" spans="1:13">
      <c r="A1658" s="1">
        <f>HYPERLINK("http://www.twitter.com/NathanBLawrence/status/976308235585146880", "976308235585146880")</f>
        <v/>
      </c>
      <c r="B1658" s="2" t="n">
        <v>43180.16893518518</v>
      </c>
      <c r="C1658" t="n">
        <v>0</v>
      </c>
      <c r="D1658" t="n">
        <v>6</v>
      </c>
      <c r="E1658" t="s">
        <v>1654</v>
      </c>
      <c r="F1658">
        <f>HYPERLINK("http://pbs.twimg.com/media/DYx90DEU0AABbB5.jpg", "http://pbs.twimg.com/media/DYx90DEU0AABbB5.jpg")</f>
        <v/>
      </c>
      <c r="G1658" t="s"/>
      <c r="H1658" t="s"/>
      <c r="I1658" t="s"/>
      <c r="J1658" t="n">
        <v>0</v>
      </c>
      <c r="K1658" t="n">
        <v>0</v>
      </c>
      <c r="L1658" t="n">
        <v>1</v>
      </c>
      <c r="M1658" t="n">
        <v>0</v>
      </c>
    </row>
    <row r="1659" spans="1:13">
      <c r="A1659" s="1">
        <f>HYPERLINK("http://www.twitter.com/NathanBLawrence/status/976307772890296321", "976307772890296321")</f>
        <v/>
      </c>
      <c r="B1659" s="2" t="n">
        <v>43180.16766203703</v>
      </c>
      <c r="C1659" t="n">
        <v>4</v>
      </c>
      <c r="D1659" t="n">
        <v>3</v>
      </c>
      <c r="E1659" t="s">
        <v>1655</v>
      </c>
      <c r="F1659" t="s"/>
      <c r="G1659" t="s"/>
      <c r="H1659" t="s"/>
      <c r="I1659" t="s"/>
      <c r="J1659" t="n">
        <v>0.5538</v>
      </c>
      <c r="K1659" t="n">
        <v>0.056</v>
      </c>
      <c r="L1659" t="n">
        <v>0.8169999999999999</v>
      </c>
      <c r="M1659" t="n">
        <v>0.127</v>
      </c>
    </row>
    <row r="1660" spans="1:13">
      <c r="A1660" s="1">
        <f>HYPERLINK("http://www.twitter.com/NathanBLawrence/status/976302156394319874", "976302156394319874")</f>
        <v/>
      </c>
      <c r="B1660" s="2" t="n">
        <v>43180.15216435185</v>
      </c>
      <c r="C1660" t="n">
        <v>0</v>
      </c>
      <c r="D1660" t="n">
        <v>18</v>
      </c>
      <c r="E1660" t="s">
        <v>1656</v>
      </c>
      <c r="F1660" t="s"/>
      <c r="G1660" t="s"/>
      <c r="H1660" t="s"/>
      <c r="I1660" t="s"/>
      <c r="J1660" t="n">
        <v>0</v>
      </c>
      <c r="K1660" t="n">
        <v>0</v>
      </c>
      <c r="L1660" t="n">
        <v>1</v>
      </c>
      <c r="M1660" t="n">
        <v>0</v>
      </c>
    </row>
    <row r="1661" spans="1:13">
      <c r="A1661" s="1">
        <f>HYPERLINK("http://www.twitter.com/NathanBLawrence/status/976298499955281920", "976298499955281920")</f>
        <v/>
      </c>
      <c r="B1661" s="2" t="n">
        <v>43180.14207175926</v>
      </c>
      <c r="C1661" t="n">
        <v>0</v>
      </c>
      <c r="D1661" t="n">
        <v>1</v>
      </c>
      <c r="E1661" t="s">
        <v>1657</v>
      </c>
      <c r="F1661" t="s"/>
      <c r="G1661" t="s"/>
      <c r="H1661" t="s"/>
      <c r="I1661" t="s"/>
      <c r="J1661" t="n">
        <v>0.2023</v>
      </c>
      <c r="K1661" t="n">
        <v>0.163</v>
      </c>
      <c r="L1661" t="n">
        <v>0.625</v>
      </c>
      <c r="M1661" t="n">
        <v>0.212</v>
      </c>
    </row>
    <row r="1662" spans="1:13">
      <c r="A1662" s="1">
        <f>HYPERLINK("http://www.twitter.com/NathanBLawrence/status/976282774180003847", "976282774180003847")</f>
        <v/>
      </c>
      <c r="B1662" s="2" t="n">
        <v>43180.09868055556</v>
      </c>
      <c r="C1662" t="n">
        <v>0</v>
      </c>
      <c r="D1662" t="n">
        <v>222</v>
      </c>
      <c r="E1662" t="s">
        <v>1658</v>
      </c>
      <c r="F1662">
        <f>HYPERLINK("http://pbs.twimg.com/media/DWwTPWZUMAAl_t1.jpg", "http://pbs.twimg.com/media/DWwTPWZUMAAl_t1.jpg")</f>
        <v/>
      </c>
      <c r="G1662" t="s"/>
      <c r="H1662" t="s"/>
      <c r="I1662" t="s"/>
      <c r="J1662" t="n">
        <v>0</v>
      </c>
      <c r="K1662" t="n">
        <v>0</v>
      </c>
      <c r="L1662" t="n">
        <v>1</v>
      </c>
      <c r="M1662" t="n">
        <v>0</v>
      </c>
    </row>
    <row r="1663" spans="1:13">
      <c r="A1663" s="1">
        <f>HYPERLINK("http://www.twitter.com/NathanBLawrence/status/976280323695689728", "976280323695689728")</f>
        <v/>
      </c>
      <c r="B1663" s="2" t="n">
        <v>43180.0919212963</v>
      </c>
      <c r="C1663" t="n">
        <v>0</v>
      </c>
      <c r="D1663" t="n">
        <v>2423</v>
      </c>
      <c r="E1663" t="s">
        <v>1659</v>
      </c>
      <c r="F1663">
        <f>HYPERLINK("https://video.twimg.com/ext_tw_video/975817262295932929/pu/vid/1280x720/vZPy2u7Tse_xSv-o.mp4", "https://video.twimg.com/ext_tw_video/975817262295932929/pu/vid/1280x720/vZPy2u7Tse_xSv-o.mp4")</f>
        <v/>
      </c>
      <c r="G1663" t="s"/>
      <c r="H1663" t="s"/>
      <c r="I1663" t="s"/>
      <c r="J1663" t="n">
        <v>0.6588000000000001</v>
      </c>
      <c r="K1663" t="n">
        <v>0</v>
      </c>
      <c r="L1663" t="n">
        <v>0.827</v>
      </c>
      <c r="M1663" t="n">
        <v>0.173</v>
      </c>
    </row>
    <row r="1664" spans="1:13">
      <c r="A1664" s="1">
        <f>HYPERLINK("http://www.twitter.com/NathanBLawrence/status/976267329184071686", "976267329184071686")</f>
        <v/>
      </c>
      <c r="B1664" s="2" t="n">
        <v>43180.05606481482</v>
      </c>
      <c r="C1664" t="n">
        <v>0</v>
      </c>
      <c r="D1664" t="n">
        <v>20</v>
      </c>
      <c r="E1664" t="s">
        <v>1660</v>
      </c>
      <c r="F1664">
        <f>HYPERLINK("http://pbs.twimg.com/media/DYvFSZwVoAADGqC.jpg", "http://pbs.twimg.com/media/DYvFSZwVoAADGqC.jpg")</f>
        <v/>
      </c>
      <c r="G1664" t="s"/>
      <c r="H1664" t="s"/>
      <c r="I1664" t="s"/>
      <c r="J1664" t="n">
        <v>0</v>
      </c>
      <c r="K1664" t="n">
        <v>0</v>
      </c>
      <c r="L1664" t="n">
        <v>1</v>
      </c>
      <c r="M1664" t="n">
        <v>0</v>
      </c>
    </row>
    <row r="1665" spans="1:13">
      <c r="A1665" s="1">
        <f>HYPERLINK("http://www.twitter.com/NathanBLawrence/status/976267017983578112", "976267017983578112")</f>
        <v/>
      </c>
      <c r="B1665" s="2" t="n">
        <v>43180.05519675926</v>
      </c>
      <c r="C1665" t="n">
        <v>0</v>
      </c>
      <c r="D1665" t="n">
        <v>122</v>
      </c>
      <c r="E1665" t="s">
        <v>1661</v>
      </c>
      <c r="F1665" t="s"/>
      <c r="G1665" t="s"/>
      <c r="H1665" t="s"/>
      <c r="I1665" t="s"/>
      <c r="J1665" t="n">
        <v>0</v>
      </c>
      <c r="K1665" t="n">
        <v>0</v>
      </c>
      <c r="L1665" t="n">
        <v>1</v>
      </c>
      <c r="M1665" t="n">
        <v>0</v>
      </c>
    </row>
    <row r="1666" spans="1:13">
      <c r="A1666" s="1">
        <f>HYPERLINK("http://www.twitter.com/NathanBLawrence/status/976266301357338624", "976266301357338624")</f>
        <v/>
      </c>
      <c r="B1666" s="2" t="n">
        <v>43180.05322916667</v>
      </c>
      <c r="C1666" t="n">
        <v>0</v>
      </c>
      <c r="D1666" t="n">
        <v>7</v>
      </c>
      <c r="E1666" t="s">
        <v>1662</v>
      </c>
      <c r="F1666" t="s"/>
      <c r="G1666" t="s"/>
      <c r="H1666" t="s"/>
      <c r="I1666" t="s"/>
      <c r="J1666" t="n">
        <v>0</v>
      </c>
      <c r="K1666" t="n">
        <v>0</v>
      </c>
      <c r="L1666" t="n">
        <v>1</v>
      </c>
      <c r="M1666" t="n">
        <v>0</v>
      </c>
    </row>
    <row r="1667" spans="1:13">
      <c r="A1667" s="1">
        <f>HYPERLINK("http://www.twitter.com/NathanBLawrence/status/976265320364113920", "976265320364113920")</f>
        <v/>
      </c>
      <c r="B1667" s="2" t="n">
        <v>43180.05052083333</v>
      </c>
      <c r="C1667" t="n">
        <v>0</v>
      </c>
      <c r="D1667" t="n">
        <v>578</v>
      </c>
      <c r="E1667" t="s">
        <v>1663</v>
      </c>
      <c r="F1667" t="s"/>
      <c r="G1667" t="s"/>
      <c r="H1667" t="s"/>
      <c r="I1667" t="s"/>
      <c r="J1667" t="n">
        <v>-0.9360000000000001</v>
      </c>
      <c r="K1667" t="n">
        <v>0.443</v>
      </c>
      <c r="L1667" t="n">
        <v>0.5570000000000001</v>
      </c>
      <c r="M1667" t="n">
        <v>0</v>
      </c>
    </row>
    <row r="1668" spans="1:13">
      <c r="A1668" s="1">
        <f>HYPERLINK("http://www.twitter.com/NathanBLawrence/status/976265020953817090", "976265020953817090")</f>
        <v/>
      </c>
      <c r="B1668" s="2" t="n">
        <v>43180.0496875</v>
      </c>
      <c r="C1668" t="n">
        <v>0</v>
      </c>
      <c r="D1668" t="n">
        <v>985</v>
      </c>
      <c r="E1668" t="s">
        <v>1664</v>
      </c>
      <c r="F1668">
        <f>HYPERLINK("https://video.twimg.com/ext_tw_video/976220068202688512/pu/vid/320x180/KHVMoHNRSdLxUF5U.mp4", "https://video.twimg.com/ext_tw_video/976220068202688512/pu/vid/320x180/KHVMoHNRSdLxUF5U.mp4")</f>
        <v/>
      </c>
      <c r="G1668" t="s"/>
      <c r="H1668" t="s"/>
      <c r="I1668" t="s"/>
      <c r="J1668" t="n">
        <v>0.296</v>
      </c>
      <c r="K1668" t="n">
        <v>0</v>
      </c>
      <c r="L1668" t="n">
        <v>0.896</v>
      </c>
      <c r="M1668" t="n">
        <v>0.104</v>
      </c>
    </row>
    <row r="1669" spans="1:13">
      <c r="A1669" s="1">
        <f>HYPERLINK("http://www.twitter.com/NathanBLawrence/status/976264219837566977", "976264219837566977")</f>
        <v/>
      </c>
      <c r="B1669" s="2" t="n">
        <v>43180.04747685185</v>
      </c>
      <c r="C1669" t="n">
        <v>0</v>
      </c>
      <c r="D1669" t="n">
        <v>32</v>
      </c>
      <c r="E1669" t="s">
        <v>1665</v>
      </c>
      <c r="F1669" t="s"/>
      <c r="G1669" t="s"/>
      <c r="H1669" t="s"/>
      <c r="I1669" t="s"/>
      <c r="J1669" t="n">
        <v>-0.5719</v>
      </c>
      <c r="K1669" t="n">
        <v>0.301</v>
      </c>
      <c r="L1669" t="n">
        <v>0.541</v>
      </c>
      <c r="M1669" t="n">
        <v>0.158</v>
      </c>
    </row>
    <row r="1670" spans="1:13">
      <c r="A1670" s="1">
        <f>HYPERLINK("http://www.twitter.com/NathanBLawrence/status/976240522032549889", "976240522032549889")</f>
        <v/>
      </c>
      <c r="B1670" s="2" t="n">
        <v>43179.98208333334</v>
      </c>
      <c r="C1670" t="n">
        <v>0</v>
      </c>
      <c r="D1670" t="n">
        <v>26</v>
      </c>
      <c r="E1670" t="s">
        <v>1666</v>
      </c>
      <c r="F1670">
        <f>HYPERLINK("http://pbs.twimg.com/media/DYxDGZTX4AA_Dq9.jpg", "http://pbs.twimg.com/media/DYxDGZTX4AA_Dq9.jpg")</f>
        <v/>
      </c>
      <c r="G1670" t="s"/>
      <c r="H1670" t="s"/>
      <c r="I1670" t="s"/>
      <c r="J1670" t="n">
        <v>0</v>
      </c>
      <c r="K1670" t="n">
        <v>0</v>
      </c>
      <c r="L1670" t="n">
        <v>1</v>
      </c>
      <c r="M1670" t="n">
        <v>0</v>
      </c>
    </row>
    <row r="1671" spans="1:13">
      <c r="A1671" s="1">
        <f>HYPERLINK("http://www.twitter.com/NathanBLawrence/status/976229021171232768", "976229021171232768")</f>
        <v/>
      </c>
      <c r="B1671" s="2" t="n">
        <v>43179.95034722222</v>
      </c>
      <c r="C1671" t="n">
        <v>17</v>
      </c>
      <c r="D1671" t="n">
        <v>26</v>
      </c>
      <c r="E1671" t="s">
        <v>1667</v>
      </c>
      <c r="F1671">
        <f>HYPERLINK("http://pbs.twimg.com/media/DYxDGZTX4AA_Dq9.jpg", "http://pbs.twimg.com/media/DYxDGZTX4AA_Dq9.jpg")</f>
        <v/>
      </c>
      <c r="G1671" t="s"/>
      <c r="H1671" t="s"/>
      <c r="I1671" t="s"/>
      <c r="J1671" t="n">
        <v>-0.6598000000000001</v>
      </c>
      <c r="K1671" t="n">
        <v>0.101</v>
      </c>
      <c r="L1671" t="n">
        <v>0.899</v>
      </c>
      <c r="M1671" t="n">
        <v>0</v>
      </c>
    </row>
    <row r="1672" spans="1:13">
      <c r="A1672" s="1">
        <f>HYPERLINK("http://www.twitter.com/NathanBLawrence/status/976219656334737409", "976219656334737409")</f>
        <v/>
      </c>
      <c r="B1672" s="2" t="n">
        <v>43179.92451388889</v>
      </c>
      <c r="C1672" t="n">
        <v>0</v>
      </c>
      <c r="D1672" t="n">
        <v>105</v>
      </c>
      <c r="E1672" t="s">
        <v>1668</v>
      </c>
      <c r="F1672">
        <f>HYPERLINK("http://pbs.twimg.com/media/DYwvdiLVoAAPlYL.jpg", "http://pbs.twimg.com/media/DYwvdiLVoAAPlYL.jpg")</f>
        <v/>
      </c>
      <c r="G1672" t="s"/>
      <c r="H1672" t="s"/>
      <c r="I1672" t="s"/>
      <c r="J1672" t="n">
        <v>0.7875</v>
      </c>
      <c r="K1672" t="n">
        <v>0.07000000000000001</v>
      </c>
      <c r="L1672" t="n">
        <v>0.646</v>
      </c>
      <c r="M1672" t="n">
        <v>0.284</v>
      </c>
    </row>
    <row r="1673" spans="1:13">
      <c r="A1673" s="1">
        <f>HYPERLINK("http://www.twitter.com/NathanBLawrence/status/975928139355475968", "975928139355475968")</f>
        <v/>
      </c>
      <c r="B1673" s="2" t="n">
        <v>43179.12006944444</v>
      </c>
      <c r="C1673" t="n">
        <v>0</v>
      </c>
      <c r="D1673" t="n">
        <v>24</v>
      </c>
      <c r="E1673" t="s">
        <v>1669</v>
      </c>
      <c r="F1673">
        <f>HYPERLINK("http://pbs.twimg.com/media/DYqQgtOVwAIjrNe.jpg", "http://pbs.twimg.com/media/DYqQgtOVwAIjrNe.jpg")</f>
        <v/>
      </c>
      <c r="G1673" t="s"/>
      <c r="H1673" t="s"/>
      <c r="I1673" t="s"/>
      <c r="J1673" t="n">
        <v>-0.4184</v>
      </c>
      <c r="K1673" t="n">
        <v>0.157</v>
      </c>
      <c r="L1673" t="n">
        <v>0.843</v>
      </c>
      <c r="M1673" t="n">
        <v>0</v>
      </c>
    </row>
    <row r="1674" spans="1:13">
      <c r="A1674" s="1">
        <f>HYPERLINK("http://www.twitter.com/NathanBLawrence/status/975918964533616646", "975918964533616646")</f>
        <v/>
      </c>
      <c r="B1674" s="2" t="n">
        <v>43179.09475694445</v>
      </c>
      <c r="C1674" t="n">
        <v>0</v>
      </c>
      <c r="D1674" t="n">
        <v>18</v>
      </c>
      <c r="E1674" t="s">
        <v>1670</v>
      </c>
      <c r="F1674">
        <f>HYPERLINK("https://video.twimg.com/ext_tw_video/975908930722324480/pu/vid/1280x720/KZozgcGbMUQghpkV.mp4", "https://video.twimg.com/ext_tw_video/975908930722324480/pu/vid/1280x720/KZozgcGbMUQghpkV.mp4")</f>
        <v/>
      </c>
      <c r="G1674" t="s"/>
      <c r="H1674" t="s"/>
      <c r="I1674" t="s"/>
      <c r="J1674" t="n">
        <v>0.4939</v>
      </c>
      <c r="K1674" t="n">
        <v>0</v>
      </c>
      <c r="L1674" t="n">
        <v>0.789</v>
      </c>
      <c r="M1674" t="n">
        <v>0.211</v>
      </c>
    </row>
    <row r="1675" spans="1:13">
      <c r="A1675" s="1">
        <f>HYPERLINK("http://www.twitter.com/NathanBLawrence/status/975905026068664320", "975905026068664320")</f>
        <v/>
      </c>
      <c r="B1675" s="2" t="n">
        <v>43179.05629629629</v>
      </c>
      <c r="C1675" t="n">
        <v>0</v>
      </c>
      <c r="D1675" t="n">
        <v>19</v>
      </c>
      <c r="E1675" t="s">
        <v>1671</v>
      </c>
      <c r="F1675">
        <f>HYPERLINK("http://pbs.twimg.com/media/DYsSWWpU0AAE-qX.jpg", "http://pbs.twimg.com/media/DYsSWWpU0AAE-qX.jpg")</f>
        <v/>
      </c>
      <c r="G1675" t="s"/>
      <c r="H1675" t="s"/>
      <c r="I1675" t="s"/>
      <c r="J1675" t="n">
        <v>0.6486</v>
      </c>
      <c r="K1675" t="n">
        <v>0</v>
      </c>
      <c r="L1675" t="n">
        <v>0.613</v>
      </c>
      <c r="M1675" t="n">
        <v>0.387</v>
      </c>
    </row>
    <row r="1676" spans="1:13">
      <c r="A1676" s="1">
        <f>HYPERLINK("http://www.twitter.com/NathanBLawrence/status/975889234522464256", "975889234522464256")</f>
        <v/>
      </c>
      <c r="B1676" s="2" t="n">
        <v>43179.0127199074</v>
      </c>
      <c r="C1676" t="n">
        <v>0</v>
      </c>
      <c r="D1676" t="n">
        <v>7</v>
      </c>
      <c r="E1676" t="s">
        <v>1672</v>
      </c>
      <c r="F1676">
        <f>HYPERLINK("http://pbs.twimg.com/media/DYsM9KZUMAEv-Zr.jpg", "http://pbs.twimg.com/media/DYsM9KZUMAEv-Zr.jpg")</f>
        <v/>
      </c>
      <c r="G1676" t="s"/>
      <c r="H1676" t="s"/>
      <c r="I1676" t="s"/>
      <c r="J1676" t="n">
        <v>0</v>
      </c>
      <c r="K1676" t="n">
        <v>0</v>
      </c>
      <c r="L1676" t="n">
        <v>1</v>
      </c>
      <c r="M1676" t="n">
        <v>0</v>
      </c>
    </row>
    <row r="1677" spans="1:13">
      <c r="A1677" s="1">
        <f>HYPERLINK("http://www.twitter.com/NathanBLawrence/status/975889193007304704", "975889193007304704")</f>
        <v/>
      </c>
      <c r="B1677" s="2" t="n">
        <v>43179.01260416667</v>
      </c>
      <c r="C1677" t="n">
        <v>0</v>
      </c>
      <c r="D1677" t="n">
        <v>14</v>
      </c>
      <c r="E1677" t="s">
        <v>1673</v>
      </c>
      <c r="F1677">
        <f>HYPERLINK("http://pbs.twimg.com/media/DYsMqujVwAEe31E.jpg", "http://pbs.twimg.com/media/DYsMqujVwAEe31E.jpg")</f>
        <v/>
      </c>
      <c r="G1677" t="s"/>
      <c r="H1677" t="s"/>
      <c r="I1677" t="s"/>
      <c r="J1677" t="n">
        <v>0</v>
      </c>
      <c r="K1677" t="n">
        <v>0</v>
      </c>
      <c r="L1677" t="n">
        <v>1</v>
      </c>
      <c r="M1677" t="n">
        <v>0</v>
      </c>
    </row>
    <row r="1678" spans="1:13">
      <c r="A1678" s="1">
        <f>HYPERLINK("http://www.twitter.com/NathanBLawrence/status/975883273397252097", "975883273397252097")</f>
        <v/>
      </c>
      <c r="B1678" s="2" t="n">
        <v>43178.99627314815</v>
      </c>
      <c r="C1678" t="n">
        <v>0</v>
      </c>
      <c r="D1678" t="n">
        <v>42</v>
      </c>
      <c r="E1678" t="s">
        <v>1674</v>
      </c>
      <c r="F1678">
        <f>HYPERLINK("https://video.twimg.com/ext_tw_video/975879760139075585/pu/vid/1280x720/LWH7kK_lHqPNZxkb.mp4", "https://video.twimg.com/ext_tw_video/975879760139075585/pu/vid/1280x720/LWH7kK_lHqPNZxkb.mp4")</f>
        <v/>
      </c>
      <c r="G1678" t="s"/>
      <c r="H1678" t="s"/>
      <c r="I1678" t="s"/>
      <c r="J1678" t="n">
        <v>0</v>
      </c>
      <c r="K1678" t="n">
        <v>0</v>
      </c>
      <c r="L1678" t="n">
        <v>1</v>
      </c>
      <c r="M1678" t="n">
        <v>0</v>
      </c>
    </row>
    <row r="1679" spans="1:13">
      <c r="A1679" s="1">
        <f>HYPERLINK("http://www.twitter.com/NathanBLawrence/status/975883258675257344", "975883258675257344")</f>
        <v/>
      </c>
      <c r="B1679" s="2" t="n">
        <v>43178.99622685185</v>
      </c>
      <c r="C1679" t="n">
        <v>0</v>
      </c>
      <c r="D1679" t="n">
        <v>17</v>
      </c>
      <c r="E1679" t="s">
        <v>1675</v>
      </c>
      <c r="F1679">
        <f>HYPERLINK("http://pbs.twimg.com/media/DYsH3drUMAAm2RC.jpg", "http://pbs.twimg.com/media/DYsH3drUMAAm2RC.jpg")</f>
        <v/>
      </c>
      <c r="G1679" t="s"/>
      <c r="H1679" t="s"/>
      <c r="I1679" t="s"/>
      <c r="J1679" t="n">
        <v>0</v>
      </c>
      <c r="K1679" t="n">
        <v>0</v>
      </c>
      <c r="L1679" t="n">
        <v>1</v>
      </c>
      <c r="M1679" t="n">
        <v>0</v>
      </c>
    </row>
    <row r="1680" spans="1:13">
      <c r="A1680" s="1">
        <f>HYPERLINK("http://www.twitter.com/NathanBLawrence/status/975882913546895360", "975882913546895360")</f>
        <v/>
      </c>
      <c r="B1680" s="2" t="n">
        <v>43178.99527777778</v>
      </c>
      <c r="C1680" t="n">
        <v>0</v>
      </c>
      <c r="D1680" t="n">
        <v>2</v>
      </c>
      <c r="E1680" t="s">
        <v>1676</v>
      </c>
      <c r="F1680">
        <f>HYPERLINK("http://pbs.twimg.com/media/DYrfJhdVAAAYmz4.jpg", "http://pbs.twimg.com/media/DYrfJhdVAAAYmz4.jpg")</f>
        <v/>
      </c>
      <c r="G1680" t="s"/>
      <c r="H1680" t="s"/>
      <c r="I1680" t="s"/>
      <c r="J1680" t="n">
        <v>0</v>
      </c>
      <c r="K1680" t="n">
        <v>0</v>
      </c>
      <c r="L1680" t="n">
        <v>1</v>
      </c>
      <c r="M1680" t="n">
        <v>0</v>
      </c>
    </row>
    <row r="1681" spans="1:13">
      <c r="A1681" s="1">
        <f>HYPERLINK("http://www.twitter.com/NathanBLawrence/status/975882901324812288", "975882901324812288")</f>
        <v/>
      </c>
      <c r="B1681" s="2" t="n">
        <v>43178.99524305556</v>
      </c>
      <c r="C1681" t="n">
        <v>0</v>
      </c>
      <c r="D1681" t="n">
        <v>2</v>
      </c>
      <c r="E1681" t="s">
        <v>1677</v>
      </c>
      <c r="F1681">
        <f>HYPERLINK("http://pbs.twimg.com/media/DYrfLHyVMAEiQHj.jpg", "http://pbs.twimg.com/media/DYrfLHyVMAEiQHj.jpg")</f>
        <v/>
      </c>
      <c r="G1681" t="s"/>
      <c r="H1681" t="s"/>
      <c r="I1681" t="s"/>
      <c r="J1681" t="n">
        <v>0</v>
      </c>
      <c r="K1681" t="n">
        <v>0</v>
      </c>
      <c r="L1681" t="n">
        <v>1</v>
      </c>
      <c r="M1681" t="n">
        <v>0</v>
      </c>
    </row>
    <row r="1682" spans="1:13">
      <c r="A1682" s="1">
        <f>HYPERLINK("http://www.twitter.com/NathanBLawrence/status/975882886162284544", "975882886162284544")</f>
        <v/>
      </c>
      <c r="B1682" s="2" t="n">
        <v>43178.99519675926</v>
      </c>
      <c r="C1682" t="n">
        <v>0</v>
      </c>
      <c r="D1682" t="n">
        <v>3</v>
      </c>
      <c r="E1682" t="s">
        <v>1677</v>
      </c>
      <c r="F1682">
        <f>HYPERLINK("http://pbs.twimg.com/media/DYrfQoeVQAA7xBg.jpg", "http://pbs.twimg.com/media/DYrfQoeVQAA7xBg.jpg")</f>
        <v/>
      </c>
      <c r="G1682" t="s"/>
      <c r="H1682" t="s"/>
      <c r="I1682" t="s"/>
      <c r="J1682" t="n">
        <v>0</v>
      </c>
      <c r="K1682" t="n">
        <v>0</v>
      </c>
      <c r="L1682" t="n">
        <v>1</v>
      </c>
      <c r="M1682" t="n">
        <v>0</v>
      </c>
    </row>
    <row r="1683" spans="1:13">
      <c r="A1683" s="1">
        <f>HYPERLINK("http://www.twitter.com/NathanBLawrence/status/975882875223658496", "975882875223658496")</f>
        <v/>
      </c>
      <c r="B1683" s="2" t="n">
        <v>43178.99517361111</v>
      </c>
      <c r="C1683" t="n">
        <v>0</v>
      </c>
      <c r="D1683" t="n">
        <v>4</v>
      </c>
      <c r="E1683" t="s">
        <v>1677</v>
      </c>
      <c r="F1683">
        <f>HYPERLINK("http://pbs.twimg.com/media/DYrfTASVoAEJnVp.jpg", "http://pbs.twimg.com/media/DYrfTASVoAEJnVp.jpg")</f>
        <v/>
      </c>
      <c r="G1683" t="s"/>
      <c r="H1683" t="s"/>
      <c r="I1683" t="s"/>
      <c r="J1683" t="n">
        <v>0</v>
      </c>
      <c r="K1683" t="n">
        <v>0</v>
      </c>
      <c r="L1683" t="n">
        <v>1</v>
      </c>
      <c r="M1683" t="n">
        <v>0</v>
      </c>
    </row>
    <row r="1684" spans="1:13">
      <c r="A1684" s="1">
        <f>HYPERLINK("http://www.twitter.com/NathanBLawrence/status/975882545563865095", "975882545563865095")</f>
        <v/>
      </c>
      <c r="B1684" s="2" t="n">
        <v>43178.99425925926</v>
      </c>
      <c r="C1684" t="n">
        <v>0</v>
      </c>
      <c r="D1684" t="n">
        <v>18</v>
      </c>
      <c r="E1684" t="s">
        <v>1678</v>
      </c>
      <c r="F1684" t="s"/>
      <c r="G1684" t="s"/>
      <c r="H1684" t="s"/>
      <c r="I1684" t="s"/>
      <c r="J1684" t="n">
        <v>0</v>
      </c>
      <c r="K1684" t="n">
        <v>0</v>
      </c>
      <c r="L1684" t="n">
        <v>1</v>
      </c>
      <c r="M1684" t="n">
        <v>0</v>
      </c>
    </row>
    <row r="1685" spans="1:13">
      <c r="A1685" s="1">
        <f>HYPERLINK("http://www.twitter.com/NathanBLawrence/status/975882427007688705", "975882427007688705")</f>
        <v/>
      </c>
      <c r="B1685" s="2" t="n">
        <v>43178.99393518519</v>
      </c>
      <c r="C1685" t="n">
        <v>0</v>
      </c>
      <c r="D1685" t="n">
        <v>11</v>
      </c>
      <c r="E1685" t="s">
        <v>1679</v>
      </c>
      <c r="F1685" t="s"/>
      <c r="G1685" t="s"/>
      <c r="H1685" t="s"/>
      <c r="I1685" t="s"/>
      <c r="J1685" t="n">
        <v>0</v>
      </c>
      <c r="K1685" t="n">
        <v>0</v>
      </c>
      <c r="L1685" t="n">
        <v>1</v>
      </c>
      <c r="M1685" t="n">
        <v>0</v>
      </c>
    </row>
    <row r="1686" spans="1:13">
      <c r="A1686" s="1">
        <f>HYPERLINK("http://www.twitter.com/NathanBLawrence/status/975818080013217793", "975818080013217793")</f>
        <v/>
      </c>
      <c r="B1686" s="2" t="n">
        <v>43178.81636574074</v>
      </c>
      <c r="C1686" t="n">
        <v>0</v>
      </c>
      <c r="D1686" t="n">
        <v>16</v>
      </c>
      <c r="E1686" t="s">
        <v>1680</v>
      </c>
      <c r="F1686" t="s"/>
      <c r="G1686" t="s"/>
      <c r="H1686" t="s"/>
      <c r="I1686" t="s"/>
      <c r="J1686" t="n">
        <v>0</v>
      </c>
      <c r="K1686" t="n">
        <v>0</v>
      </c>
      <c r="L1686" t="n">
        <v>1</v>
      </c>
      <c r="M1686" t="n">
        <v>0</v>
      </c>
    </row>
    <row r="1687" spans="1:13">
      <c r="A1687" s="1">
        <f>HYPERLINK("http://www.twitter.com/NathanBLawrence/status/975813266659315713", "975813266659315713")</f>
        <v/>
      </c>
      <c r="B1687" s="2" t="n">
        <v>43178.80309027778</v>
      </c>
      <c r="C1687" t="n">
        <v>0</v>
      </c>
      <c r="D1687" t="n">
        <v>70</v>
      </c>
      <c r="E1687" t="s">
        <v>1681</v>
      </c>
      <c r="F1687">
        <f>HYPERLINK("http://pbs.twimg.com/media/DYgJz05XcAAqjjw.jpg", "http://pbs.twimg.com/media/DYgJz05XcAAqjjw.jpg")</f>
        <v/>
      </c>
      <c r="G1687" t="s"/>
      <c r="H1687" t="s"/>
      <c r="I1687" t="s"/>
      <c r="J1687" t="n">
        <v>-0.5106000000000001</v>
      </c>
      <c r="K1687" t="n">
        <v>0.292</v>
      </c>
      <c r="L1687" t="n">
        <v>0.708</v>
      </c>
      <c r="M1687" t="n">
        <v>0</v>
      </c>
    </row>
    <row r="1688" spans="1:13">
      <c r="A1688" s="1">
        <f>HYPERLINK("http://www.twitter.com/NathanBLawrence/status/975775987714666496", "975775987714666496")</f>
        <v/>
      </c>
      <c r="B1688" s="2" t="n">
        <v>43178.7002199074</v>
      </c>
      <c r="C1688" t="n">
        <v>0</v>
      </c>
      <c r="D1688" t="n">
        <v>1</v>
      </c>
      <c r="E1688" t="s">
        <v>1682</v>
      </c>
      <c r="F1688">
        <f>HYPERLINK("http://pbs.twimg.com/media/DYqBllFWAAEZdHC.jpg", "http://pbs.twimg.com/media/DYqBllFWAAEZdHC.jpg")</f>
        <v/>
      </c>
      <c r="G1688" t="s"/>
      <c r="H1688" t="s"/>
      <c r="I1688" t="s"/>
      <c r="J1688" t="n">
        <v>0.5461</v>
      </c>
      <c r="K1688" t="n">
        <v>0</v>
      </c>
      <c r="L1688" t="n">
        <v>0.665</v>
      </c>
      <c r="M1688" t="n">
        <v>0.335</v>
      </c>
    </row>
    <row r="1689" spans="1:13">
      <c r="A1689" s="1">
        <f>HYPERLINK("http://www.twitter.com/NathanBLawrence/status/975775383407783936", "975775383407783936")</f>
        <v/>
      </c>
      <c r="B1689" s="2" t="n">
        <v>43178.69855324074</v>
      </c>
      <c r="C1689" t="n">
        <v>0</v>
      </c>
      <c r="D1689" t="n">
        <v>5</v>
      </c>
      <c r="E1689" t="s">
        <v>1683</v>
      </c>
      <c r="F1689">
        <f>HYPERLINK("http://pbs.twimg.com/media/DYqDPx6V4AMeR_J.jpg", "http://pbs.twimg.com/media/DYqDPx6V4AMeR_J.jpg")</f>
        <v/>
      </c>
      <c r="G1689" t="s"/>
      <c r="H1689" t="s"/>
      <c r="I1689" t="s"/>
      <c r="J1689" t="n">
        <v>-0.4588</v>
      </c>
      <c r="K1689" t="n">
        <v>0.188</v>
      </c>
      <c r="L1689" t="n">
        <v>0.8120000000000001</v>
      </c>
      <c r="M1689" t="n">
        <v>0</v>
      </c>
    </row>
    <row r="1690" spans="1:13">
      <c r="A1690" s="1">
        <f>HYPERLINK("http://www.twitter.com/NathanBLawrence/status/975698074273185802", "975698074273185802")</f>
        <v/>
      </c>
      <c r="B1690" s="2" t="n">
        <v>43178.48521990741</v>
      </c>
      <c r="C1690" t="n">
        <v>0</v>
      </c>
      <c r="D1690" t="n">
        <v>16</v>
      </c>
      <c r="E1690" t="s">
        <v>1684</v>
      </c>
      <c r="F1690">
        <f>HYPERLINK("http://pbs.twimg.com/media/DYmMlwJWsAEP7xg.jpg", "http://pbs.twimg.com/media/DYmMlwJWsAEP7xg.jpg")</f>
        <v/>
      </c>
      <c r="G1690">
        <f>HYPERLINK("http://pbs.twimg.com/media/DYmMmI9WAAEwEf1.jpg", "http://pbs.twimg.com/media/DYmMmI9WAAEwEf1.jpg")</f>
        <v/>
      </c>
      <c r="H1690">
        <f>HYPERLINK("http://pbs.twimg.com/media/DYmMmlmWAAEZchT.jpg", "http://pbs.twimg.com/media/DYmMmlmWAAEZchT.jpg")</f>
        <v/>
      </c>
      <c r="I1690">
        <f>HYPERLINK("http://pbs.twimg.com/media/DYmMm8cW4AEz3iM.jpg", "http://pbs.twimg.com/media/DYmMm8cW4AEz3iM.jpg")</f>
        <v/>
      </c>
      <c r="J1690" t="n">
        <v>0</v>
      </c>
      <c r="K1690" t="n">
        <v>0</v>
      </c>
      <c r="L1690" t="n">
        <v>1</v>
      </c>
      <c r="M1690" t="n">
        <v>0</v>
      </c>
    </row>
    <row r="1691" spans="1:13">
      <c r="A1691" s="1">
        <f>HYPERLINK("http://www.twitter.com/NathanBLawrence/status/975617594152685568", "975617594152685568")</f>
        <v/>
      </c>
      <c r="B1691" s="2" t="n">
        <v>43178.26313657407</v>
      </c>
      <c r="C1691" t="n">
        <v>1</v>
      </c>
      <c r="D1691" t="n">
        <v>1</v>
      </c>
      <c r="E1691" t="s">
        <v>1685</v>
      </c>
      <c r="F1691" t="s"/>
      <c r="G1691" t="s"/>
      <c r="H1691" t="s"/>
      <c r="I1691" t="s"/>
      <c r="J1691" t="n">
        <v>-0.5362</v>
      </c>
      <c r="K1691" t="n">
        <v>0.178</v>
      </c>
      <c r="L1691" t="n">
        <v>0.822</v>
      </c>
      <c r="M1691" t="n">
        <v>0</v>
      </c>
    </row>
    <row r="1692" spans="1:13">
      <c r="A1692" s="1">
        <f>HYPERLINK("http://www.twitter.com/NathanBLawrence/status/975613366537420800", "975613366537420800")</f>
        <v/>
      </c>
      <c r="B1692" s="2" t="n">
        <v>43178.25146990741</v>
      </c>
      <c r="C1692" t="n">
        <v>0</v>
      </c>
      <c r="D1692" t="n">
        <v>530</v>
      </c>
      <c r="E1692" t="s">
        <v>1686</v>
      </c>
      <c r="F1692">
        <f>HYPERLINK("https://video.twimg.com/ext_tw_video/975545201304506368/pu/vid/720x720/tFzwU7YY1lrWVXwo.mp4", "https://video.twimg.com/ext_tw_video/975545201304506368/pu/vid/720x720/tFzwU7YY1lrWVXwo.mp4")</f>
        <v/>
      </c>
      <c r="G1692" t="s"/>
      <c r="H1692" t="s"/>
      <c r="I1692" t="s"/>
      <c r="J1692" t="n">
        <v>0.128</v>
      </c>
      <c r="K1692" t="n">
        <v>0</v>
      </c>
      <c r="L1692" t="n">
        <v>0.9409999999999999</v>
      </c>
      <c r="M1692" t="n">
        <v>0.059</v>
      </c>
    </row>
    <row r="1693" spans="1:13">
      <c r="A1693" s="1">
        <f>HYPERLINK("http://www.twitter.com/NathanBLawrence/status/975611173172400128", "975611173172400128")</f>
        <v/>
      </c>
      <c r="B1693" s="2" t="n">
        <v>43178.24541666666</v>
      </c>
      <c r="C1693" t="n">
        <v>0</v>
      </c>
      <c r="D1693" t="n">
        <v>9</v>
      </c>
      <c r="E1693" t="s">
        <v>1687</v>
      </c>
      <c r="F1693">
        <f>HYPERLINK("http://pbs.twimg.com/media/DYbX8WQXcAAEoNp.jpg", "http://pbs.twimg.com/media/DYbX8WQXcAAEoNp.jpg")</f>
        <v/>
      </c>
      <c r="G1693" t="s"/>
      <c r="H1693" t="s"/>
      <c r="I1693" t="s"/>
      <c r="J1693" t="n">
        <v>0.296</v>
      </c>
      <c r="K1693" t="n">
        <v>0</v>
      </c>
      <c r="L1693" t="n">
        <v>0.879</v>
      </c>
      <c r="M1693" t="n">
        <v>0.121</v>
      </c>
    </row>
    <row r="1694" spans="1:13">
      <c r="A1694" s="1">
        <f>HYPERLINK("http://www.twitter.com/NathanBLawrence/status/975610989864505344", "975610989864505344")</f>
        <v/>
      </c>
      <c r="B1694" s="2" t="n">
        <v>43178.24490740741</v>
      </c>
      <c r="C1694" t="n">
        <v>0</v>
      </c>
      <c r="D1694" t="n">
        <v>1053</v>
      </c>
      <c r="E1694" t="s">
        <v>1688</v>
      </c>
      <c r="F1694">
        <f>HYPERLINK("https://video.twimg.com/ext_tw_video/948993496337170432/pu/vid/1280x720/hO5MUMfmehHoIH5k.mp4", "https://video.twimg.com/ext_tw_video/948993496337170432/pu/vid/1280x720/hO5MUMfmehHoIH5k.mp4")</f>
        <v/>
      </c>
      <c r="G1694" t="s"/>
      <c r="H1694" t="s"/>
      <c r="I1694" t="s"/>
      <c r="J1694" t="n">
        <v>0</v>
      </c>
      <c r="K1694" t="n">
        <v>0</v>
      </c>
      <c r="L1694" t="n">
        <v>1</v>
      </c>
      <c r="M1694" t="n">
        <v>0</v>
      </c>
    </row>
    <row r="1695" spans="1:13">
      <c r="A1695" s="1">
        <f>HYPERLINK("http://www.twitter.com/NathanBLawrence/status/975610877780090880", "975610877780090880")</f>
        <v/>
      </c>
      <c r="B1695" s="2" t="n">
        <v>43178.24459490741</v>
      </c>
      <c r="C1695" t="n">
        <v>0</v>
      </c>
      <c r="D1695" t="n">
        <v>28</v>
      </c>
      <c r="E1695" t="s">
        <v>1689</v>
      </c>
      <c r="F1695" t="s"/>
      <c r="G1695" t="s"/>
      <c r="H1695" t="s"/>
      <c r="I1695" t="s"/>
      <c r="J1695" t="n">
        <v>0.3818</v>
      </c>
      <c r="K1695" t="n">
        <v>0</v>
      </c>
      <c r="L1695" t="n">
        <v>0.755</v>
      </c>
      <c r="M1695" t="n">
        <v>0.245</v>
      </c>
    </row>
    <row r="1696" spans="1:13">
      <c r="A1696" s="1">
        <f>HYPERLINK("http://www.twitter.com/NathanBLawrence/status/975610736952119296", "975610736952119296")</f>
        <v/>
      </c>
      <c r="B1696" s="2" t="n">
        <v>43178.24421296296</v>
      </c>
      <c r="C1696" t="n">
        <v>0</v>
      </c>
      <c r="D1696" t="n">
        <v>61</v>
      </c>
      <c r="E1696" t="s">
        <v>1690</v>
      </c>
      <c r="F1696" t="s"/>
      <c r="G1696" t="s"/>
      <c r="H1696" t="s"/>
      <c r="I1696" t="s"/>
      <c r="J1696" t="n">
        <v>0</v>
      </c>
      <c r="K1696" t="n">
        <v>0</v>
      </c>
      <c r="L1696" t="n">
        <v>1</v>
      </c>
      <c r="M1696" t="n">
        <v>0</v>
      </c>
    </row>
    <row r="1697" spans="1:13">
      <c r="A1697" s="1">
        <f>HYPERLINK("http://www.twitter.com/NathanBLawrence/status/975603177327382528", "975603177327382528")</f>
        <v/>
      </c>
      <c r="B1697" s="2" t="n">
        <v>43178.2233449074</v>
      </c>
      <c r="C1697" t="n">
        <v>0</v>
      </c>
      <c r="D1697" t="n">
        <v>3</v>
      </c>
      <c r="E1697" t="s">
        <v>1691</v>
      </c>
      <c r="F1697" t="s"/>
      <c r="G1697" t="s"/>
      <c r="H1697" t="s"/>
      <c r="I1697" t="s"/>
      <c r="J1697" t="n">
        <v>0</v>
      </c>
      <c r="K1697" t="n">
        <v>0</v>
      </c>
      <c r="L1697" t="n">
        <v>1</v>
      </c>
      <c r="M1697" t="n">
        <v>0</v>
      </c>
    </row>
    <row r="1698" spans="1:13">
      <c r="A1698" s="1">
        <f>HYPERLINK("http://www.twitter.com/NathanBLawrence/status/975601772550029313", "975601772550029313")</f>
        <v/>
      </c>
      <c r="B1698" s="2" t="n">
        <v>43178.21947916667</v>
      </c>
      <c r="C1698" t="n">
        <v>0</v>
      </c>
      <c r="D1698" t="n">
        <v>2092</v>
      </c>
      <c r="E1698" t="s">
        <v>1692</v>
      </c>
      <c r="F1698">
        <f>HYPERLINK("https://video.twimg.com/ext_tw_video/975529415395368960/pu/vid/1280x720/r_RNiuyCWCqEsjCC.mp4", "https://video.twimg.com/ext_tw_video/975529415395368960/pu/vid/1280x720/r_RNiuyCWCqEsjCC.mp4")</f>
        <v/>
      </c>
      <c r="G1698" t="s"/>
      <c r="H1698" t="s"/>
      <c r="I1698" t="s"/>
      <c r="J1698" t="n">
        <v>-0.6486</v>
      </c>
      <c r="K1698" t="n">
        <v>0.209</v>
      </c>
      <c r="L1698" t="n">
        <v>0.791</v>
      </c>
      <c r="M1698" t="n">
        <v>0</v>
      </c>
    </row>
    <row r="1699" spans="1:13">
      <c r="A1699" s="1">
        <f>HYPERLINK("http://www.twitter.com/NathanBLawrence/status/975600071910789122", "975600071910789122")</f>
        <v/>
      </c>
      <c r="B1699" s="2" t="n">
        <v>43178.2147800926</v>
      </c>
      <c r="C1699" t="n">
        <v>0</v>
      </c>
      <c r="D1699" t="n">
        <v>22</v>
      </c>
      <c r="E1699" t="s">
        <v>1693</v>
      </c>
      <c r="F1699">
        <f>HYPERLINK("http://pbs.twimg.com/media/DYht_N8W4AAoP7g.jpg", "http://pbs.twimg.com/media/DYht_N8W4AAoP7g.jpg")</f>
        <v/>
      </c>
      <c r="G1699" t="s"/>
      <c r="H1699" t="s"/>
      <c r="I1699" t="s"/>
      <c r="J1699" t="n">
        <v>0</v>
      </c>
      <c r="K1699" t="n">
        <v>0</v>
      </c>
      <c r="L1699" t="n">
        <v>1</v>
      </c>
      <c r="M1699" t="n">
        <v>0</v>
      </c>
    </row>
    <row r="1700" spans="1:13">
      <c r="A1700" s="1">
        <f>HYPERLINK("http://www.twitter.com/NathanBLawrence/status/975600029175111681", "975600029175111681")</f>
        <v/>
      </c>
      <c r="B1700" s="2" t="n">
        <v>43178.21466435185</v>
      </c>
      <c r="C1700" t="n">
        <v>0</v>
      </c>
      <c r="D1700" t="n">
        <v>279</v>
      </c>
      <c r="E1700" t="s">
        <v>1694</v>
      </c>
      <c r="F1700" t="s"/>
      <c r="G1700" t="s"/>
      <c r="H1700" t="s"/>
      <c r="I1700" t="s"/>
      <c r="J1700" t="n">
        <v>-0.3182</v>
      </c>
      <c r="K1700" t="n">
        <v>0.095</v>
      </c>
      <c r="L1700" t="n">
        <v>0.905</v>
      </c>
      <c r="M1700" t="n">
        <v>0</v>
      </c>
    </row>
    <row r="1701" spans="1:13">
      <c r="A1701" s="1">
        <f>HYPERLINK("http://www.twitter.com/NathanBLawrence/status/975595288097325056", "975595288097325056")</f>
        <v/>
      </c>
      <c r="B1701" s="2" t="n">
        <v>43178.20158564814</v>
      </c>
      <c r="C1701" t="n">
        <v>0</v>
      </c>
      <c r="D1701" t="n">
        <v>22</v>
      </c>
      <c r="E1701" t="s">
        <v>1695</v>
      </c>
      <c r="F1701">
        <f>HYPERLINK("http://pbs.twimg.com/media/DYnsWNVUQAERAqX.jpg", "http://pbs.twimg.com/media/DYnsWNVUQAERAqX.jpg")</f>
        <v/>
      </c>
      <c r="G1701" t="s"/>
      <c r="H1701" t="s"/>
      <c r="I1701" t="s"/>
      <c r="J1701" t="n">
        <v>0.1759</v>
      </c>
      <c r="K1701" t="n">
        <v>0</v>
      </c>
      <c r="L1701" t="n">
        <v>0.909</v>
      </c>
      <c r="M1701" t="n">
        <v>0.091</v>
      </c>
    </row>
    <row r="1702" spans="1:13">
      <c r="A1702" s="1">
        <f>HYPERLINK("http://www.twitter.com/NathanBLawrence/status/975595230576697344", "975595230576697344")</f>
        <v/>
      </c>
      <c r="B1702" s="2" t="n">
        <v>43178.20142361111</v>
      </c>
      <c r="C1702" t="n">
        <v>0</v>
      </c>
      <c r="D1702" t="n">
        <v>21</v>
      </c>
      <c r="E1702" t="s">
        <v>1696</v>
      </c>
      <c r="F1702">
        <f>HYPERLINK("http://pbs.twimg.com/media/DYnti8QVAAARqut.jpg", "http://pbs.twimg.com/media/DYnti8QVAAARqut.jpg")</f>
        <v/>
      </c>
      <c r="G1702" t="s"/>
      <c r="H1702" t="s"/>
      <c r="I1702" t="s"/>
      <c r="J1702" t="n">
        <v>0.8011</v>
      </c>
      <c r="K1702" t="n">
        <v>0</v>
      </c>
      <c r="L1702" t="n">
        <v>0.556</v>
      </c>
      <c r="M1702" t="n">
        <v>0.444</v>
      </c>
    </row>
    <row r="1703" spans="1:13">
      <c r="A1703" s="1">
        <f>HYPERLINK("http://www.twitter.com/NathanBLawrence/status/975594581810143233", "975594581810143233")</f>
        <v/>
      </c>
      <c r="B1703" s="2" t="n">
        <v>43178.19962962963</v>
      </c>
      <c r="C1703" t="n">
        <v>0</v>
      </c>
      <c r="D1703" t="n">
        <v>8</v>
      </c>
      <c r="E1703" t="s">
        <v>1697</v>
      </c>
      <c r="F1703" t="s"/>
      <c r="G1703" t="s"/>
      <c r="H1703" t="s"/>
      <c r="I1703" t="s"/>
      <c r="J1703" t="n">
        <v>-0.8016</v>
      </c>
      <c r="K1703" t="n">
        <v>0.306</v>
      </c>
      <c r="L1703" t="n">
        <v>0.612</v>
      </c>
      <c r="M1703" t="n">
        <v>0.083</v>
      </c>
    </row>
    <row r="1704" spans="1:13">
      <c r="A1704" s="1">
        <f>HYPERLINK("http://www.twitter.com/NathanBLawrence/status/975526030269173760", "975526030269173760")</f>
        <v/>
      </c>
      <c r="B1704" s="2" t="n">
        <v>43178.01046296296</v>
      </c>
      <c r="C1704" t="n">
        <v>0</v>
      </c>
      <c r="D1704" t="n">
        <v>17</v>
      </c>
      <c r="E1704" t="s">
        <v>1698</v>
      </c>
      <c r="F1704">
        <f>HYPERLINK("https://video.twimg.com/ext_tw_video/975433762166136832/pu/vid/240x180/Tke_XzhXWCainvCR.mp4", "https://video.twimg.com/ext_tw_video/975433762166136832/pu/vid/240x180/Tke_XzhXWCainvCR.mp4")</f>
        <v/>
      </c>
      <c r="G1704" t="s"/>
      <c r="H1704" t="s"/>
      <c r="I1704" t="s"/>
      <c r="J1704" t="n">
        <v>0</v>
      </c>
      <c r="K1704" t="n">
        <v>0</v>
      </c>
      <c r="L1704" t="n">
        <v>1</v>
      </c>
      <c r="M1704" t="n">
        <v>0</v>
      </c>
    </row>
    <row r="1705" spans="1:13">
      <c r="A1705" s="1">
        <f>HYPERLINK("http://www.twitter.com/NathanBLawrence/status/975432181337247744", "975432181337247744")</f>
        <v/>
      </c>
      <c r="B1705" s="2" t="n">
        <v>43177.75149305556</v>
      </c>
      <c r="C1705" t="n">
        <v>0</v>
      </c>
      <c r="D1705" t="n">
        <v>654</v>
      </c>
      <c r="E1705" t="s">
        <v>1699</v>
      </c>
      <c r="F1705" t="s"/>
      <c r="G1705" t="s"/>
      <c r="H1705" t="s"/>
      <c r="I1705" t="s"/>
      <c r="J1705" t="n">
        <v>0.4738</v>
      </c>
      <c r="K1705" t="n">
        <v>0</v>
      </c>
      <c r="L1705" t="n">
        <v>0.872</v>
      </c>
      <c r="M1705" t="n">
        <v>0.128</v>
      </c>
    </row>
    <row r="1706" spans="1:13">
      <c r="A1706" s="1">
        <f>HYPERLINK("http://www.twitter.com/NathanBLawrence/status/975430402084098049", "975430402084098049")</f>
        <v/>
      </c>
      <c r="B1706" s="2" t="n">
        <v>43177.74658564815</v>
      </c>
      <c r="C1706" t="n">
        <v>0</v>
      </c>
      <c r="D1706" t="n">
        <v>29</v>
      </c>
      <c r="E1706" t="s">
        <v>1700</v>
      </c>
      <c r="F1706">
        <f>HYPERLINK("http://pbs.twimg.com/media/DQtXpL7W0AEABaV.jpg", "http://pbs.twimg.com/media/DQtXpL7W0AEABaV.jpg")</f>
        <v/>
      </c>
      <c r="G1706" t="s"/>
      <c r="H1706" t="s"/>
      <c r="I1706" t="s"/>
      <c r="J1706" t="n">
        <v>0</v>
      </c>
      <c r="K1706" t="n">
        <v>0</v>
      </c>
      <c r="L1706" t="n">
        <v>1</v>
      </c>
      <c r="M1706" t="n">
        <v>0</v>
      </c>
    </row>
    <row r="1707" spans="1:13">
      <c r="A1707" s="1">
        <f>HYPERLINK("http://www.twitter.com/NathanBLawrence/status/975424244782895104", "975424244782895104")</f>
        <v/>
      </c>
      <c r="B1707" s="2" t="n">
        <v>43177.72959490741</v>
      </c>
      <c r="C1707" t="n">
        <v>0</v>
      </c>
      <c r="D1707" t="n">
        <v>13</v>
      </c>
      <c r="E1707" t="s">
        <v>1701</v>
      </c>
      <c r="F1707">
        <f>HYPERLINK("http://pbs.twimg.com/media/DYljrP-W4AA3Qin.jpg", "http://pbs.twimg.com/media/DYljrP-W4AA3Qin.jpg")</f>
        <v/>
      </c>
      <c r="G1707" t="s"/>
      <c r="H1707" t="s"/>
      <c r="I1707" t="s"/>
      <c r="J1707" t="n">
        <v>0</v>
      </c>
      <c r="K1707" t="n">
        <v>0</v>
      </c>
      <c r="L1707" t="n">
        <v>1</v>
      </c>
      <c r="M1707" t="n">
        <v>0</v>
      </c>
    </row>
    <row r="1708" spans="1:13">
      <c r="A1708" s="1">
        <f>HYPERLINK("http://www.twitter.com/NathanBLawrence/status/975175729070706688", "975175729070706688")</f>
        <v/>
      </c>
      <c r="B1708" s="2" t="n">
        <v>43177.04381944444</v>
      </c>
      <c r="C1708" t="n">
        <v>0</v>
      </c>
      <c r="D1708" t="n">
        <v>199</v>
      </c>
      <c r="E1708" t="s">
        <v>1702</v>
      </c>
      <c r="F1708">
        <f>HYPERLINK("http://pbs.twimg.com/media/DYh9s-MUMAAm-fM.jpg", "http://pbs.twimg.com/media/DYh9s-MUMAAm-fM.jpg")</f>
        <v/>
      </c>
      <c r="G1708" t="s"/>
      <c r="H1708" t="s"/>
      <c r="I1708" t="s"/>
      <c r="J1708" t="n">
        <v>0</v>
      </c>
      <c r="K1708" t="n">
        <v>0</v>
      </c>
      <c r="L1708" t="n">
        <v>1</v>
      </c>
      <c r="M1708" t="n">
        <v>0</v>
      </c>
    </row>
    <row r="1709" spans="1:13">
      <c r="A1709" s="1">
        <f>HYPERLINK("http://www.twitter.com/NathanBLawrence/status/975167707925700608", "975167707925700608")</f>
        <v/>
      </c>
      <c r="B1709" s="2" t="n">
        <v>43177.02167824074</v>
      </c>
      <c r="C1709" t="n">
        <v>0</v>
      </c>
      <c r="D1709" t="n">
        <v>2646</v>
      </c>
      <c r="E1709" t="s">
        <v>1703</v>
      </c>
      <c r="F1709" t="s"/>
      <c r="G1709" t="s"/>
      <c r="H1709" t="s"/>
      <c r="I1709" t="s"/>
      <c r="J1709" t="n">
        <v>0</v>
      </c>
      <c r="K1709" t="n">
        <v>0</v>
      </c>
      <c r="L1709" t="n">
        <v>1</v>
      </c>
      <c r="M1709" t="n">
        <v>0</v>
      </c>
    </row>
    <row r="1710" spans="1:13">
      <c r="A1710" s="1">
        <f>HYPERLINK("http://www.twitter.com/NathanBLawrence/status/975153596043005953", "975153596043005953")</f>
        <v/>
      </c>
      <c r="B1710" s="2" t="n">
        <v>43176.98274305555</v>
      </c>
      <c r="C1710" t="n">
        <v>3</v>
      </c>
      <c r="D1710" t="n">
        <v>2</v>
      </c>
      <c r="E1710" t="s">
        <v>1704</v>
      </c>
      <c r="F1710">
        <f>HYPERLINK("http://pbs.twimg.com/media/DYhxBMbW0AEfX82.jpg", "http://pbs.twimg.com/media/DYhxBMbW0AEfX82.jpg")</f>
        <v/>
      </c>
      <c r="G1710" t="s"/>
      <c r="H1710" t="s"/>
      <c r="I1710" t="s"/>
      <c r="J1710" t="n">
        <v>0</v>
      </c>
      <c r="K1710" t="n">
        <v>0</v>
      </c>
      <c r="L1710" t="n">
        <v>1</v>
      </c>
      <c r="M1710" t="n">
        <v>0</v>
      </c>
    </row>
    <row r="1711" spans="1:13">
      <c r="A1711" s="1">
        <f>HYPERLINK("http://www.twitter.com/NathanBLawrence/status/975146276642795520", "975146276642795520")</f>
        <v/>
      </c>
      <c r="B1711" s="2" t="n">
        <v>43176.96254629629</v>
      </c>
      <c r="C1711" t="n">
        <v>0</v>
      </c>
      <c r="D1711" t="n">
        <v>25</v>
      </c>
      <c r="E1711" t="s">
        <v>1705</v>
      </c>
      <c r="F1711" t="s"/>
      <c r="G1711" t="s"/>
      <c r="H1711" t="s"/>
      <c r="I1711" t="s"/>
      <c r="J1711" t="n">
        <v>-0.3182</v>
      </c>
      <c r="K1711" t="n">
        <v>0.216</v>
      </c>
      <c r="L1711" t="n">
        <v>0.664</v>
      </c>
      <c r="M1711" t="n">
        <v>0.12</v>
      </c>
    </row>
    <row r="1712" spans="1:13">
      <c r="A1712" s="1">
        <f>HYPERLINK("http://www.twitter.com/NathanBLawrence/status/975120203305619458", "975120203305619458")</f>
        <v/>
      </c>
      <c r="B1712" s="2" t="n">
        <v>43176.89059027778</v>
      </c>
      <c r="C1712" t="n">
        <v>0</v>
      </c>
      <c r="D1712" t="n">
        <v>3543</v>
      </c>
      <c r="E1712" t="s">
        <v>1706</v>
      </c>
      <c r="F1712" t="s"/>
      <c r="G1712" t="s"/>
      <c r="H1712" t="s"/>
      <c r="I1712" t="s"/>
      <c r="J1712" t="n">
        <v>-0.7574</v>
      </c>
      <c r="K1712" t="n">
        <v>0.236</v>
      </c>
      <c r="L1712" t="n">
        <v>0.764</v>
      </c>
      <c r="M1712" t="n">
        <v>0</v>
      </c>
    </row>
    <row r="1713" spans="1:13">
      <c r="A1713" s="1">
        <f>HYPERLINK("http://www.twitter.com/NathanBLawrence/status/975078210546425856", "975078210546425856")</f>
        <v/>
      </c>
      <c r="B1713" s="2" t="n">
        <v>43176.77472222222</v>
      </c>
      <c r="C1713" t="n">
        <v>0</v>
      </c>
      <c r="D1713" t="n">
        <v>8</v>
      </c>
      <c r="E1713" t="s">
        <v>1707</v>
      </c>
      <c r="F1713" t="s"/>
      <c r="G1713" t="s"/>
      <c r="H1713" t="s"/>
      <c r="I1713" t="s"/>
      <c r="J1713" t="n">
        <v>0.4767</v>
      </c>
      <c r="K1713" t="n">
        <v>0</v>
      </c>
      <c r="L1713" t="n">
        <v>0.854</v>
      </c>
      <c r="M1713" t="n">
        <v>0.146</v>
      </c>
    </row>
    <row r="1714" spans="1:13">
      <c r="A1714" s="1">
        <f>HYPERLINK("http://www.twitter.com/NathanBLawrence/status/975066892535828480", "975066892535828480")</f>
        <v/>
      </c>
      <c r="B1714" s="2" t="n">
        <v>43176.74348379629</v>
      </c>
      <c r="C1714" t="n">
        <v>0</v>
      </c>
      <c r="D1714" t="n">
        <v>33</v>
      </c>
      <c r="E1714" t="s">
        <v>1708</v>
      </c>
      <c r="F1714" t="s"/>
      <c r="G1714" t="s"/>
      <c r="H1714" t="s"/>
      <c r="I1714" t="s"/>
      <c r="J1714" t="n">
        <v>-0.3818</v>
      </c>
      <c r="K1714" t="n">
        <v>0.102</v>
      </c>
      <c r="L1714" t="n">
        <v>0.898</v>
      </c>
      <c r="M1714" t="n">
        <v>0</v>
      </c>
    </row>
    <row r="1715" spans="1:13">
      <c r="A1715" s="1">
        <f>HYPERLINK("http://www.twitter.com/NathanBLawrence/status/975066338367590400", "975066338367590400")</f>
        <v/>
      </c>
      <c r="B1715" s="2" t="n">
        <v>43176.74195601852</v>
      </c>
      <c r="C1715" t="n">
        <v>0</v>
      </c>
      <c r="D1715" t="n">
        <v>139</v>
      </c>
      <c r="E1715" t="s">
        <v>1709</v>
      </c>
      <c r="F1715" t="s"/>
      <c r="G1715" t="s"/>
      <c r="H1715" t="s"/>
      <c r="I1715" t="s"/>
      <c r="J1715" t="n">
        <v>0.1531</v>
      </c>
      <c r="K1715" t="n">
        <v>0.13</v>
      </c>
      <c r="L1715" t="n">
        <v>0.714</v>
      </c>
      <c r="M1715" t="n">
        <v>0.155</v>
      </c>
    </row>
    <row r="1716" spans="1:13">
      <c r="A1716" s="1">
        <f>HYPERLINK("http://www.twitter.com/NathanBLawrence/status/975061489110470656", "975061489110470656")</f>
        <v/>
      </c>
      <c r="B1716" s="2" t="n">
        <v>43176.72857638889</v>
      </c>
      <c r="C1716" t="n">
        <v>0</v>
      </c>
      <c r="D1716" t="n">
        <v>0</v>
      </c>
      <c r="E1716" t="s">
        <v>1710</v>
      </c>
      <c r="F1716" t="s"/>
      <c r="G1716" t="s"/>
      <c r="H1716" t="s"/>
      <c r="I1716" t="s"/>
      <c r="J1716" t="n">
        <v>0</v>
      </c>
      <c r="K1716" t="n">
        <v>0</v>
      </c>
      <c r="L1716" t="n">
        <v>1</v>
      </c>
      <c r="M1716" t="n">
        <v>0</v>
      </c>
    </row>
    <row r="1717" spans="1:13">
      <c r="A1717" s="1">
        <f>HYPERLINK("http://www.twitter.com/NathanBLawrence/status/975056241784442880", "975056241784442880")</f>
        <v/>
      </c>
      <c r="B1717" s="2" t="n">
        <v>43176.71409722222</v>
      </c>
      <c r="C1717" t="n">
        <v>0</v>
      </c>
      <c r="D1717" t="n">
        <v>1049</v>
      </c>
      <c r="E1717" t="s">
        <v>1711</v>
      </c>
      <c r="F1717">
        <f>HYPERLINK("https://video.twimg.com/ext_tw_video/975053693526691842/pu/vid/720x720/Vn3Pkp3qdQTMTwUI.mp4", "https://video.twimg.com/ext_tw_video/975053693526691842/pu/vid/720x720/Vn3Pkp3qdQTMTwUI.mp4")</f>
        <v/>
      </c>
      <c r="G1717" t="s"/>
      <c r="H1717" t="s"/>
      <c r="I1717" t="s"/>
      <c r="J1717" t="n">
        <v>-0.743</v>
      </c>
      <c r="K1717" t="n">
        <v>0.284</v>
      </c>
      <c r="L1717" t="n">
        <v>0.631</v>
      </c>
      <c r="M1717" t="n">
        <v>0.08500000000000001</v>
      </c>
    </row>
    <row r="1718" spans="1:13">
      <c r="A1718" s="1">
        <f>HYPERLINK("http://www.twitter.com/NathanBLawrence/status/975054323402137600", "975054323402137600")</f>
        <v/>
      </c>
      <c r="B1718" s="2" t="n">
        <v>43176.7087962963</v>
      </c>
      <c r="C1718" t="n">
        <v>0</v>
      </c>
      <c r="D1718" t="n">
        <v>544</v>
      </c>
      <c r="E1718" t="s">
        <v>1712</v>
      </c>
      <c r="F1718" t="s"/>
      <c r="G1718" t="s"/>
      <c r="H1718" t="s"/>
      <c r="I1718" t="s"/>
      <c r="J1718" t="n">
        <v>0.8625</v>
      </c>
      <c r="K1718" t="n">
        <v>0.163</v>
      </c>
      <c r="L1718" t="n">
        <v>0.4</v>
      </c>
      <c r="M1718" t="n">
        <v>0.437</v>
      </c>
    </row>
    <row r="1719" spans="1:13">
      <c r="A1719" s="1">
        <f>HYPERLINK("http://www.twitter.com/NathanBLawrence/status/975053974431772672", "975053974431772672")</f>
        <v/>
      </c>
      <c r="B1719" s="2" t="n">
        <v>43176.70783564815</v>
      </c>
      <c r="C1719" t="n">
        <v>0</v>
      </c>
      <c r="D1719" t="n">
        <v>10</v>
      </c>
      <c r="E1719" t="s">
        <v>1713</v>
      </c>
      <c r="F1719" t="s"/>
      <c r="G1719" t="s"/>
      <c r="H1719" t="s"/>
      <c r="I1719" t="s"/>
      <c r="J1719" t="n">
        <v>-0.1343</v>
      </c>
      <c r="K1719" t="n">
        <v>0.154</v>
      </c>
      <c r="L1719" t="n">
        <v>0.717</v>
      </c>
      <c r="M1719" t="n">
        <v>0.129</v>
      </c>
    </row>
    <row r="1720" spans="1:13">
      <c r="A1720" s="1">
        <f>HYPERLINK("http://www.twitter.com/NathanBLawrence/status/975053282950381568", "975053282950381568")</f>
        <v/>
      </c>
      <c r="B1720" s="2" t="n">
        <v>43176.70592592593</v>
      </c>
      <c r="C1720" t="n">
        <v>0</v>
      </c>
      <c r="D1720" t="n">
        <v>1638</v>
      </c>
      <c r="E1720" t="s">
        <v>1714</v>
      </c>
      <c r="F1720">
        <f>HYPERLINK("https://video.twimg.com/amplify_video/974773863564431360/vid/1280x720/AEHWJ3ILET9wUTin.mp4", "https://video.twimg.com/amplify_video/974773863564431360/vid/1280x720/AEHWJ3ILET9wUTin.mp4")</f>
        <v/>
      </c>
      <c r="G1720" t="s"/>
      <c r="H1720" t="s"/>
      <c r="I1720" t="s"/>
      <c r="J1720" t="n">
        <v>0.6369</v>
      </c>
      <c r="K1720" t="n">
        <v>0</v>
      </c>
      <c r="L1720" t="n">
        <v>0.851</v>
      </c>
      <c r="M1720" t="n">
        <v>0.149</v>
      </c>
    </row>
    <row r="1721" spans="1:13">
      <c r="A1721" s="1">
        <f>HYPERLINK("http://www.twitter.com/NathanBLawrence/status/975052272320344064", "975052272320344064")</f>
        <v/>
      </c>
      <c r="B1721" s="2" t="n">
        <v>43176.70313657408</v>
      </c>
      <c r="C1721" t="n">
        <v>0</v>
      </c>
      <c r="D1721" t="n">
        <v>1401</v>
      </c>
      <c r="E1721" t="s">
        <v>1715</v>
      </c>
      <c r="F1721">
        <f>HYPERLINK("http://pbs.twimg.com/media/DYdZ-d6X0AAKBa-.jpg", "http://pbs.twimg.com/media/DYdZ-d6X0AAKBa-.jpg")</f>
        <v/>
      </c>
      <c r="G1721" t="s"/>
      <c r="H1721" t="s"/>
      <c r="I1721" t="s"/>
      <c r="J1721" t="n">
        <v>-0.7206</v>
      </c>
      <c r="K1721" t="n">
        <v>0.346</v>
      </c>
      <c r="L1721" t="n">
        <v>0.524</v>
      </c>
      <c r="M1721" t="n">
        <v>0.13</v>
      </c>
    </row>
    <row r="1722" spans="1:13">
      <c r="A1722" s="1">
        <f>HYPERLINK("http://www.twitter.com/NathanBLawrence/status/975051965205008386", "975051965205008386")</f>
        <v/>
      </c>
      <c r="B1722" s="2" t="n">
        <v>43176.70229166667</v>
      </c>
      <c r="C1722" t="n">
        <v>0</v>
      </c>
      <c r="D1722" t="n">
        <v>2</v>
      </c>
      <c r="E1722" t="s">
        <v>1716</v>
      </c>
      <c r="F1722" t="s"/>
      <c r="G1722" t="s"/>
      <c r="H1722" t="s"/>
      <c r="I1722" t="s"/>
      <c r="J1722" t="n">
        <v>0.6157</v>
      </c>
      <c r="K1722" t="n">
        <v>0</v>
      </c>
      <c r="L1722" t="n">
        <v>0.554</v>
      </c>
      <c r="M1722" t="n">
        <v>0.446</v>
      </c>
    </row>
    <row r="1723" spans="1:13">
      <c r="A1723" s="1">
        <f>HYPERLINK("http://www.twitter.com/NathanBLawrence/status/975051424982806530", "975051424982806530")</f>
        <v/>
      </c>
      <c r="B1723" s="2" t="n">
        <v>43176.70079861111</v>
      </c>
      <c r="C1723" t="n">
        <v>0</v>
      </c>
      <c r="D1723" t="n">
        <v>2</v>
      </c>
      <c r="E1723" t="s">
        <v>1717</v>
      </c>
      <c r="F1723" t="s"/>
      <c r="G1723" t="s"/>
      <c r="H1723" t="s"/>
      <c r="I1723" t="s"/>
      <c r="J1723" t="n">
        <v>-0.8676</v>
      </c>
      <c r="K1723" t="n">
        <v>0.34</v>
      </c>
      <c r="L1723" t="n">
        <v>0.66</v>
      </c>
      <c r="M1723" t="n">
        <v>0</v>
      </c>
    </row>
    <row r="1724" spans="1:13">
      <c r="A1724" s="1">
        <f>HYPERLINK("http://www.twitter.com/NathanBLawrence/status/975051291503230976", "975051291503230976")</f>
        <v/>
      </c>
      <c r="B1724" s="2" t="n">
        <v>43176.70043981481</v>
      </c>
      <c r="C1724" t="n">
        <v>1</v>
      </c>
      <c r="D1724" t="n">
        <v>2</v>
      </c>
      <c r="E1724" t="s">
        <v>1718</v>
      </c>
      <c r="F1724" t="s"/>
      <c r="G1724" t="s"/>
      <c r="H1724" t="s"/>
      <c r="I1724" t="s"/>
      <c r="J1724" t="n">
        <v>-0.8918</v>
      </c>
      <c r="K1724" t="n">
        <v>0.256</v>
      </c>
      <c r="L1724" t="n">
        <v>0.744</v>
      </c>
      <c r="M1724" t="n">
        <v>0</v>
      </c>
    </row>
    <row r="1725" spans="1:13">
      <c r="A1725" s="1">
        <f>HYPERLINK("http://www.twitter.com/NathanBLawrence/status/975046558268968960", "975046558268968960")</f>
        <v/>
      </c>
      <c r="B1725" s="2" t="n">
        <v>43176.68737268518</v>
      </c>
      <c r="C1725" t="n">
        <v>1</v>
      </c>
      <c r="D1725" t="n">
        <v>0</v>
      </c>
      <c r="E1725" t="s">
        <v>1719</v>
      </c>
      <c r="F1725" t="s"/>
      <c r="G1725" t="s"/>
      <c r="H1725" t="s"/>
      <c r="I1725" t="s"/>
      <c r="J1725" t="n">
        <v>0.8152</v>
      </c>
      <c r="K1725" t="n">
        <v>0</v>
      </c>
      <c r="L1725" t="n">
        <v>0.738</v>
      </c>
      <c r="M1725" t="n">
        <v>0.262</v>
      </c>
    </row>
    <row r="1726" spans="1:13">
      <c r="A1726" s="1">
        <f>HYPERLINK("http://www.twitter.com/NathanBLawrence/status/975042533079339010", "975042533079339010")</f>
        <v/>
      </c>
      <c r="B1726" s="2" t="n">
        <v>43176.67626157407</v>
      </c>
      <c r="C1726" t="n">
        <v>0</v>
      </c>
      <c r="D1726" t="n">
        <v>310</v>
      </c>
      <c r="E1726" t="s">
        <v>1720</v>
      </c>
      <c r="F1726">
        <f>HYPERLINK("http://pbs.twimg.com/media/DYgCz3oU8AAYlyC.jpg", "http://pbs.twimg.com/media/DYgCz3oU8AAYlyC.jpg")</f>
        <v/>
      </c>
      <c r="G1726" t="s"/>
      <c r="H1726" t="s"/>
      <c r="I1726" t="s"/>
      <c r="J1726" t="n">
        <v>-0.34</v>
      </c>
      <c r="K1726" t="n">
        <v>0.138</v>
      </c>
      <c r="L1726" t="n">
        <v>0.862</v>
      </c>
      <c r="M1726" t="n">
        <v>0</v>
      </c>
    </row>
    <row r="1727" spans="1:13">
      <c r="A1727" s="1">
        <f>HYPERLINK("http://www.twitter.com/NathanBLawrence/status/975040884864638977", "975040884864638977")</f>
        <v/>
      </c>
      <c r="B1727" s="2" t="n">
        <v>43176.67171296296</v>
      </c>
      <c r="C1727" t="n">
        <v>0</v>
      </c>
      <c r="D1727" t="n">
        <v>350</v>
      </c>
      <c r="E1727" t="s">
        <v>1721</v>
      </c>
      <c r="F1727">
        <f>HYPERLINK("http://pbs.twimg.com/media/DYdanQ1VoAAl871.jpg", "http://pbs.twimg.com/media/DYdanQ1VoAAl871.jpg")</f>
        <v/>
      </c>
      <c r="G1727" t="s"/>
      <c r="H1727" t="s"/>
      <c r="I1727" t="s"/>
      <c r="J1727" t="n">
        <v>0.3291</v>
      </c>
      <c r="K1727" t="n">
        <v>0.058</v>
      </c>
      <c r="L1727" t="n">
        <v>0.835</v>
      </c>
      <c r="M1727" t="n">
        <v>0.107</v>
      </c>
    </row>
    <row r="1728" spans="1:13">
      <c r="A1728" s="1">
        <f>HYPERLINK("http://www.twitter.com/NathanBLawrence/status/975040260169240576", "975040260169240576")</f>
        <v/>
      </c>
      <c r="B1728" s="2" t="n">
        <v>43176.67</v>
      </c>
      <c r="C1728" t="n">
        <v>0</v>
      </c>
      <c r="D1728" t="n">
        <v>62</v>
      </c>
      <c r="E1728" t="s">
        <v>1722</v>
      </c>
      <c r="F1728">
        <f>HYPERLINK("http://pbs.twimg.com/media/DYgACsUVwAArPP5.jpg", "http://pbs.twimg.com/media/DYgACsUVwAArPP5.jpg")</f>
        <v/>
      </c>
      <c r="G1728" t="s"/>
      <c r="H1728" t="s"/>
      <c r="I1728" t="s"/>
      <c r="J1728" t="n">
        <v>-0.4632</v>
      </c>
      <c r="K1728" t="n">
        <v>0.225</v>
      </c>
      <c r="L1728" t="n">
        <v>0.677</v>
      </c>
      <c r="M1728" t="n">
        <v>0.097</v>
      </c>
    </row>
    <row r="1729" spans="1:13">
      <c r="A1729" s="1">
        <f>HYPERLINK("http://www.twitter.com/NathanBLawrence/status/975019250711777280", "975019250711777280")</f>
        <v/>
      </c>
      <c r="B1729" s="2" t="n">
        <v>43176.61202546296</v>
      </c>
      <c r="C1729" t="n">
        <v>46</v>
      </c>
      <c r="D1729" t="n">
        <v>61</v>
      </c>
      <c r="E1729" t="s">
        <v>1723</v>
      </c>
      <c r="F1729" t="s"/>
      <c r="G1729" t="s"/>
      <c r="H1729" t="s"/>
      <c r="I1729" t="s"/>
      <c r="J1729" t="n">
        <v>0</v>
      </c>
      <c r="K1729" t="n">
        <v>0</v>
      </c>
      <c r="L1729" t="n">
        <v>1</v>
      </c>
      <c r="M1729" t="n">
        <v>0</v>
      </c>
    </row>
    <row r="1730" spans="1:13">
      <c r="A1730" s="1">
        <f>HYPERLINK("http://www.twitter.com/NathanBLawrence/status/974875425821294593", "974875425821294593")</f>
        <v/>
      </c>
      <c r="B1730" s="2" t="n">
        <v>43176.21513888889</v>
      </c>
      <c r="C1730" t="n">
        <v>0</v>
      </c>
      <c r="D1730" t="n">
        <v>42</v>
      </c>
      <c r="E1730" t="s">
        <v>1724</v>
      </c>
      <c r="F1730" t="s"/>
      <c r="G1730" t="s"/>
      <c r="H1730" t="s"/>
      <c r="I1730" t="s"/>
      <c r="J1730" t="n">
        <v>0.7845</v>
      </c>
      <c r="K1730" t="n">
        <v>0</v>
      </c>
      <c r="L1730" t="n">
        <v>0.727</v>
      </c>
      <c r="M1730" t="n">
        <v>0.273</v>
      </c>
    </row>
    <row r="1731" spans="1:13">
      <c r="A1731" s="1">
        <f>HYPERLINK("http://www.twitter.com/NathanBLawrence/status/974875110183260160", "974875110183260160")</f>
        <v/>
      </c>
      <c r="B1731" s="2" t="n">
        <v>43176.21427083333</v>
      </c>
      <c r="C1731" t="n">
        <v>1</v>
      </c>
      <c r="D1731" t="n">
        <v>0</v>
      </c>
      <c r="E1731" t="s">
        <v>1725</v>
      </c>
      <c r="F1731" t="s"/>
      <c r="G1731" t="s"/>
      <c r="H1731" t="s"/>
      <c r="I1731" t="s"/>
      <c r="J1731" t="n">
        <v>0</v>
      </c>
      <c r="K1731" t="n">
        <v>0</v>
      </c>
      <c r="L1731" t="n">
        <v>1</v>
      </c>
      <c r="M1731" t="n">
        <v>0</v>
      </c>
    </row>
    <row r="1732" spans="1:13">
      <c r="A1732" s="1">
        <f>HYPERLINK("http://www.twitter.com/NathanBLawrence/status/974871661353799680", "974871661353799680")</f>
        <v/>
      </c>
      <c r="B1732" s="2" t="n">
        <v>43176.20474537037</v>
      </c>
      <c r="C1732" t="n">
        <v>6</v>
      </c>
      <c r="D1732" t="n">
        <v>4</v>
      </c>
      <c r="E1732" t="s">
        <v>1726</v>
      </c>
      <c r="F1732" t="s"/>
      <c r="G1732" t="s"/>
      <c r="H1732" t="s"/>
      <c r="I1732" t="s"/>
      <c r="J1732" t="n">
        <v>0.91</v>
      </c>
      <c r="K1732" t="n">
        <v>0</v>
      </c>
      <c r="L1732" t="n">
        <v>0.733</v>
      </c>
      <c r="M1732" t="n">
        <v>0.267</v>
      </c>
    </row>
    <row r="1733" spans="1:13">
      <c r="A1733" s="1">
        <f>HYPERLINK("http://www.twitter.com/NathanBLawrence/status/974819229961801728", "974819229961801728")</f>
        <v/>
      </c>
      <c r="B1733" s="2" t="n">
        <v>43176.06006944444</v>
      </c>
      <c r="C1733" t="n">
        <v>0</v>
      </c>
      <c r="D1733" t="n">
        <v>6</v>
      </c>
      <c r="E1733" t="s">
        <v>1727</v>
      </c>
      <c r="F1733" t="s"/>
      <c r="G1733" t="s"/>
      <c r="H1733" t="s"/>
      <c r="I1733" t="s"/>
      <c r="J1733" t="n">
        <v>0</v>
      </c>
      <c r="K1733" t="n">
        <v>0</v>
      </c>
      <c r="L1733" t="n">
        <v>1</v>
      </c>
      <c r="M1733" t="n">
        <v>0</v>
      </c>
    </row>
    <row r="1734" spans="1:13">
      <c r="A1734" s="1">
        <f>HYPERLINK("http://www.twitter.com/NathanBLawrence/status/974797534609764353", "974797534609764353")</f>
        <v/>
      </c>
      <c r="B1734" s="2" t="n">
        <v>43176.00019675926</v>
      </c>
      <c r="C1734" t="n">
        <v>0</v>
      </c>
      <c r="D1734" t="n">
        <v>3</v>
      </c>
      <c r="E1734" t="s">
        <v>1728</v>
      </c>
      <c r="F1734" t="s"/>
      <c r="G1734" t="s"/>
      <c r="H1734" t="s"/>
      <c r="I1734" t="s"/>
      <c r="J1734" t="n">
        <v>0</v>
      </c>
      <c r="K1734" t="n">
        <v>0</v>
      </c>
      <c r="L1734" t="n">
        <v>1</v>
      </c>
      <c r="M1734" t="n">
        <v>0</v>
      </c>
    </row>
    <row r="1735" spans="1:13">
      <c r="A1735" s="1">
        <f>HYPERLINK("http://www.twitter.com/NathanBLawrence/status/974797366669795329", "974797366669795329")</f>
        <v/>
      </c>
      <c r="B1735" s="2" t="n">
        <v>43175.9997337963</v>
      </c>
      <c r="C1735" t="n">
        <v>0</v>
      </c>
      <c r="D1735" t="n">
        <v>5</v>
      </c>
      <c r="E1735" t="s">
        <v>1729</v>
      </c>
      <c r="F1735" t="s"/>
      <c r="G1735" t="s"/>
      <c r="H1735" t="s"/>
      <c r="I1735" t="s"/>
      <c r="J1735" t="n">
        <v>0</v>
      </c>
      <c r="K1735" t="n">
        <v>0</v>
      </c>
      <c r="L1735" t="n">
        <v>1</v>
      </c>
      <c r="M1735" t="n">
        <v>0</v>
      </c>
    </row>
    <row r="1736" spans="1:13">
      <c r="A1736" s="1">
        <f>HYPERLINK("http://www.twitter.com/NathanBLawrence/status/974751874028011521", "974751874028011521")</f>
        <v/>
      </c>
      <c r="B1736" s="2" t="n">
        <v>43175.87420138889</v>
      </c>
      <c r="C1736" t="n">
        <v>0</v>
      </c>
      <c r="D1736" t="n">
        <v>105</v>
      </c>
      <c r="E1736" t="s">
        <v>1730</v>
      </c>
      <c r="F1736" t="s"/>
      <c r="G1736" t="s"/>
      <c r="H1736" t="s"/>
      <c r="I1736" t="s"/>
      <c r="J1736" t="n">
        <v>0.8176</v>
      </c>
      <c r="K1736" t="n">
        <v>0</v>
      </c>
      <c r="L1736" t="n">
        <v>0.681</v>
      </c>
      <c r="M1736" t="n">
        <v>0.319</v>
      </c>
    </row>
    <row r="1737" spans="1:13">
      <c r="A1737" s="1">
        <f>HYPERLINK("http://www.twitter.com/NathanBLawrence/status/974729503946756102", "974729503946756102")</f>
        <v/>
      </c>
      <c r="B1737" s="2" t="n">
        <v>43175.81246527778</v>
      </c>
      <c r="C1737" t="n">
        <v>0</v>
      </c>
      <c r="D1737" t="n">
        <v>167</v>
      </c>
      <c r="E1737" t="s">
        <v>1731</v>
      </c>
      <c r="F1737">
        <f>HYPERLINK("https://video.twimg.com/ext_tw_video/972657182125805569/pu/vid/720x720/PXNzxD65yTaFBOLA.mp4", "https://video.twimg.com/ext_tw_video/972657182125805569/pu/vid/720x720/PXNzxD65yTaFBOLA.mp4")</f>
        <v/>
      </c>
      <c r="G1737" t="s"/>
      <c r="H1737" t="s"/>
      <c r="I1737" t="s"/>
      <c r="J1737" t="n">
        <v>0</v>
      </c>
      <c r="K1737" t="n">
        <v>0</v>
      </c>
      <c r="L1737" t="n">
        <v>1</v>
      </c>
      <c r="M1737" t="n">
        <v>0</v>
      </c>
    </row>
    <row r="1738" spans="1:13">
      <c r="A1738" s="1">
        <f>HYPERLINK("http://www.twitter.com/NathanBLawrence/status/974689822764879873", "974689822764879873")</f>
        <v/>
      </c>
      <c r="B1738" s="2" t="n">
        <v>43175.70297453704</v>
      </c>
      <c r="C1738" t="n">
        <v>0</v>
      </c>
      <c r="D1738" t="n">
        <v>23</v>
      </c>
      <c r="E1738" t="s">
        <v>1732</v>
      </c>
      <c r="F1738" t="s"/>
      <c r="G1738" t="s"/>
      <c r="H1738" t="s"/>
      <c r="I1738" t="s"/>
      <c r="J1738" t="n">
        <v>0.3506</v>
      </c>
      <c r="K1738" t="n">
        <v>0</v>
      </c>
      <c r="L1738" t="n">
        <v>0.853</v>
      </c>
      <c r="M1738" t="n">
        <v>0.147</v>
      </c>
    </row>
    <row r="1739" spans="1:13">
      <c r="A1739" s="1">
        <f>HYPERLINK("http://www.twitter.com/NathanBLawrence/status/974687439989112832", "974687439989112832")</f>
        <v/>
      </c>
      <c r="B1739" s="2" t="n">
        <v>43175.69640046296</v>
      </c>
      <c r="C1739" t="n">
        <v>0</v>
      </c>
      <c r="D1739" t="n">
        <v>15</v>
      </c>
      <c r="E1739" t="s">
        <v>1733</v>
      </c>
      <c r="F1739">
        <f>HYPERLINK("http://pbs.twimg.com/media/DYbH2YsXkAIG0lv.jpg", "http://pbs.twimg.com/media/DYbH2YsXkAIG0lv.jpg")</f>
        <v/>
      </c>
      <c r="G1739" t="s"/>
      <c r="H1739" t="s"/>
      <c r="I1739" t="s"/>
      <c r="J1739" t="n">
        <v>-0.1027</v>
      </c>
      <c r="K1739" t="n">
        <v>0.206</v>
      </c>
      <c r="L1739" t="n">
        <v>0.654</v>
      </c>
      <c r="M1739" t="n">
        <v>0.14</v>
      </c>
    </row>
    <row r="1740" spans="1:13">
      <c r="A1740" s="1">
        <f>HYPERLINK("http://www.twitter.com/NathanBLawrence/status/974577222521622529", "974577222521622529")</f>
        <v/>
      </c>
      <c r="B1740" s="2" t="n">
        <v>43175.39225694445</v>
      </c>
      <c r="C1740" t="n">
        <v>0</v>
      </c>
      <c r="D1740" t="n">
        <v>46</v>
      </c>
      <c r="E1740" t="s">
        <v>1734</v>
      </c>
      <c r="F1740">
        <f>HYPERLINK("http://pbs.twimg.com/media/DYYU0HWUQAAXV6H.jpg", "http://pbs.twimg.com/media/DYYU0HWUQAAXV6H.jpg")</f>
        <v/>
      </c>
      <c r="G1740">
        <f>HYPERLINK("http://pbs.twimg.com/media/DYYU0HYU0AAySRy.jpg", "http://pbs.twimg.com/media/DYYU0HYU0AAySRy.jpg")</f>
        <v/>
      </c>
      <c r="H1740" t="s"/>
      <c r="I1740" t="s"/>
      <c r="J1740" t="n">
        <v>0</v>
      </c>
      <c r="K1740" t="n">
        <v>0</v>
      </c>
      <c r="L1740" t="n">
        <v>1</v>
      </c>
      <c r="M1740" t="n">
        <v>0</v>
      </c>
    </row>
    <row r="1741" spans="1:13">
      <c r="A1741" s="1">
        <f>HYPERLINK("http://www.twitter.com/NathanBLawrence/status/974405271673065472", "974405271673065472")</f>
        <v/>
      </c>
      <c r="B1741" s="2" t="n">
        <v>43174.91775462963</v>
      </c>
      <c r="C1741" t="n">
        <v>0</v>
      </c>
      <c r="D1741" t="n">
        <v>52</v>
      </c>
      <c r="E1741" t="s">
        <v>1735</v>
      </c>
      <c r="F1741" t="s"/>
      <c r="G1741" t="s"/>
      <c r="H1741" t="s"/>
      <c r="I1741" t="s"/>
      <c r="J1741" t="n">
        <v>0.8164</v>
      </c>
      <c r="K1741" t="n">
        <v>0</v>
      </c>
      <c r="L1741" t="n">
        <v>0.728</v>
      </c>
      <c r="M1741" t="n">
        <v>0.272</v>
      </c>
    </row>
    <row r="1742" spans="1:13">
      <c r="A1742" s="1">
        <f>HYPERLINK("http://www.twitter.com/NathanBLawrence/status/974402777060429824", "974402777060429824")</f>
        <v/>
      </c>
      <c r="B1742" s="2" t="n">
        <v>43174.91087962963</v>
      </c>
      <c r="C1742" t="n">
        <v>2</v>
      </c>
      <c r="D1742" t="n">
        <v>0</v>
      </c>
      <c r="E1742" t="s">
        <v>1736</v>
      </c>
      <c r="F1742" t="s"/>
      <c r="G1742" t="s"/>
      <c r="H1742" t="s"/>
      <c r="I1742" t="s"/>
      <c r="J1742" t="n">
        <v>0.7717000000000001</v>
      </c>
      <c r="K1742" t="n">
        <v>0</v>
      </c>
      <c r="L1742" t="n">
        <v>0.789</v>
      </c>
      <c r="M1742" t="n">
        <v>0.211</v>
      </c>
    </row>
    <row r="1743" spans="1:13">
      <c r="A1743" s="1">
        <f>HYPERLINK("http://www.twitter.com/NathanBLawrence/status/974381155809218568", "974381155809218568")</f>
        <v/>
      </c>
      <c r="B1743" s="2" t="n">
        <v>43174.85121527778</v>
      </c>
      <c r="C1743" t="n">
        <v>0</v>
      </c>
      <c r="D1743" t="n">
        <v>2162</v>
      </c>
      <c r="E1743" t="s">
        <v>1737</v>
      </c>
      <c r="F1743" t="s"/>
      <c r="G1743" t="s"/>
      <c r="H1743" t="s"/>
      <c r="I1743" t="s"/>
      <c r="J1743" t="n">
        <v>0.9022</v>
      </c>
      <c r="K1743" t="n">
        <v>0</v>
      </c>
      <c r="L1743" t="n">
        <v>0.604</v>
      </c>
      <c r="M1743" t="n">
        <v>0.396</v>
      </c>
    </row>
    <row r="1744" spans="1:13">
      <c r="A1744" s="1">
        <f>HYPERLINK("http://www.twitter.com/NathanBLawrence/status/974350227837775874", "974350227837775874")</f>
        <v/>
      </c>
      <c r="B1744" s="2" t="n">
        <v>43174.76586805555</v>
      </c>
      <c r="C1744" t="n">
        <v>0</v>
      </c>
      <c r="D1744" t="n">
        <v>783</v>
      </c>
      <c r="E1744" t="s">
        <v>1738</v>
      </c>
      <c r="F1744" t="s"/>
      <c r="G1744" t="s"/>
      <c r="H1744" t="s"/>
      <c r="I1744" t="s"/>
      <c r="J1744" t="n">
        <v>0.8442</v>
      </c>
      <c r="K1744" t="n">
        <v>0</v>
      </c>
      <c r="L1744" t="n">
        <v>0.722</v>
      </c>
      <c r="M1744" t="n">
        <v>0.278</v>
      </c>
    </row>
    <row r="1745" spans="1:13">
      <c r="A1745" s="1">
        <f>HYPERLINK("http://www.twitter.com/NathanBLawrence/status/974338440132284419", "974338440132284419")</f>
        <v/>
      </c>
      <c r="B1745" s="2" t="n">
        <v>43174.73334490741</v>
      </c>
      <c r="C1745" t="n">
        <v>0</v>
      </c>
      <c r="D1745" t="n">
        <v>12</v>
      </c>
      <c r="E1745" t="s">
        <v>1739</v>
      </c>
      <c r="F1745" t="s"/>
      <c r="G1745" t="s"/>
      <c r="H1745" t="s"/>
      <c r="I1745" t="s"/>
      <c r="J1745" t="n">
        <v>0.9118000000000001</v>
      </c>
      <c r="K1745" t="n">
        <v>0</v>
      </c>
      <c r="L1745" t="n">
        <v>0.556</v>
      </c>
      <c r="M1745" t="n">
        <v>0.444</v>
      </c>
    </row>
    <row r="1746" spans="1:13">
      <c r="A1746" s="1">
        <f>HYPERLINK("http://www.twitter.com/NathanBLawrence/status/974332705969197056", "974332705969197056")</f>
        <v/>
      </c>
      <c r="B1746" s="2" t="n">
        <v>43174.71751157408</v>
      </c>
      <c r="C1746" t="n">
        <v>0</v>
      </c>
      <c r="D1746" t="n">
        <v>1103</v>
      </c>
      <c r="E1746" t="s">
        <v>1740</v>
      </c>
      <c r="F1746">
        <f>HYPERLINK("http://pbs.twimg.com/media/DYNXayhU0AAfYiB.jpg", "http://pbs.twimg.com/media/DYNXayhU0AAfYiB.jpg")</f>
        <v/>
      </c>
      <c r="G1746">
        <f>HYPERLINK("http://pbs.twimg.com/media/DYNXayiU8AAhGpl.jpg", "http://pbs.twimg.com/media/DYNXayiU8AAhGpl.jpg")</f>
        <v/>
      </c>
      <c r="H1746" t="s"/>
      <c r="I1746" t="s"/>
      <c r="J1746" t="n">
        <v>0.7345</v>
      </c>
      <c r="K1746" t="n">
        <v>0</v>
      </c>
      <c r="L1746" t="n">
        <v>0.708</v>
      </c>
      <c r="M1746" t="n">
        <v>0.292</v>
      </c>
    </row>
    <row r="1747" spans="1:13">
      <c r="A1747" s="1">
        <f>HYPERLINK("http://www.twitter.com/NathanBLawrence/status/974329703405367299", "974329703405367299")</f>
        <v/>
      </c>
      <c r="B1747" s="2" t="n">
        <v>43174.70923611111</v>
      </c>
      <c r="C1747" t="n">
        <v>0</v>
      </c>
      <c r="D1747" t="n">
        <v>25693</v>
      </c>
      <c r="E1747" t="s">
        <v>1741</v>
      </c>
      <c r="F1747" t="s"/>
      <c r="G1747" t="s"/>
      <c r="H1747" t="s"/>
      <c r="I1747" t="s"/>
      <c r="J1747" t="n">
        <v>0.4391</v>
      </c>
      <c r="K1747" t="n">
        <v>0.08699999999999999</v>
      </c>
      <c r="L1747" t="n">
        <v>0.706</v>
      </c>
      <c r="M1747" t="n">
        <v>0.207</v>
      </c>
    </row>
    <row r="1748" spans="1:13">
      <c r="A1748" s="1">
        <f>HYPERLINK("http://www.twitter.com/NathanBLawrence/status/974329387960152069", "974329387960152069")</f>
        <v/>
      </c>
      <c r="B1748" s="2" t="n">
        <v>43174.70835648148</v>
      </c>
      <c r="C1748" t="n">
        <v>0</v>
      </c>
      <c r="D1748" t="n">
        <v>116</v>
      </c>
      <c r="E1748" t="s">
        <v>1742</v>
      </c>
      <c r="F1748">
        <f>HYPERLINK("http://pbs.twimg.com/media/DYTcw_gXUAA7ZZO.jpg", "http://pbs.twimg.com/media/DYTcw_gXUAA7ZZO.jpg")</f>
        <v/>
      </c>
      <c r="G1748" t="s"/>
      <c r="H1748" t="s"/>
      <c r="I1748" t="s"/>
      <c r="J1748" t="n">
        <v>0.9134</v>
      </c>
      <c r="K1748" t="n">
        <v>0</v>
      </c>
      <c r="L1748" t="n">
        <v>0.606</v>
      </c>
      <c r="M1748" t="n">
        <v>0.394</v>
      </c>
    </row>
    <row r="1749" spans="1:13">
      <c r="A1749" s="1">
        <f>HYPERLINK("http://www.twitter.com/NathanBLawrence/status/974329361867444224", "974329361867444224")</f>
        <v/>
      </c>
      <c r="B1749" s="2" t="n">
        <v>43174.70828703704</v>
      </c>
      <c r="C1749" t="n">
        <v>0</v>
      </c>
      <c r="D1749" t="n">
        <v>5</v>
      </c>
      <c r="E1749" t="s">
        <v>1743</v>
      </c>
      <c r="F1749">
        <f>HYPERLINK("http://pbs.twimg.com/media/DYTdoqfVoAA-kos.jpg", "http://pbs.twimg.com/media/DYTdoqfVoAA-kos.jpg")</f>
        <v/>
      </c>
      <c r="G1749" t="s"/>
      <c r="H1749" t="s"/>
      <c r="I1749" t="s"/>
      <c r="J1749" t="n">
        <v>0</v>
      </c>
      <c r="K1749" t="n">
        <v>0</v>
      </c>
      <c r="L1749" t="n">
        <v>1</v>
      </c>
      <c r="M1749" t="n">
        <v>0</v>
      </c>
    </row>
    <row r="1750" spans="1:13">
      <c r="A1750" s="1">
        <f>HYPERLINK("http://www.twitter.com/NathanBLawrence/status/974329301314269184", "974329301314269184")</f>
        <v/>
      </c>
      <c r="B1750" s="2" t="n">
        <v>43174.708125</v>
      </c>
      <c r="C1750" t="n">
        <v>0</v>
      </c>
      <c r="D1750" t="n">
        <v>3</v>
      </c>
      <c r="E1750" t="s">
        <v>1744</v>
      </c>
      <c r="F1750" t="s"/>
      <c r="G1750" t="s"/>
      <c r="H1750" t="s"/>
      <c r="I1750" t="s"/>
      <c r="J1750" t="n">
        <v>0</v>
      </c>
      <c r="K1750" t="n">
        <v>0</v>
      </c>
      <c r="L1750" t="n">
        <v>1</v>
      </c>
      <c r="M1750" t="n">
        <v>0</v>
      </c>
    </row>
    <row r="1751" spans="1:13">
      <c r="A1751" s="1">
        <f>HYPERLINK("http://www.twitter.com/NathanBLawrence/status/974328286993100800", "974328286993100800")</f>
        <v/>
      </c>
      <c r="B1751" s="2" t="n">
        <v>43174.70532407407</v>
      </c>
      <c r="C1751" t="n">
        <v>1</v>
      </c>
      <c r="D1751" t="n">
        <v>3</v>
      </c>
      <c r="E1751" t="s">
        <v>1745</v>
      </c>
      <c r="F1751" t="s"/>
      <c r="G1751" t="s"/>
      <c r="H1751" t="s"/>
      <c r="I1751" t="s"/>
      <c r="J1751" t="n">
        <v>0</v>
      </c>
      <c r="K1751" t="n">
        <v>0</v>
      </c>
      <c r="L1751" t="n">
        <v>1</v>
      </c>
      <c r="M1751" t="n">
        <v>0</v>
      </c>
    </row>
    <row r="1752" spans="1:13">
      <c r="A1752" s="1">
        <f>HYPERLINK("http://www.twitter.com/NathanBLawrence/status/974327762738733056", "974327762738733056")</f>
        <v/>
      </c>
      <c r="B1752" s="2" t="n">
        <v>43174.70387731482</v>
      </c>
      <c r="C1752" t="n">
        <v>0</v>
      </c>
      <c r="D1752" t="n">
        <v>0</v>
      </c>
      <c r="E1752" t="s">
        <v>1746</v>
      </c>
      <c r="F1752" t="s"/>
      <c r="G1752" t="s"/>
      <c r="H1752" t="s"/>
      <c r="I1752" t="s"/>
      <c r="J1752" t="n">
        <v>0</v>
      </c>
      <c r="K1752" t="n">
        <v>0</v>
      </c>
      <c r="L1752" t="n">
        <v>1</v>
      </c>
      <c r="M1752" t="n">
        <v>0</v>
      </c>
    </row>
    <row r="1753" spans="1:13">
      <c r="A1753" s="1">
        <f>HYPERLINK("http://www.twitter.com/NathanBLawrence/status/974323180272865282", "974323180272865282")</f>
        <v/>
      </c>
      <c r="B1753" s="2" t="n">
        <v>43174.69122685185</v>
      </c>
      <c r="C1753" t="n">
        <v>1</v>
      </c>
      <c r="D1753" t="n">
        <v>0</v>
      </c>
      <c r="E1753" t="s">
        <v>1747</v>
      </c>
      <c r="F1753" t="s"/>
      <c r="G1753" t="s"/>
      <c r="H1753" t="s"/>
      <c r="I1753" t="s"/>
      <c r="J1753" t="n">
        <v>-0.1511</v>
      </c>
      <c r="K1753" t="n">
        <v>0.12</v>
      </c>
      <c r="L1753" t="n">
        <v>0.88</v>
      </c>
      <c r="M1753" t="n">
        <v>0</v>
      </c>
    </row>
    <row r="1754" spans="1:13">
      <c r="A1754" s="1">
        <f>HYPERLINK("http://www.twitter.com/NathanBLawrence/status/974316888267386880", "974316888267386880")</f>
        <v/>
      </c>
      <c r="B1754" s="2" t="n">
        <v>43174.67386574074</v>
      </c>
      <c r="C1754" t="n">
        <v>0</v>
      </c>
      <c r="D1754" t="n">
        <v>16</v>
      </c>
      <c r="E1754" t="s">
        <v>1748</v>
      </c>
      <c r="F1754" t="s"/>
      <c r="G1754" t="s"/>
      <c r="H1754" t="s"/>
      <c r="I1754" t="s"/>
      <c r="J1754" t="n">
        <v>-0.3182</v>
      </c>
      <c r="K1754" t="n">
        <v>0.24</v>
      </c>
      <c r="L1754" t="n">
        <v>0.622</v>
      </c>
      <c r="M1754" t="n">
        <v>0.138</v>
      </c>
    </row>
    <row r="1755" spans="1:13">
      <c r="A1755" s="1">
        <f>HYPERLINK("http://www.twitter.com/NathanBLawrence/status/974314568225878017", "974314568225878017")</f>
        <v/>
      </c>
      <c r="B1755" s="2" t="n">
        <v>43174.66746527778</v>
      </c>
      <c r="C1755" t="n">
        <v>2</v>
      </c>
      <c r="D1755" t="n">
        <v>1</v>
      </c>
      <c r="E1755" t="s">
        <v>1749</v>
      </c>
      <c r="F1755">
        <f>HYPERLINK("http://pbs.twimg.com/media/DYV17acX4AA7o48.jpg", "http://pbs.twimg.com/media/DYV17acX4AA7o48.jpg")</f>
        <v/>
      </c>
      <c r="G1755" t="s"/>
      <c r="H1755" t="s"/>
      <c r="I1755" t="s"/>
      <c r="J1755" t="n">
        <v>0</v>
      </c>
      <c r="K1755" t="n">
        <v>0</v>
      </c>
      <c r="L1755" t="n">
        <v>1</v>
      </c>
      <c r="M1755" t="n">
        <v>0</v>
      </c>
    </row>
    <row r="1756" spans="1:13">
      <c r="A1756" s="1">
        <f>HYPERLINK("http://www.twitter.com/NathanBLawrence/status/974307820962230273", "974307820962230273")</f>
        <v/>
      </c>
      <c r="B1756" s="2" t="n">
        <v>43174.64884259259</v>
      </c>
      <c r="C1756" t="n">
        <v>1</v>
      </c>
      <c r="D1756" t="n">
        <v>0</v>
      </c>
      <c r="E1756" t="s">
        <v>1750</v>
      </c>
      <c r="F1756" t="s"/>
      <c r="G1756" t="s"/>
      <c r="H1756" t="s"/>
      <c r="I1756" t="s"/>
      <c r="J1756" t="n">
        <v>-0.128</v>
      </c>
      <c r="K1756" t="n">
        <v>0.07000000000000001</v>
      </c>
      <c r="L1756" t="n">
        <v>0.93</v>
      </c>
      <c r="M1756" t="n">
        <v>0</v>
      </c>
    </row>
    <row r="1757" spans="1:13">
      <c r="A1757" s="1">
        <f>HYPERLINK("http://www.twitter.com/NathanBLawrence/status/974306073267097600", "974306073267097600")</f>
        <v/>
      </c>
      <c r="B1757" s="2" t="n">
        <v>43174.64402777778</v>
      </c>
      <c r="C1757" t="n">
        <v>1</v>
      </c>
      <c r="D1757" t="n">
        <v>1</v>
      </c>
      <c r="E1757" t="s">
        <v>1751</v>
      </c>
      <c r="F1757" t="s"/>
      <c r="G1757" t="s"/>
      <c r="H1757" t="s"/>
      <c r="I1757" t="s"/>
      <c r="J1757" t="n">
        <v>-0.4019</v>
      </c>
      <c r="K1757" t="n">
        <v>0.172</v>
      </c>
      <c r="L1757" t="n">
        <v>0.828</v>
      </c>
      <c r="M1757" t="n">
        <v>0</v>
      </c>
    </row>
    <row r="1758" spans="1:13">
      <c r="A1758" s="1">
        <f>HYPERLINK("http://www.twitter.com/NathanBLawrence/status/973971216997470209", "973971216997470209")</f>
        <v/>
      </c>
      <c r="B1758" s="2" t="n">
        <v>43173.72</v>
      </c>
      <c r="C1758" t="n">
        <v>0</v>
      </c>
      <c r="D1758" t="n">
        <v>60</v>
      </c>
      <c r="E1758" t="s">
        <v>1752</v>
      </c>
      <c r="F1758" t="s"/>
      <c r="G1758" t="s"/>
      <c r="H1758" t="s"/>
      <c r="I1758" t="s"/>
      <c r="J1758" t="n">
        <v>0.296</v>
      </c>
      <c r="K1758" t="n">
        <v>0.089</v>
      </c>
      <c r="L1758" t="n">
        <v>0.745</v>
      </c>
      <c r="M1758" t="n">
        <v>0.167</v>
      </c>
    </row>
    <row r="1759" spans="1:13">
      <c r="A1759" s="1">
        <f>HYPERLINK("http://www.twitter.com/NathanBLawrence/status/973046675941089280", "973046675941089280")</f>
        <v/>
      </c>
      <c r="B1759" s="2" t="n">
        <v>43171.16875</v>
      </c>
      <c r="C1759" t="n">
        <v>0</v>
      </c>
      <c r="D1759" t="n">
        <v>483</v>
      </c>
      <c r="E1759" t="s">
        <v>1753</v>
      </c>
      <c r="F1759">
        <f>HYPERLINK("http://pbs.twimg.com/media/DYCVDgbWsAUdXb7.jpg", "http://pbs.twimg.com/media/DYCVDgbWsAUdXb7.jpg")</f>
        <v/>
      </c>
      <c r="G1759" t="s"/>
      <c r="H1759" t="s"/>
      <c r="I1759" t="s"/>
      <c r="J1759" t="n">
        <v>0</v>
      </c>
      <c r="K1759" t="n">
        <v>0</v>
      </c>
      <c r="L1759" t="n">
        <v>1</v>
      </c>
      <c r="M1759" t="n">
        <v>0</v>
      </c>
    </row>
    <row r="1760" spans="1:13">
      <c r="A1760" s="1">
        <f>HYPERLINK("http://www.twitter.com/NathanBLawrence/status/973041184649236481", "973041184649236481")</f>
        <v/>
      </c>
      <c r="B1760" s="2" t="n">
        <v>43171.15359953704</v>
      </c>
      <c r="C1760" t="n">
        <v>0</v>
      </c>
      <c r="D1760" t="n">
        <v>161</v>
      </c>
      <c r="E1760" t="s">
        <v>1754</v>
      </c>
      <c r="F1760">
        <f>HYPERLINK("http://pbs.twimg.com/media/DYCGbWKV4AAwkVR.jpg", "http://pbs.twimg.com/media/DYCGbWKV4AAwkVR.jpg")</f>
        <v/>
      </c>
      <c r="G1760" t="s"/>
      <c r="H1760" t="s"/>
      <c r="I1760" t="s"/>
      <c r="J1760" t="n">
        <v>0.6971000000000001</v>
      </c>
      <c r="K1760" t="n">
        <v>0</v>
      </c>
      <c r="L1760" t="n">
        <v>0.6929999999999999</v>
      </c>
      <c r="M1760" t="n">
        <v>0.307</v>
      </c>
    </row>
    <row r="1761" spans="1:13">
      <c r="A1761" s="1">
        <f>HYPERLINK("http://www.twitter.com/NathanBLawrence/status/973037397180108800", "973037397180108800")</f>
        <v/>
      </c>
      <c r="B1761" s="2" t="n">
        <v>43171.14314814815</v>
      </c>
      <c r="C1761" t="n">
        <v>0</v>
      </c>
      <c r="D1761" t="n">
        <v>358</v>
      </c>
      <c r="E1761" t="s">
        <v>1755</v>
      </c>
      <c r="F1761">
        <f>HYPERLINK("http://pbs.twimg.com/media/DYCFoNdX4AELzcc.jpg", "http://pbs.twimg.com/media/DYCFoNdX4AELzcc.jpg")</f>
        <v/>
      </c>
      <c r="G1761" t="s"/>
      <c r="H1761" t="s"/>
      <c r="I1761" t="s"/>
      <c r="J1761" t="n">
        <v>0.25</v>
      </c>
      <c r="K1761" t="n">
        <v>0</v>
      </c>
      <c r="L1761" t="n">
        <v>0.9</v>
      </c>
      <c r="M1761" t="n">
        <v>0.1</v>
      </c>
    </row>
    <row r="1762" spans="1:13">
      <c r="A1762" s="1">
        <f>HYPERLINK("http://www.twitter.com/NathanBLawrence/status/973033661548449792", "973033661548449792")</f>
        <v/>
      </c>
      <c r="B1762" s="2" t="n">
        <v>43171.13283564815</v>
      </c>
      <c r="C1762" t="n">
        <v>0</v>
      </c>
      <c r="D1762" t="n">
        <v>106</v>
      </c>
      <c r="E1762" t="s">
        <v>1756</v>
      </c>
      <c r="F1762">
        <f>HYPERLINK("http://pbs.twimg.com/media/DYDjsphUQAAiL9L.jpg", "http://pbs.twimg.com/media/DYDjsphUQAAiL9L.jpg")</f>
        <v/>
      </c>
      <c r="G1762" t="s"/>
      <c r="H1762" t="s"/>
      <c r="I1762" t="s"/>
      <c r="J1762" t="n">
        <v>0</v>
      </c>
      <c r="K1762" t="n">
        <v>0</v>
      </c>
      <c r="L1762" t="n">
        <v>1</v>
      </c>
      <c r="M1762" t="n">
        <v>0</v>
      </c>
    </row>
    <row r="1763" spans="1:13">
      <c r="A1763" s="1">
        <f>HYPERLINK("http://www.twitter.com/NathanBLawrence/status/973030622242463744", "973030622242463744")</f>
        <v/>
      </c>
      <c r="B1763" s="2" t="n">
        <v>43171.12445601852</v>
      </c>
      <c r="C1763" t="n">
        <v>0</v>
      </c>
      <c r="D1763" t="n">
        <v>11</v>
      </c>
      <c r="E1763" t="s">
        <v>1757</v>
      </c>
      <c r="F1763" t="s"/>
      <c r="G1763" t="s"/>
      <c r="H1763" t="s"/>
      <c r="I1763" t="s"/>
      <c r="J1763" t="n">
        <v>0</v>
      </c>
      <c r="K1763" t="n">
        <v>0</v>
      </c>
      <c r="L1763" t="n">
        <v>1</v>
      </c>
      <c r="M1763" t="n">
        <v>0</v>
      </c>
    </row>
    <row r="1764" spans="1:13">
      <c r="A1764" s="1">
        <f>HYPERLINK("http://www.twitter.com/NathanBLawrence/status/973030593402429440", "973030593402429440")</f>
        <v/>
      </c>
      <c r="B1764" s="2" t="n">
        <v>43171.124375</v>
      </c>
      <c r="C1764" t="n">
        <v>0</v>
      </c>
      <c r="D1764" t="n">
        <v>4</v>
      </c>
      <c r="E1764" t="s">
        <v>1758</v>
      </c>
      <c r="F1764" t="s"/>
      <c r="G1764" t="s"/>
      <c r="H1764" t="s"/>
      <c r="I1764" t="s"/>
      <c r="J1764" t="n">
        <v>0</v>
      </c>
      <c r="K1764" t="n">
        <v>0</v>
      </c>
      <c r="L1764" t="n">
        <v>1</v>
      </c>
      <c r="M1764" t="n">
        <v>0</v>
      </c>
    </row>
    <row r="1765" spans="1:13">
      <c r="A1765" s="1">
        <f>HYPERLINK("http://www.twitter.com/NathanBLawrence/status/973030524066332672", "973030524066332672")</f>
        <v/>
      </c>
      <c r="B1765" s="2" t="n">
        <v>43171.12417824074</v>
      </c>
      <c r="C1765" t="n">
        <v>0</v>
      </c>
      <c r="D1765" t="n">
        <v>4</v>
      </c>
      <c r="E1765" t="s">
        <v>1759</v>
      </c>
      <c r="F1765" t="s"/>
      <c r="G1765" t="s"/>
      <c r="H1765" t="s"/>
      <c r="I1765" t="s"/>
      <c r="J1765" t="n">
        <v>0</v>
      </c>
      <c r="K1765" t="n">
        <v>0</v>
      </c>
      <c r="L1765" t="n">
        <v>1</v>
      </c>
      <c r="M1765" t="n">
        <v>0</v>
      </c>
    </row>
    <row r="1766" spans="1:13">
      <c r="A1766" s="1">
        <f>HYPERLINK("http://www.twitter.com/NathanBLawrence/status/973030488440016896", "973030488440016896")</f>
        <v/>
      </c>
      <c r="B1766" s="2" t="n">
        <v>43171.12408564815</v>
      </c>
      <c r="C1766" t="n">
        <v>0</v>
      </c>
      <c r="D1766" t="n">
        <v>4</v>
      </c>
      <c r="E1766" t="s">
        <v>1760</v>
      </c>
      <c r="F1766" t="s"/>
      <c r="G1766" t="s"/>
      <c r="H1766" t="s"/>
      <c r="I1766" t="s"/>
      <c r="J1766" t="n">
        <v>0</v>
      </c>
      <c r="K1766" t="n">
        <v>0</v>
      </c>
      <c r="L1766" t="n">
        <v>1</v>
      </c>
      <c r="M1766" t="n">
        <v>0</v>
      </c>
    </row>
    <row r="1767" spans="1:13">
      <c r="A1767" s="1">
        <f>HYPERLINK("http://www.twitter.com/NathanBLawrence/status/973030474384924672", "973030474384924672")</f>
        <v/>
      </c>
      <c r="B1767" s="2" t="n">
        <v>43171.12403935185</v>
      </c>
      <c r="C1767" t="n">
        <v>0</v>
      </c>
      <c r="D1767" t="n">
        <v>4</v>
      </c>
      <c r="E1767" t="s">
        <v>1761</v>
      </c>
      <c r="F1767" t="s"/>
      <c r="G1767" t="s"/>
      <c r="H1767" t="s"/>
      <c r="I1767" t="s"/>
      <c r="J1767" t="n">
        <v>-0.4215</v>
      </c>
      <c r="K1767" t="n">
        <v>0.109</v>
      </c>
      <c r="L1767" t="n">
        <v>0.891</v>
      </c>
      <c r="M1767" t="n">
        <v>0</v>
      </c>
    </row>
    <row r="1768" spans="1:13">
      <c r="A1768" s="1">
        <f>HYPERLINK("http://www.twitter.com/NathanBLawrence/status/973030461395099648", "973030461395099648")</f>
        <v/>
      </c>
      <c r="B1768" s="2" t="n">
        <v>43171.12400462963</v>
      </c>
      <c r="C1768" t="n">
        <v>0</v>
      </c>
      <c r="D1768" t="n">
        <v>4</v>
      </c>
      <c r="E1768" t="s">
        <v>1762</v>
      </c>
      <c r="F1768" t="s"/>
      <c r="G1768" t="s"/>
      <c r="H1768" t="s"/>
      <c r="I1768" t="s"/>
      <c r="J1768" t="n">
        <v>-0.7845</v>
      </c>
      <c r="K1768" t="n">
        <v>0.257</v>
      </c>
      <c r="L1768" t="n">
        <v>0.743</v>
      </c>
      <c r="M1768" t="n">
        <v>0</v>
      </c>
    </row>
    <row r="1769" spans="1:13">
      <c r="A1769" s="1">
        <f>HYPERLINK("http://www.twitter.com/NathanBLawrence/status/973030448363458560", "973030448363458560")</f>
        <v/>
      </c>
      <c r="B1769" s="2" t="n">
        <v>43171.12396990741</v>
      </c>
      <c r="C1769" t="n">
        <v>0</v>
      </c>
      <c r="D1769" t="n">
        <v>4</v>
      </c>
      <c r="E1769" t="s">
        <v>1763</v>
      </c>
      <c r="F1769" t="s"/>
      <c r="G1769" t="s"/>
      <c r="H1769" t="s"/>
      <c r="I1769" t="s"/>
      <c r="J1769" t="n">
        <v>0.128</v>
      </c>
      <c r="K1769" t="n">
        <v>0</v>
      </c>
      <c r="L1769" t="n">
        <v>0.9360000000000001</v>
      </c>
      <c r="M1769" t="n">
        <v>0.064</v>
      </c>
    </row>
    <row r="1770" spans="1:13">
      <c r="A1770" s="1">
        <f>HYPERLINK("http://www.twitter.com/NathanBLawrence/status/972963283954229249", "972963283954229249")</f>
        <v/>
      </c>
      <c r="B1770" s="2" t="n">
        <v>43170.93863425926</v>
      </c>
      <c r="C1770" t="n">
        <v>0</v>
      </c>
      <c r="D1770" t="n">
        <v>1300</v>
      </c>
      <c r="E1770" t="s">
        <v>1764</v>
      </c>
      <c r="F1770">
        <f>HYPERLINK("http://pbs.twimg.com/media/DYCWe0nWsAIYmjK.jpg", "http://pbs.twimg.com/media/DYCWe0nWsAIYmjK.jpg")</f>
        <v/>
      </c>
      <c r="G1770" t="s"/>
      <c r="H1770" t="s"/>
      <c r="I1770" t="s"/>
      <c r="J1770" t="n">
        <v>0</v>
      </c>
      <c r="K1770" t="n">
        <v>0</v>
      </c>
      <c r="L1770" t="n">
        <v>1</v>
      </c>
      <c r="M1770" t="n">
        <v>0</v>
      </c>
    </row>
    <row r="1771" spans="1:13">
      <c r="A1771" s="1">
        <f>HYPERLINK("http://www.twitter.com/NathanBLawrence/status/972963109236244488", "972963109236244488")</f>
        <v/>
      </c>
      <c r="B1771" s="2" t="n">
        <v>43170.93814814815</v>
      </c>
      <c r="C1771" t="n">
        <v>0</v>
      </c>
      <c r="D1771" t="n">
        <v>37</v>
      </c>
      <c r="E1771" t="s">
        <v>1765</v>
      </c>
      <c r="F1771">
        <f>HYPERLINK("http://pbs.twimg.com/media/DYClRzvWkAEEl0F.jpg", "http://pbs.twimg.com/media/DYClRzvWkAEEl0F.jpg")</f>
        <v/>
      </c>
      <c r="G1771" t="s"/>
      <c r="H1771" t="s"/>
      <c r="I1771" t="s"/>
      <c r="J1771" t="n">
        <v>0</v>
      </c>
      <c r="K1771" t="n">
        <v>0</v>
      </c>
      <c r="L1771" t="n">
        <v>1</v>
      </c>
      <c r="M1771" t="n">
        <v>0</v>
      </c>
    </row>
    <row r="1772" spans="1:13">
      <c r="A1772" s="1">
        <f>HYPERLINK("http://www.twitter.com/NathanBLawrence/status/972959080196263936", "972959080196263936")</f>
        <v/>
      </c>
      <c r="B1772" s="2" t="n">
        <v>43170.92703703704</v>
      </c>
      <c r="C1772" t="n">
        <v>0</v>
      </c>
      <c r="D1772" t="n">
        <v>30507</v>
      </c>
      <c r="E1772" t="s">
        <v>1766</v>
      </c>
      <c r="F1772">
        <f>HYPERLINK("http://pbs.twimg.com/media/DMvWM72WsAEJpB8.jpg", "http://pbs.twimg.com/media/DMvWM72WsAEJpB8.jpg")</f>
        <v/>
      </c>
      <c r="G1772">
        <f>HYPERLINK("http://pbs.twimg.com/media/DMvWNb-XkAADQxo.jpg", "http://pbs.twimg.com/media/DMvWNb-XkAADQxo.jpg")</f>
        <v/>
      </c>
      <c r="H1772" t="s"/>
      <c r="I1772" t="s"/>
      <c r="J1772" t="n">
        <v>0.4019</v>
      </c>
      <c r="K1772" t="n">
        <v>0</v>
      </c>
      <c r="L1772" t="n">
        <v>0.803</v>
      </c>
      <c r="M1772" t="n">
        <v>0.197</v>
      </c>
    </row>
    <row r="1773" spans="1:13">
      <c r="A1773" s="1">
        <f>HYPERLINK("http://www.twitter.com/NathanBLawrence/status/972907013536698369", "972907013536698369")</f>
        <v/>
      </c>
      <c r="B1773" s="2" t="n">
        <v>43170.78335648148</v>
      </c>
      <c r="C1773" t="n">
        <v>4</v>
      </c>
      <c r="D1773" t="n">
        <v>1</v>
      </c>
      <c r="E1773" t="s">
        <v>1767</v>
      </c>
      <c r="F1773" t="s"/>
      <c r="G1773" t="s"/>
      <c r="H1773" t="s"/>
      <c r="I1773" t="s"/>
      <c r="J1773" t="n">
        <v>0.9688</v>
      </c>
      <c r="K1773" t="n">
        <v>0</v>
      </c>
      <c r="L1773" t="n">
        <v>0.66</v>
      </c>
      <c r="M1773" t="n">
        <v>0.34</v>
      </c>
    </row>
    <row r="1774" spans="1:13">
      <c r="A1774" s="1">
        <f>HYPERLINK("http://www.twitter.com/NathanBLawrence/status/972890169081761792", "972890169081761792")</f>
        <v/>
      </c>
      <c r="B1774" s="2" t="n">
        <v>43170.736875</v>
      </c>
      <c r="C1774" t="n">
        <v>0</v>
      </c>
      <c r="D1774" t="n">
        <v>1</v>
      </c>
      <c r="E1774" t="s">
        <v>1768</v>
      </c>
      <c r="F1774" t="s"/>
      <c r="G1774" t="s"/>
      <c r="H1774" t="s"/>
      <c r="I1774" t="s"/>
      <c r="J1774" t="n">
        <v>0.7115</v>
      </c>
      <c r="K1774" t="n">
        <v>0.152</v>
      </c>
      <c r="L1774" t="n">
        <v>0.495</v>
      </c>
      <c r="M1774" t="n">
        <v>0.353</v>
      </c>
    </row>
    <row r="1775" spans="1:13">
      <c r="A1775" s="1">
        <f>HYPERLINK("http://www.twitter.com/NathanBLawrence/status/972722438122418176", "972722438122418176")</f>
        <v/>
      </c>
      <c r="B1775" s="2" t="n">
        <v>43170.27402777778</v>
      </c>
      <c r="C1775" t="n">
        <v>0</v>
      </c>
      <c r="D1775" t="n">
        <v>4</v>
      </c>
      <c r="E1775" t="s">
        <v>1769</v>
      </c>
      <c r="F1775">
        <f>HYPERLINK("http://pbs.twimg.com/media/DXrqHLYUMAAJdqc.jpg", "http://pbs.twimg.com/media/DXrqHLYUMAAJdqc.jpg")</f>
        <v/>
      </c>
      <c r="G1775">
        <f>HYPERLINK("http://pbs.twimg.com/media/DXrqHLYU0AEihdQ.jpg", "http://pbs.twimg.com/media/DXrqHLYU0AEihdQ.jpg")</f>
        <v/>
      </c>
      <c r="H1775" t="s"/>
      <c r="I1775" t="s"/>
      <c r="J1775" t="n">
        <v>0.6914</v>
      </c>
      <c r="K1775" t="n">
        <v>0</v>
      </c>
      <c r="L1775" t="n">
        <v>0.8139999999999999</v>
      </c>
      <c r="M1775" t="n">
        <v>0.186</v>
      </c>
    </row>
    <row r="1776" spans="1:13">
      <c r="A1776" s="1">
        <f>HYPERLINK("http://www.twitter.com/NathanBLawrence/status/972673277071183872", "972673277071183872")</f>
        <v/>
      </c>
      <c r="B1776" s="2" t="n">
        <v>43170.13836805556</v>
      </c>
      <c r="C1776" t="n">
        <v>0</v>
      </c>
      <c r="D1776" t="n">
        <v>14</v>
      </c>
      <c r="E1776" t="s">
        <v>1770</v>
      </c>
      <c r="F1776">
        <f>HYPERLINK("http://pbs.twimg.com/media/DX-Xq13UQAAln7V.jpg", "http://pbs.twimg.com/media/DX-Xq13UQAAln7V.jpg")</f>
        <v/>
      </c>
      <c r="G1776" t="s"/>
      <c r="H1776" t="s"/>
      <c r="I1776" t="s"/>
      <c r="J1776" t="n">
        <v>-0.3089</v>
      </c>
      <c r="K1776" t="n">
        <v>0.157</v>
      </c>
      <c r="L1776" t="n">
        <v>0.745</v>
      </c>
      <c r="M1776" t="n">
        <v>0.098</v>
      </c>
    </row>
    <row r="1777" spans="1:13">
      <c r="A1777" s="1">
        <f>HYPERLINK("http://www.twitter.com/NathanBLawrence/status/972672411807244288", "972672411807244288")</f>
        <v/>
      </c>
      <c r="B1777" s="2" t="n">
        <v>43170.1359837963</v>
      </c>
      <c r="C1777" t="n">
        <v>0</v>
      </c>
      <c r="D1777" t="n">
        <v>13</v>
      </c>
      <c r="E1777" t="s">
        <v>1771</v>
      </c>
      <c r="F1777" t="s"/>
      <c r="G1777" t="s"/>
      <c r="H1777" t="s"/>
      <c r="I1777" t="s"/>
      <c r="J1777" t="n">
        <v>0.3987</v>
      </c>
      <c r="K1777" t="n">
        <v>0</v>
      </c>
      <c r="L1777" t="n">
        <v>0.856</v>
      </c>
      <c r="M1777" t="n">
        <v>0.144</v>
      </c>
    </row>
    <row r="1778" spans="1:13">
      <c r="A1778" s="1">
        <f>HYPERLINK("http://www.twitter.com/NathanBLawrence/status/972672379230015489", "972672379230015489")</f>
        <v/>
      </c>
      <c r="B1778" s="2" t="n">
        <v>43170.1358912037</v>
      </c>
      <c r="C1778" t="n">
        <v>0</v>
      </c>
      <c r="D1778" t="n">
        <v>487</v>
      </c>
      <c r="E1778" t="s">
        <v>1772</v>
      </c>
      <c r="F1778">
        <f>HYPERLINK("http://pbs.twimg.com/media/DX-NeWTU8AA5Sp8.jpg", "http://pbs.twimg.com/media/DX-NeWTU8AA5Sp8.jpg")</f>
        <v/>
      </c>
      <c r="G1778" t="s"/>
      <c r="H1778" t="s"/>
      <c r="I1778" t="s"/>
      <c r="J1778" t="n">
        <v>0</v>
      </c>
      <c r="K1778" t="n">
        <v>0</v>
      </c>
      <c r="L1778" t="n">
        <v>1</v>
      </c>
      <c r="M1778" t="n">
        <v>0</v>
      </c>
    </row>
    <row r="1779" spans="1:13">
      <c r="A1779" s="1">
        <f>HYPERLINK("http://www.twitter.com/NathanBLawrence/status/972671554982154240", "972671554982154240")</f>
        <v/>
      </c>
      <c r="B1779" s="2" t="n">
        <v>43170.13361111111</v>
      </c>
      <c r="C1779" t="n">
        <v>0</v>
      </c>
      <c r="D1779" t="n">
        <v>14</v>
      </c>
      <c r="E1779" t="s">
        <v>1773</v>
      </c>
      <c r="F1779">
        <f>HYPERLINK("http://pbs.twimg.com/media/DX8WT8BVQAA7zrL.jpg", "http://pbs.twimg.com/media/DX8WT8BVQAA7zrL.jpg")</f>
        <v/>
      </c>
      <c r="G1779" t="s"/>
      <c r="H1779" t="s"/>
      <c r="I1779" t="s"/>
      <c r="J1779" t="n">
        <v>0</v>
      </c>
      <c r="K1779" t="n">
        <v>0</v>
      </c>
      <c r="L1779" t="n">
        <v>1</v>
      </c>
      <c r="M1779" t="n">
        <v>0</v>
      </c>
    </row>
    <row r="1780" spans="1:13">
      <c r="A1780" s="1">
        <f>HYPERLINK("http://www.twitter.com/NathanBLawrence/status/972624646540529664", "972624646540529664")</f>
        <v/>
      </c>
      <c r="B1780" s="2" t="n">
        <v>43170.00416666667</v>
      </c>
      <c r="C1780" t="n">
        <v>3</v>
      </c>
      <c r="D1780" t="n">
        <v>0</v>
      </c>
      <c r="E1780" t="s">
        <v>1774</v>
      </c>
      <c r="F1780" t="s"/>
      <c r="G1780" t="s"/>
      <c r="H1780" t="s"/>
      <c r="I1780" t="s"/>
      <c r="J1780" t="n">
        <v>0.5399</v>
      </c>
      <c r="K1780" t="n">
        <v>0</v>
      </c>
      <c r="L1780" t="n">
        <v>0.759</v>
      </c>
      <c r="M1780" t="n">
        <v>0.241</v>
      </c>
    </row>
    <row r="1781" spans="1:13">
      <c r="A1781" s="1">
        <f>HYPERLINK("http://www.twitter.com/NathanBLawrence/status/972623174042046464", "972623174042046464")</f>
        <v/>
      </c>
      <c r="B1781" s="2" t="n">
        <v>43170.00010416667</v>
      </c>
      <c r="C1781" t="n">
        <v>2</v>
      </c>
      <c r="D1781" t="n">
        <v>0</v>
      </c>
      <c r="E1781" t="s">
        <v>1775</v>
      </c>
      <c r="F1781" t="s"/>
      <c r="G1781" t="s"/>
      <c r="H1781" t="s"/>
      <c r="I1781" t="s"/>
      <c r="J1781" t="n">
        <v>-0.6398</v>
      </c>
      <c r="K1781" t="n">
        <v>0.264</v>
      </c>
      <c r="L1781" t="n">
        <v>0.585</v>
      </c>
      <c r="M1781" t="n">
        <v>0.151</v>
      </c>
    </row>
    <row r="1782" spans="1:13">
      <c r="A1782" s="1">
        <f>HYPERLINK("http://www.twitter.com/NathanBLawrence/status/972608351153606656", "972608351153606656")</f>
        <v/>
      </c>
      <c r="B1782" s="2" t="n">
        <v>43169.95920138889</v>
      </c>
      <c r="C1782" t="n">
        <v>0</v>
      </c>
      <c r="D1782" t="n">
        <v>20</v>
      </c>
      <c r="E1782" t="s">
        <v>1776</v>
      </c>
      <c r="F1782" t="s"/>
      <c r="G1782" t="s"/>
      <c r="H1782" t="s"/>
      <c r="I1782" t="s"/>
      <c r="J1782" t="n">
        <v>0</v>
      </c>
      <c r="K1782" t="n">
        <v>0</v>
      </c>
      <c r="L1782" t="n">
        <v>1</v>
      </c>
      <c r="M1782" t="n">
        <v>0</v>
      </c>
    </row>
    <row r="1783" spans="1:13">
      <c r="A1783" s="1">
        <f>HYPERLINK("http://www.twitter.com/NathanBLawrence/status/972569990225367040", "972569990225367040")</f>
        <v/>
      </c>
      <c r="B1783" s="2" t="n">
        <v>43169.85334490741</v>
      </c>
      <c r="C1783" t="n">
        <v>0</v>
      </c>
      <c r="D1783" t="n">
        <v>61</v>
      </c>
      <c r="E1783" t="s">
        <v>1777</v>
      </c>
      <c r="F1783">
        <f>HYPERLINK("http://pbs.twimg.com/media/DX8v3BAVAAAjwoB.jpg", "http://pbs.twimg.com/media/DX8v3BAVAAAjwoB.jpg")</f>
        <v/>
      </c>
      <c r="G1783" t="s"/>
      <c r="H1783" t="s"/>
      <c r="I1783" t="s"/>
      <c r="J1783" t="n">
        <v>0</v>
      </c>
      <c r="K1783" t="n">
        <v>0</v>
      </c>
      <c r="L1783" t="n">
        <v>1</v>
      </c>
      <c r="M1783" t="n">
        <v>0</v>
      </c>
    </row>
    <row r="1784" spans="1:13">
      <c r="A1784" s="1">
        <f>HYPERLINK("http://www.twitter.com/NathanBLawrence/status/972564334294503424", "972564334294503424")</f>
        <v/>
      </c>
      <c r="B1784" s="2" t="n">
        <v>43169.83774305556</v>
      </c>
      <c r="C1784" t="n">
        <v>0</v>
      </c>
      <c r="D1784" t="n">
        <v>13891</v>
      </c>
      <c r="E1784" t="s">
        <v>1778</v>
      </c>
      <c r="F1784">
        <f>HYPERLINK("http://pbs.twimg.com/media/DX8uP3xUQAA8wBE.jpg", "http://pbs.twimg.com/media/DX8uP3xUQAA8wBE.jpg")</f>
        <v/>
      </c>
      <c r="G1784" t="s"/>
      <c r="H1784" t="s"/>
      <c r="I1784" t="s"/>
      <c r="J1784" t="n">
        <v>-0.0276</v>
      </c>
      <c r="K1784" t="n">
        <v>0.097</v>
      </c>
      <c r="L1784" t="n">
        <v>0.8090000000000001</v>
      </c>
      <c r="M1784" t="n">
        <v>0.093</v>
      </c>
    </row>
    <row r="1785" spans="1:13">
      <c r="A1785" s="1">
        <f>HYPERLINK("http://www.twitter.com/NathanBLawrence/status/972561991100399617", "972561991100399617")</f>
        <v/>
      </c>
      <c r="B1785" s="2" t="n">
        <v>43169.83127314815</v>
      </c>
      <c r="C1785" t="n">
        <v>0</v>
      </c>
      <c r="D1785" t="n">
        <v>1678</v>
      </c>
      <c r="E1785" t="s">
        <v>1779</v>
      </c>
      <c r="F1785">
        <f>HYPERLINK("http://pbs.twimg.com/media/DX7oQrgVMAUicwr.jpg", "http://pbs.twimg.com/media/DX7oQrgVMAUicwr.jpg")</f>
        <v/>
      </c>
      <c r="G1785" t="s"/>
      <c r="H1785" t="s"/>
      <c r="I1785" t="s"/>
      <c r="J1785" t="n">
        <v>0</v>
      </c>
      <c r="K1785" t="n">
        <v>0</v>
      </c>
      <c r="L1785" t="n">
        <v>1</v>
      </c>
      <c r="M1785" t="n">
        <v>0</v>
      </c>
    </row>
    <row r="1786" spans="1:13">
      <c r="A1786" s="1">
        <f>HYPERLINK("http://www.twitter.com/NathanBLawrence/status/972561246250831872", "972561246250831872")</f>
        <v/>
      </c>
      <c r="B1786" s="2" t="n">
        <v>43169.82922453704</v>
      </c>
      <c r="C1786" t="n">
        <v>0</v>
      </c>
      <c r="D1786" t="n">
        <v>18319</v>
      </c>
      <c r="E1786" t="s">
        <v>1780</v>
      </c>
      <c r="F1786" t="s"/>
      <c r="G1786" t="s"/>
      <c r="H1786" t="s"/>
      <c r="I1786" t="s"/>
      <c r="J1786" t="n">
        <v>0.9136</v>
      </c>
      <c r="K1786" t="n">
        <v>0</v>
      </c>
      <c r="L1786" t="n">
        <v>0.619</v>
      </c>
      <c r="M1786" t="n">
        <v>0.381</v>
      </c>
    </row>
    <row r="1787" spans="1:13">
      <c r="A1787" s="1">
        <f>HYPERLINK("http://www.twitter.com/NathanBLawrence/status/972557246474473477", "972557246474473477")</f>
        <v/>
      </c>
      <c r="B1787" s="2" t="n">
        <v>43169.81818287037</v>
      </c>
      <c r="C1787" t="n">
        <v>0</v>
      </c>
      <c r="D1787" t="n">
        <v>22</v>
      </c>
      <c r="E1787" t="s">
        <v>1781</v>
      </c>
      <c r="F1787">
        <f>HYPERLINK("http://pbs.twimg.com/media/DX802PWUQAAPIXA.jpg", "http://pbs.twimg.com/media/DX802PWUQAAPIXA.jpg")</f>
        <v/>
      </c>
      <c r="G1787" t="s"/>
      <c r="H1787" t="s"/>
      <c r="I1787" t="s"/>
      <c r="J1787" t="n">
        <v>0.3453</v>
      </c>
      <c r="K1787" t="n">
        <v>0.08500000000000001</v>
      </c>
      <c r="L1787" t="n">
        <v>0.779</v>
      </c>
      <c r="M1787" t="n">
        <v>0.136</v>
      </c>
    </row>
    <row r="1788" spans="1:13">
      <c r="A1788" s="1">
        <f>HYPERLINK("http://www.twitter.com/NathanBLawrence/status/972526845550911489", "972526845550911489")</f>
        <v/>
      </c>
      <c r="B1788" s="2" t="n">
        <v>43169.73429398148</v>
      </c>
      <c r="C1788" t="n">
        <v>0</v>
      </c>
      <c r="D1788" t="n">
        <v>7</v>
      </c>
      <c r="E1788" t="s">
        <v>1782</v>
      </c>
      <c r="F1788" t="s"/>
      <c r="G1788" t="s"/>
      <c r="H1788" t="s"/>
      <c r="I1788" t="s"/>
      <c r="J1788" t="n">
        <v>0</v>
      </c>
      <c r="K1788" t="n">
        <v>0</v>
      </c>
      <c r="L1788" t="n">
        <v>1</v>
      </c>
      <c r="M1788" t="n">
        <v>0</v>
      </c>
    </row>
    <row r="1789" spans="1:13">
      <c r="A1789" s="1">
        <f>HYPERLINK("http://www.twitter.com/NathanBLawrence/status/972526522455281664", "972526522455281664")</f>
        <v/>
      </c>
      <c r="B1789" s="2" t="n">
        <v>43169.73340277778</v>
      </c>
      <c r="C1789" t="n">
        <v>0</v>
      </c>
      <c r="D1789" t="n">
        <v>8</v>
      </c>
      <c r="E1789" t="s">
        <v>1783</v>
      </c>
      <c r="F1789" t="s"/>
      <c r="G1789" t="s"/>
      <c r="H1789" t="s"/>
      <c r="I1789" t="s"/>
      <c r="J1789" t="n">
        <v>-0.296</v>
      </c>
      <c r="K1789" t="n">
        <v>0.095</v>
      </c>
      <c r="L1789" t="n">
        <v>0.905</v>
      </c>
      <c r="M1789" t="n">
        <v>0</v>
      </c>
    </row>
    <row r="1790" spans="1:13">
      <c r="A1790" s="1">
        <f>HYPERLINK("http://www.twitter.com/NathanBLawrence/status/972524705193385986", "972524705193385986")</f>
        <v/>
      </c>
      <c r="B1790" s="2" t="n">
        <v>43169.7283912037</v>
      </c>
      <c r="C1790" t="n">
        <v>0</v>
      </c>
      <c r="D1790" t="n">
        <v>6</v>
      </c>
      <c r="E1790" t="s">
        <v>1784</v>
      </c>
      <c r="F1790" t="s"/>
      <c r="G1790" t="s"/>
      <c r="H1790" t="s"/>
      <c r="I1790" t="s"/>
      <c r="J1790" t="n">
        <v>0.2168</v>
      </c>
      <c r="K1790" t="n">
        <v>0.099</v>
      </c>
      <c r="L1790" t="n">
        <v>0.764</v>
      </c>
      <c r="M1790" t="n">
        <v>0.137</v>
      </c>
    </row>
    <row r="1791" spans="1:13">
      <c r="A1791" s="1">
        <f>HYPERLINK("http://www.twitter.com/NathanBLawrence/status/972503310526795777", "972503310526795777")</f>
        <v/>
      </c>
      <c r="B1791" s="2" t="n">
        <v>43169.66935185185</v>
      </c>
      <c r="C1791" t="n">
        <v>0</v>
      </c>
      <c r="D1791" t="n">
        <v>3</v>
      </c>
      <c r="E1791" t="s">
        <v>1785</v>
      </c>
      <c r="F1791" t="s"/>
      <c r="G1791" t="s"/>
      <c r="H1791" t="s"/>
      <c r="I1791" t="s"/>
      <c r="J1791" t="n">
        <v>0.296</v>
      </c>
      <c r="K1791" t="n">
        <v>0.056</v>
      </c>
      <c r="L1791" t="n">
        <v>0.84</v>
      </c>
      <c r="M1791" t="n">
        <v>0.104</v>
      </c>
    </row>
    <row r="1792" spans="1:13">
      <c r="A1792" s="1">
        <f>HYPERLINK("http://www.twitter.com/NathanBLawrence/status/972331170041081856", "972331170041081856")</f>
        <v/>
      </c>
      <c r="B1792" s="2" t="n">
        <v>43169.19432870371</v>
      </c>
      <c r="C1792" t="n">
        <v>0</v>
      </c>
      <c r="D1792" t="n">
        <v>8</v>
      </c>
      <c r="E1792" t="s">
        <v>1786</v>
      </c>
      <c r="F1792" t="s"/>
      <c r="G1792" t="s"/>
      <c r="H1792" t="s"/>
      <c r="I1792" t="s"/>
      <c r="J1792" t="n">
        <v>0.126</v>
      </c>
      <c r="K1792" t="n">
        <v>0.148</v>
      </c>
      <c r="L1792" t="n">
        <v>0.672</v>
      </c>
      <c r="M1792" t="n">
        <v>0.181</v>
      </c>
    </row>
    <row r="1793" spans="1:13">
      <c r="A1793" s="1">
        <f>HYPERLINK("http://www.twitter.com/NathanBLawrence/status/972328700741079041", "972328700741079041")</f>
        <v/>
      </c>
      <c r="B1793" s="2" t="n">
        <v>43169.18751157408</v>
      </c>
      <c r="C1793" t="n">
        <v>0</v>
      </c>
      <c r="D1793" t="n">
        <v>634</v>
      </c>
      <c r="E1793" t="s">
        <v>1787</v>
      </c>
      <c r="F1793" t="s"/>
      <c r="G1793" t="s"/>
      <c r="H1793" t="s"/>
      <c r="I1793" t="s"/>
      <c r="J1793" t="n">
        <v>-0.5574</v>
      </c>
      <c r="K1793" t="n">
        <v>0.146</v>
      </c>
      <c r="L1793" t="n">
        <v>0.854</v>
      </c>
      <c r="M1793" t="n">
        <v>0</v>
      </c>
    </row>
    <row r="1794" spans="1:13">
      <c r="A1794" s="1">
        <f>HYPERLINK("http://www.twitter.com/NathanBLawrence/status/972316128499380224", "972316128499380224")</f>
        <v/>
      </c>
      <c r="B1794" s="2" t="n">
        <v>43169.15282407407</v>
      </c>
      <c r="C1794" t="n">
        <v>0</v>
      </c>
      <c r="D1794" t="n">
        <v>44</v>
      </c>
      <c r="E1794" t="s">
        <v>1788</v>
      </c>
      <c r="F1794" t="s"/>
      <c r="G1794" t="s"/>
      <c r="H1794" t="s"/>
      <c r="I1794" t="s"/>
      <c r="J1794" t="n">
        <v>0.6908</v>
      </c>
      <c r="K1794" t="n">
        <v>0</v>
      </c>
      <c r="L1794" t="n">
        <v>0.769</v>
      </c>
      <c r="M1794" t="n">
        <v>0.231</v>
      </c>
    </row>
    <row r="1795" spans="1:13">
      <c r="A1795" s="1">
        <f>HYPERLINK("http://www.twitter.com/NathanBLawrence/status/972309504518914048", "972309504518914048")</f>
        <v/>
      </c>
      <c r="B1795" s="2" t="n">
        <v>43169.13454861111</v>
      </c>
      <c r="C1795" t="n">
        <v>0</v>
      </c>
      <c r="D1795" t="n">
        <v>44</v>
      </c>
      <c r="E1795" t="s">
        <v>1789</v>
      </c>
      <c r="F1795" t="s"/>
      <c r="G1795" t="s"/>
      <c r="H1795" t="s"/>
      <c r="I1795" t="s"/>
      <c r="J1795" t="n">
        <v>0</v>
      </c>
      <c r="K1795" t="n">
        <v>0</v>
      </c>
      <c r="L1795" t="n">
        <v>1</v>
      </c>
      <c r="M1795" t="n">
        <v>0</v>
      </c>
    </row>
    <row r="1796" spans="1:13">
      <c r="A1796" s="1">
        <f>HYPERLINK("http://www.twitter.com/NathanBLawrence/status/972309013789540352", "972309013789540352")</f>
        <v/>
      </c>
      <c r="B1796" s="2" t="n">
        <v>43169.13319444445</v>
      </c>
      <c r="C1796" t="n">
        <v>0</v>
      </c>
      <c r="D1796" t="n">
        <v>514</v>
      </c>
      <c r="E1796" t="s">
        <v>1790</v>
      </c>
      <c r="F1796">
        <f>HYPERLINK("http://pbs.twimg.com/media/DX4VL-4X0AAnyGY.jpg", "http://pbs.twimg.com/media/DX4VL-4X0AAnyGY.jpg")</f>
        <v/>
      </c>
      <c r="G1796" t="s"/>
      <c r="H1796" t="s"/>
      <c r="I1796" t="s"/>
      <c r="J1796" t="n">
        <v>0.6679</v>
      </c>
      <c r="K1796" t="n">
        <v>0</v>
      </c>
      <c r="L1796" t="n">
        <v>0.756</v>
      </c>
      <c r="M1796" t="n">
        <v>0.244</v>
      </c>
    </row>
    <row r="1797" spans="1:13">
      <c r="A1797" s="1">
        <f>HYPERLINK("http://www.twitter.com/NathanBLawrence/status/972248257815564288", "972248257815564288")</f>
        <v/>
      </c>
      <c r="B1797" s="2" t="n">
        <v>43168.9655324074</v>
      </c>
      <c r="C1797" t="n">
        <v>0</v>
      </c>
      <c r="D1797" t="n">
        <v>27</v>
      </c>
      <c r="E1797" t="s">
        <v>1791</v>
      </c>
      <c r="F1797">
        <f>HYPERLINK("http://pbs.twimg.com/media/DX4POOkW0AUv6LH.jpg", "http://pbs.twimg.com/media/DX4POOkW0AUv6LH.jpg")</f>
        <v/>
      </c>
      <c r="G1797" t="s"/>
      <c r="H1797" t="s"/>
      <c r="I1797" t="s"/>
      <c r="J1797" t="n">
        <v>0.6597</v>
      </c>
      <c r="K1797" t="n">
        <v>0</v>
      </c>
      <c r="L1797" t="n">
        <v>0.748</v>
      </c>
      <c r="M1797" t="n">
        <v>0.252</v>
      </c>
    </row>
    <row r="1798" spans="1:13">
      <c r="A1798" s="1">
        <f>HYPERLINK("http://www.twitter.com/NathanBLawrence/status/972245682676432897", "972245682676432897")</f>
        <v/>
      </c>
      <c r="B1798" s="2" t="n">
        <v>43168.95842592593</v>
      </c>
      <c r="C1798" t="n">
        <v>0</v>
      </c>
      <c r="D1798" t="n">
        <v>5056</v>
      </c>
      <c r="E1798" t="s">
        <v>1792</v>
      </c>
      <c r="F1798">
        <f>HYPERLINK("http://pbs.twimg.com/media/DX3xFB_VAAAYM3X.jpg", "http://pbs.twimg.com/media/DX3xFB_VAAAYM3X.jpg")</f>
        <v/>
      </c>
      <c r="G1798" t="s"/>
      <c r="H1798" t="s"/>
      <c r="I1798" t="s"/>
      <c r="J1798" t="n">
        <v>0.6597</v>
      </c>
      <c r="K1798" t="n">
        <v>0</v>
      </c>
      <c r="L1798" t="n">
        <v>0.671</v>
      </c>
      <c r="M1798" t="n">
        <v>0.329</v>
      </c>
    </row>
    <row r="1799" spans="1:13">
      <c r="A1799" s="1">
        <f>HYPERLINK("http://www.twitter.com/NathanBLawrence/status/972224053976227840", "972224053976227840")</f>
        <v/>
      </c>
      <c r="B1799" s="2" t="n">
        <v>43168.89875</v>
      </c>
      <c r="C1799" t="n">
        <v>0</v>
      </c>
      <c r="D1799" t="n">
        <v>5</v>
      </c>
      <c r="E1799" t="s">
        <v>1793</v>
      </c>
      <c r="F1799" t="s"/>
      <c r="G1799" t="s"/>
      <c r="H1799" t="s"/>
      <c r="I1799" t="s"/>
      <c r="J1799" t="n">
        <v>0.636</v>
      </c>
      <c r="K1799" t="n">
        <v>0.106</v>
      </c>
      <c r="L1799" t="n">
        <v>0.603</v>
      </c>
      <c r="M1799" t="n">
        <v>0.291</v>
      </c>
    </row>
    <row r="1800" spans="1:13">
      <c r="A1800" s="1">
        <f>HYPERLINK("http://www.twitter.com/NathanBLawrence/status/972216522784505857", "972216522784505857")</f>
        <v/>
      </c>
      <c r="B1800" s="2" t="n">
        <v>43168.87796296296</v>
      </c>
      <c r="C1800" t="n">
        <v>0</v>
      </c>
      <c r="D1800" t="n">
        <v>1</v>
      </c>
      <c r="E1800" t="s">
        <v>1794</v>
      </c>
      <c r="F1800" t="s"/>
      <c r="G1800" t="s"/>
      <c r="H1800" t="s"/>
      <c r="I1800" t="s"/>
      <c r="J1800" t="n">
        <v>0</v>
      </c>
      <c r="K1800" t="n">
        <v>0</v>
      </c>
      <c r="L1800" t="n">
        <v>1</v>
      </c>
      <c r="M1800" t="n">
        <v>0</v>
      </c>
    </row>
    <row r="1801" spans="1:13">
      <c r="A1801" s="1">
        <f>HYPERLINK("http://www.twitter.com/NathanBLawrence/status/972214068382715906", "972214068382715906")</f>
        <v/>
      </c>
      <c r="B1801" s="2" t="n">
        <v>43168.87119212963</v>
      </c>
      <c r="C1801" t="n">
        <v>0</v>
      </c>
      <c r="D1801" t="n">
        <v>286</v>
      </c>
      <c r="E1801" t="s">
        <v>1795</v>
      </c>
      <c r="F1801" t="s"/>
      <c r="G1801" t="s"/>
      <c r="H1801" t="s"/>
      <c r="I1801" t="s"/>
      <c r="J1801" t="n">
        <v>0.7964</v>
      </c>
      <c r="K1801" t="n">
        <v>0</v>
      </c>
      <c r="L1801" t="n">
        <v>0.722</v>
      </c>
      <c r="M1801" t="n">
        <v>0.278</v>
      </c>
    </row>
    <row r="1802" spans="1:13">
      <c r="A1802" s="1">
        <f>HYPERLINK("http://www.twitter.com/NathanBLawrence/status/972214043330129920", "972214043330129920")</f>
        <v/>
      </c>
      <c r="B1802" s="2" t="n">
        <v>43168.87112268519</v>
      </c>
      <c r="C1802" t="n">
        <v>0</v>
      </c>
      <c r="D1802" t="n">
        <v>4</v>
      </c>
      <c r="E1802" t="s">
        <v>1796</v>
      </c>
      <c r="F1802" t="s"/>
      <c r="G1802" t="s"/>
      <c r="H1802" t="s"/>
      <c r="I1802" t="s"/>
      <c r="J1802" t="n">
        <v>0.9089</v>
      </c>
      <c r="K1802" t="n">
        <v>0</v>
      </c>
      <c r="L1802" t="n">
        <v>0.647</v>
      </c>
      <c r="M1802" t="n">
        <v>0.353</v>
      </c>
    </row>
    <row r="1803" spans="1:13">
      <c r="A1803" s="1">
        <f>HYPERLINK("http://www.twitter.com/NathanBLawrence/status/972213819849216000", "972213819849216000")</f>
        <v/>
      </c>
      <c r="B1803" s="2" t="n">
        <v>43168.87050925926</v>
      </c>
      <c r="C1803" t="n">
        <v>6</v>
      </c>
      <c r="D1803" t="n">
        <v>4</v>
      </c>
      <c r="E1803" t="s">
        <v>1797</v>
      </c>
      <c r="F1803" t="s"/>
      <c r="G1803" t="s"/>
      <c r="H1803" t="s"/>
      <c r="I1803" t="s"/>
      <c r="J1803" t="n">
        <v>0.9676</v>
      </c>
      <c r="K1803" t="n">
        <v>0</v>
      </c>
      <c r="L1803" t="n">
        <v>0.697</v>
      </c>
      <c r="M1803" t="n">
        <v>0.303</v>
      </c>
    </row>
    <row r="1804" spans="1:13">
      <c r="A1804" s="1">
        <f>HYPERLINK("http://www.twitter.com/NathanBLawrence/status/972210744648458241", "972210744648458241")</f>
        <v/>
      </c>
      <c r="B1804" s="2" t="n">
        <v>43168.86201388889</v>
      </c>
      <c r="C1804" t="n">
        <v>1</v>
      </c>
      <c r="D1804" t="n">
        <v>0</v>
      </c>
      <c r="E1804" t="s">
        <v>1798</v>
      </c>
      <c r="F1804" t="s"/>
      <c r="G1804" t="s"/>
      <c r="H1804" t="s"/>
      <c r="I1804" t="s"/>
      <c r="J1804" t="n">
        <v>0.8843</v>
      </c>
      <c r="K1804" t="n">
        <v>0</v>
      </c>
      <c r="L1804" t="n">
        <v>0.6820000000000001</v>
      </c>
      <c r="M1804" t="n">
        <v>0.318</v>
      </c>
    </row>
    <row r="1805" spans="1:13">
      <c r="A1805" s="1">
        <f>HYPERLINK("http://www.twitter.com/NathanBLawrence/status/972140963354128386", "972140963354128386")</f>
        <v/>
      </c>
      <c r="B1805" s="2" t="n">
        <v>43168.66945601852</v>
      </c>
      <c r="C1805" t="n">
        <v>0</v>
      </c>
      <c r="D1805" t="n">
        <v>666</v>
      </c>
      <c r="E1805" t="s">
        <v>1799</v>
      </c>
      <c r="F1805" t="s"/>
      <c r="G1805" t="s"/>
      <c r="H1805" t="s"/>
      <c r="I1805" t="s"/>
      <c r="J1805" t="n">
        <v>0.126</v>
      </c>
      <c r="K1805" t="n">
        <v>0.08500000000000001</v>
      </c>
      <c r="L1805" t="n">
        <v>0.8120000000000001</v>
      </c>
      <c r="M1805" t="n">
        <v>0.103</v>
      </c>
    </row>
    <row r="1806" spans="1:13">
      <c r="A1806" s="1">
        <f>HYPERLINK("http://www.twitter.com/NathanBLawrence/status/972120814983184384", "972120814983184384")</f>
        <v/>
      </c>
      <c r="B1806" s="2" t="n">
        <v>43168.61386574074</v>
      </c>
      <c r="C1806" t="n">
        <v>0</v>
      </c>
      <c r="D1806" t="n">
        <v>850</v>
      </c>
      <c r="E1806" t="s">
        <v>1800</v>
      </c>
      <c r="F1806">
        <f>HYPERLINK("http://pbs.twimg.com/media/DXypUDzWsAA31mc.jpg", "http://pbs.twimg.com/media/DXypUDzWsAA31mc.jpg")</f>
        <v/>
      </c>
      <c r="G1806" t="s"/>
      <c r="H1806" t="s"/>
      <c r="I1806" t="s"/>
      <c r="J1806" t="n">
        <v>0</v>
      </c>
      <c r="K1806" t="n">
        <v>0</v>
      </c>
      <c r="L1806" t="n">
        <v>1</v>
      </c>
      <c r="M1806" t="n">
        <v>0</v>
      </c>
    </row>
    <row r="1807" spans="1:13">
      <c r="A1807" s="1">
        <f>HYPERLINK("http://www.twitter.com/NathanBLawrence/status/972119631870746624", "972119631870746624")</f>
        <v/>
      </c>
      <c r="B1807" s="2" t="n">
        <v>43168.61060185185</v>
      </c>
      <c r="C1807" t="n">
        <v>6</v>
      </c>
      <c r="D1807" t="n">
        <v>4</v>
      </c>
      <c r="E1807" t="s">
        <v>1801</v>
      </c>
      <c r="F1807" t="s"/>
      <c r="G1807" t="s"/>
      <c r="H1807" t="s"/>
      <c r="I1807" t="s"/>
      <c r="J1807" t="n">
        <v>0.5667</v>
      </c>
      <c r="K1807" t="n">
        <v>0</v>
      </c>
      <c r="L1807" t="n">
        <v>0.881</v>
      </c>
      <c r="M1807" t="n">
        <v>0.119</v>
      </c>
    </row>
    <row r="1808" spans="1:13">
      <c r="A1808" s="1">
        <f>HYPERLINK("http://www.twitter.com/NathanBLawrence/status/972056252627996672", "972056252627996672")</f>
        <v/>
      </c>
      <c r="B1808" s="2" t="n">
        <v>43168.43570601852</v>
      </c>
      <c r="C1808" t="n">
        <v>29</v>
      </c>
      <c r="D1808" t="n">
        <v>28</v>
      </c>
      <c r="E1808" t="s">
        <v>1802</v>
      </c>
      <c r="F1808" t="s"/>
      <c r="G1808" t="s"/>
      <c r="H1808" t="s"/>
      <c r="I1808" t="s"/>
      <c r="J1808" t="n">
        <v>0.9554</v>
      </c>
      <c r="K1808" t="n">
        <v>0.056</v>
      </c>
      <c r="L1808" t="n">
        <v>0.624</v>
      </c>
      <c r="M1808" t="n">
        <v>0.32</v>
      </c>
    </row>
    <row r="1809" spans="1:13">
      <c r="A1809" s="1">
        <f>HYPERLINK("http://www.twitter.com/NathanBLawrence/status/972050797025529856", "972050797025529856")</f>
        <v/>
      </c>
      <c r="B1809" s="2" t="n">
        <v>43168.42064814815</v>
      </c>
      <c r="C1809" t="n">
        <v>0</v>
      </c>
      <c r="D1809" t="n">
        <v>0</v>
      </c>
      <c r="E1809" t="s">
        <v>1803</v>
      </c>
      <c r="F1809" t="s"/>
      <c r="G1809" t="s"/>
      <c r="H1809" t="s"/>
      <c r="I1809" t="s"/>
      <c r="J1809" t="n">
        <v>-0.7192</v>
      </c>
      <c r="K1809" t="n">
        <v>0.281</v>
      </c>
      <c r="L1809" t="n">
        <v>0.62</v>
      </c>
      <c r="M1809" t="n">
        <v>0.099</v>
      </c>
    </row>
    <row r="1810" spans="1:13">
      <c r="A1810" s="1">
        <f>HYPERLINK("http://www.twitter.com/NathanBLawrence/status/972042603184185344", "972042603184185344")</f>
        <v/>
      </c>
      <c r="B1810" s="2" t="n">
        <v>43168.39803240741</v>
      </c>
      <c r="C1810" t="n">
        <v>0</v>
      </c>
      <c r="D1810" t="n">
        <v>2995</v>
      </c>
      <c r="E1810" t="s">
        <v>1804</v>
      </c>
      <c r="F1810">
        <f>HYPERLINK("https://video.twimg.com/ext_tw_video/956752821314965504/pu/vid/480x480/7glPS4_v2S8trjrw.mp4", "https://video.twimg.com/ext_tw_video/956752821314965504/pu/vid/480x480/7glPS4_v2S8trjrw.mp4")</f>
        <v/>
      </c>
      <c r="G1810" t="s"/>
      <c r="H1810" t="s"/>
      <c r="I1810" t="s"/>
      <c r="J1810" t="n">
        <v>0</v>
      </c>
      <c r="K1810" t="n">
        <v>0</v>
      </c>
      <c r="L1810" t="n">
        <v>1</v>
      </c>
      <c r="M1810" t="n">
        <v>0</v>
      </c>
    </row>
    <row r="1811" spans="1:13">
      <c r="A1811" s="1">
        <f>HYPERLINK("http://www.twitter.com/NathanBLawrence/status/972041639823859712", "972041639823859712")</f>
        <v/>
      </c>
      <c r="B1811" s="2" t="n">
        <v>43168.39538194444</v>
      </c>
      <c r="C1811" t="n">
        <v>0</v>
      </c>
      <c r="D1811" t="n">
        <v>97</v>
      </c>
      <c r="E1811" t="s">
        <v>1805</v>
      </c>
      <c r="F1811">
        <f>HYPERLINK("http://pbs.twimg.com/media/DXzNKQcV4AAGGzL.jpg", "http://pbs.twimg.com/media/DXzNKQcV4AAGGzL.jpg")</f>
        <v/>
      </c>
      <c r="G1811" t="s"/>
      <c r="H1811" t="s"/>
      <c r="I1811" t="s"/>
      <c r="J1811" t="n">
        <v>-0.34</v>
      </c>
      <c r="K1811" t="n">
        <v>0.147</v>
      </c>
      <c r="L1811" t="n">
        <v>0.755</v>
      </c>
      <c r="M1811" t="n">
        <v>0.097</v>
      </c>
    </row>
    <row r="1812" spans="1:13">
      <c r="A1812" s="1">
        <f>HYPERLINK("http://www.twitter.com/NathanBLawrence/status/972036817175433217", "972036817175433217")</f>
        <v/>
      </c>
      <c r="B1812" s="2" t="n">
        <v>43168.38207175926</v>
      </c>
      <c r="C1812" t="n">
        <v>0</v>
      </c>
      <c r="D1812" t="n">
        <v>3230</v>
      </c>
      <c r="E1812" t="s">
        <v>1806</v>
      </c>
      <c r="F1812">
        <f>HYPERLINK("http://pbs.twimg.com/media/DXywUL-WAAEUm2L.jpg", "http://pbs.twimg.com/media/DXywUL-WAAEUm2L.jpg")</f>
        <v/>
      </c>
      <c r="G1812" t="s"/>
      <c r="H1812" t="s"/>
      <c r="I1812" t="s"/>
      <c r="J1812" t="n">
        <v>-0.296</v>
      </c>
      <c r="K1812" t="n">
        <v>0.091</v>
      </c>
      <c r="L1812" t="n">
        <v>0.909</v>
      </c>
      <c r="M1812" t="n">
        <v>0</v>
      </c>
    </row>
    <row r="1813" spans="1:13">
      <c r="A1813" s="1">
        <f>HYPERLINK("http://www.twitter.com/NathanBLawrence/status/971977900386742272", "971977900386742272")</f>
        <v/>
      </c>
      <c r="B1813" s="2" t="n">
        <v>43168.21949074074</v>
      </c>
      <c r="C1813" t="n">
        <v>0</v>
      </c>
      <c r="D1813" t="n">
        <v>6</v>
      </c>
      <c r="E1813" t="s">
        <v>1807</v>
      </c>
      <c r="F1813">
        <f>HYPERLINK("http://pbs.twimg.com/media/DXy3QHUXkAEoEME.jpg", "http://pbs.twimg.com/media/DXy3QHUXkAEoEME.jpg")</f>
        <v/>
      </c>
      <c r="G1813" t="s"/>
      <c r="H1813" t="s"/>
      <c r="I1813" t="s"/>
      <c r="J1813" t="n">
        <v>0.4215</v>
      </c>
      <c r="K1813" t="n">
        <v>0</v>
      </c>
      <c r="L1813" t="n">
        <v>0.877</v>
      </c>
      <c r="M1813" t="n">
        <v>0.123</v>
      </c>
    </row>
    <row r="1814" spans="1:13">
      <c r="A1814" s="1">
        <f>HYPERLINK("http://www.twitter.com/NathanBLawrence/status/971971103387041800", "971971103387041800")</f>
        <v/>
      </c>
      <c r="B1814" s="2" t="n">
        <v>43168.20074074074</v>
      </c>
      <c r="C1814" t="n">
        <v>0</v>
      </c>
      <c r="D1814" t="n">
        <v>0</v>
      </c>
      <c r="E1814" t="s">
        <v>1808</v>
      </c>
      <c r="F1814" t="s"/>
      <c r="G1814" t="s"/>
      <c r="H1814" t="s"/>
      <c r="I1814" t="s"/>
      <c r="J1814" t="n">
        <v>0</v>
      </c>
      <c r="K1814" t="n">
        <v>0</v>
      </c>
      <c r="L1814" t="n">
        <v>1</v>
      </c>
      <c r="M1814" t="n">
        <v>0</v>
      </c>
    </row>
    <row r="1815" spans="1:13">
      <c r="A1815" s="1">
        <f>HYPERLINK("http://www.twitter.com/NathanBLawrence/status/971966297255772161", "971966297255772161")</f>
        <v/>
      </c>
      <c r="B1815" s="2" t="n">
        <v>43168.18747685185</v>
      </c>
      <c r="C1815" t="n">
        <v>0</v>
      </c>
      <c r="D1815" t="n">
        <v>294</v>
      </c>
      <c r="E1815" t="s">
        <v>1809</v>
      </c>
      <c r="F1815" t="s"/>
      <c r="G1815" t="s"/>
      <c r="H1815" t="s"/>
      <c r="I1815" t="s"/>
      <c r="J1815" t="n">
        <v>0.5994</v>
      </c>
      <c r="K1815" t="n">
        <v>0</v>
      </c>
      <c r="L1815" t="n">
        <v>0.5620000000000001</v>
      </c>
      <c r="M1815" t="n">
        <v>0.438</v>
      </c>
    </row>
    <row r="1816" spans="1:13">
      <c r="A1816" s="1">
        <f>HYPERLINK("http://www.twitter.com/NathanBLawrence/status/971966132679712769", "971966132679712769")</f>
        <v/>
      </c>
      <c r="B1816" s="2" t="n">
        <v>43168.18701388889</v>
      </c>
      <c r="C1816" t="n">
        <v>0</v>
      </c>
      <c r="D1816" t="n">
        <v>27</v>
      </c>
      <c r="E1816" t="s">
        <v>1810</v>
      </c>
      <c r="F1816">
        <f>HYPERLINK("http://pbs.twimg.com/media/DX0NGfmVoAAX6XV.jpg", "http://pbs.twimg.com/media/DX0NGfmVoAAX6XV.jpg")</f>
        <v/>
      </c>
      <c r="G1816" t="s"/>
      <c r="H1816" t="s"/>
      <c r="I1816" t="s"/>
      <c r="J1816" t="n">
        <v>-0.5904</v>
      </c>
      <c r="K1816" t="n">
        <v>0.12</v>
      </c>
      <c r="L1816" t="n">
        <v>0.88</v>
      </c>
      <c r="M1816" t="n">
        <v>0</v>
      </c>
    </row>
    <row r="1817" spans="1:13">
      <c r="A1817" s="1">
        <f>HYPERLINK("http://www.twitter.com/NathanBLawrence/status/971965916052316160", "971965916052316160")</f>
        <v/>
      </c>
      <c r="B1817" s="2" t="n">
        <v>43168.18642361111</v>
      </c>
      <c r="C1817" t="n">
        <v>0</v>
      </c>
      <c r="D1817" t="n">
        <v>2</v>
      </c>
      <c r="E1817" t="s">
        <v>1811</v>
      </c>
      <c r="F1817" t="s"/>
      <c r="G1817" t="s"/>
      <c r="H1817" t="s"/>
      <c r="I1817" t="s"/>
      <c r="J1817" t="n">
        <v>-0.0516</v>
      </c>
      <c r="K1817" t="n">
        <v>0.186</v>
      </c>
      <c r="L1817" t="n">
        <v>0.643</v>
      </c>
      <c r="M1817" t="n">
        <v>0.171</v>
      </c>
    </row>
    <row r="1818" spans="1:13">
      <c r="A1818" s="1">
        <f>HYPERLINK("http://www.twitter.com/NathanBLawrence/status/971963732631760897", "971963732631760897")</f>
        <v/>
      </c>
      <c r="B1818" s="2" t="n">
        <v>43168.18039351852</v>
      </c>
      <c r="C1818" t="n">
        <v>0</v>
      </c>
      <c r="D1818" t="n">
        <v>142</v>
      </c>
      <c r="E1818" t="s">
        <v>1812</v>
      </c>
      <c r="F1818">
        <f>HYPERLINK("http://pbs.twimg.com/media/DXzonE1UQAAPRl0.jpg", "http://pbs.twimg.com/media/DXzonE1UQAAPRl0.jpg")</f>
        <v/>
      </c>
      <c r="G1818" t="s"/>
      <c r="H1818" t="s"/>
      <c r="I1818" t="s"/>
      <c r="J1818" t="n">
        <v>0</v>
      </c>
      <c r="K1818" t="n">
        <v>0</v>
      </c>
      <c r="L1818" t="n">
        <v>1</v>
      </c>
      <c r="M1818" t="n">
        <v>0</v>
      </c>
    </row>
    <row r="1819" spans="1:13">
      <c r="A1819" s="1">
        <f>HYPERLINK("http://www.twitter.com/NathanBLawrence/status/971925384785784832", "971925384785784832")</f>
        <v/>
      </c>
      <c r="B1819" s="2" t="n">
        <v>43168.07457175926</v>
      </c>
      <c r="C1819" t="n">
        <v>2</v>
      </c>
      <c r="D1819" t="n">
        <v>1</v>
      </c>
      <c r="E1819" t="s">
        <v>1813</v>
      </c>
      <c r="F1819" t="s"/>
      <c r="G1819" t="s"/>
      <c r="H1819" t="s"/>
      <c r="I1819" t="s"/>
      <c r="J1819" t="n">
        <v>0</v>
      </c>
      <c r="K1819" t="n">
        <v>0</v>
      </c>
      <c r="L1819" t="n">
        <v>1</v>
      </c>
      <c r="M1819" t="n">
        <v>0</v>
      </c>
    </row>
    <row r="1820" spans="1:13">
      <c r="A1820" s="1">
        <f>HYPERLINK("http://www.twitter.com/NathanBLawrence/status/971925261871611906", "971925261871611906")</f>
        <v/>
      </c>
      <c r="B1820" s="2" t="n">
        <v>43168.07423611111</v>
      </c>
      <c r="C1820" t="n">
        <v>1</v>
      </c>
      <c r="D1820" t="n">
        <v>1</v>
      </c>
      <c r="E1820" t="s">
        <v>1814</v>
      </c>
      <c r="F1820">
        <f>HYPERLINK("http://pbs.twimg.com/media/DXz42szX4AE8ntE.jpg", "http://pbs.twimg.com/media/DXz42szX4AE8ntE.jpg")</f>
        <v/>
      </c>
      <c r="G1820" t="s"/>
      <c r="H1820" t="s"/>
      <c r="I1820" t="s"/>
      <c r="J1820" t="n">
        <v>0</v>
      </c>
      <c r="K1820" t="n">
        <v>0</v>
      </c>
      <c r="L1820" t="n">
        <v>1</v>
      </c>
      <c r="M1820" t="n">
        <v>0</v>
      </c>
    </row>
    <row r="1821" spans="1:13">
      <c r="A1821" s="1">
        <f>HYPERLINK("http://www.twitter.com/NathanBLawrence/status/971924166810243073", "971924166810243073")</f>
        <v/>
      </c>
      <c r="B1821" s="2" t="n">
        <v>43168.07121527778</v>
      </c>
      <c r="C1821" t="n">
        <v>0</v>
      </c>
      <c r="D1821" t="n">
        <v>0</v>
      </c>
      <c r="E1821" t="s">
        <v>1815</v>
      </c>
      <c r="F1821" t="s"/>
      <c r="G1821" t="s"/>
      <c r="H1821" t="s"/>
      <c r="I1821" t="s"/>
      <c r="J1821" t="n">
        <v>0</v>
      </c>
      <c r="K1821" t="n">
        <v>0</v>
      </c>
      <c r="L1821" t="n">
        <v>1</v>
      </c>
      <c r="M1821" t="n">
        <v>0</v>
      </c>
    </row>
    <row r="1822" spans="1:13">
      <c r="A1822" s="1">
        <f>HYPERLINK("http://www.twitter.com/NathanBLawrence/status/971922312856526849", "971922312856526849")</f>
        <v/>
      </c>
      <c r="B1822" s="2" t="n">
        <v>43168.06609953703</v>
      </c>
      <c r="C1822" t="n">
        <v>6</v>
      </c>
      <c r="D1822" t="n">
        <v>4</v>
      </c>
      <c r="E1822" t="s">
        <v>1816</v>
      </c>
      <c r="F1822" t="s"/>
      <c r="G1822" t="s"/>
      <c r="H1822" t="s"/>
      <c r="I1822" t="s"/>
      <c r="J1822" t="n">
        <v>0.8034</v>
      </c>
      <c r="K1822" t="n">
        <v>0.052</v>
      </c>
      <c r="L1822" t="n">
        <v>0.755</v>
      </c>
      <c r="M1822" t="n">
        <v>0.192</v>
      </c>
    </row>
    <row r="1823" spans="1:13">
      <c r="A1823" s="1">
        <f>HYPERLINK("http://www.twitter.com/NathanBLawrence/status/971915541853233152", "971915541853233152")</f>
        <v/>
      </c>
      <c r="B1823" s="2" t="n">
        <v>43168.04741898148</v>
      </c>
      <c r="C1823" t="n">
        <v>5</v>
      </c>
      <c r="D1823" t="n">
        <v>5</v>
      </c>
      <c r="E1823" t="s">
        <v>1817</v>
      </c>
      <c r="F1823" t="s"/>
      <c r="G1823" t="s"/>
      <c r="H1823" t="s"/>
      <c r="I1823" t="s"/>
      <c r="J1823" t="n">
        <v>-0.0498</v>
      </c>
      <c r="K1823" t="n">
        <v>0.082</v>
      </c>
      <c r="L1823" t="n">
        <v>0.839</v>
      </c>
      <c r="M1823" t="n">
        <v>0.079</v>
      </c>
    </row>
    <row r="1824" spans="1:13">
      <c r="A1824" s="1">
        <f>HYPERLINK("http://www.twitter.com/NathanBLawrence/status/971911234563002368", "971911234563002368")</f>
        <v/>
      </c>
      <c r="B1824" s="2" t="n">
        <v>43168.0355324074</v>
      </c>
      <c r="C1824" t="n">
        <v>5</v>
      </c>
      <c r="D1824" t="n">
        <v>6</v>
      </c>
      <c r="E1824" t="s">
        <v>1818</v>
      </c>
      <c r="F1824" t="s"/>
      <c r="G1824" t="s"/>
      <c r="H1824" t="s"/>
      <c r="I1824" t="s"/>
      <c r="J1824" t="n">
        <v>0.1531</v>
      </c>
      <c r="K1824" t="n">
        <v>0.09</v>
      </c>
      <c r="L1824" t="n">
        <v>0.8080000000000001</v>
      </c>
      <c r="M1824" t="n">
        <v>0.102</v>
      </c>
    </row>
    <row r="1825" spans="1:13">
      <c r="A1825" s="1">
        <f>HYPERLINK("http://www.twitter.com/NathanBLawrence/status/971849257446793216", "971849257446793216")</f>
        <v/>
      </c>
      <c r="B1825" s="2" t="n">
        <v>43167.86450231481</v>
      </c>
      <c r="C1825" t="n">
        <v>0</v>
      </c>
      <c r="D1825" t="n">
        <v>6</v>
      </c>
      <c r="E1825" t="s">
        <v>1819</v>
      </c>
      <c r="F1825" t="s"/>
      <c r="G1825" t="s"/>
      <c r="H1825" t="s"/>
      <c r="I1825" t="s"/>
      <c r="J1825" t="n">
        <v>0.4767</v>
      </c>
      <c r="K1825" t="n">
        <v>0</v>
      </c>
      <c r="L1825" t="n">
        <v>0.866</v>
      </c>
      <c r="M1825" t="n">
        <v>0.134</v>
      </c>
    </row>
    <row r="1826" spans="1:13">
      <c r="A1826" s="1">
        <f>HYPERLINK("http://www.twitter.com/NathanBLawrence/status/971810009452605444", "971810009452605444")</f>
        <v/>
      </c>
      <c r="B1826" s="2" t="n">
        <v>43167.75620370371</v>
      </c>
      <c r="C1826" t="n">
        <v>0</v>
      </c>
      <c r="D1826" t="n">
        <v>0</v>
      </c>
      <c r="E1826" t="s">
        <v>1820</v>
      </c>
      <c r="F1826" t="s"/>
      <c r="G1826" t="s"/>
      <c r="H1826" t="s"/>
      <c r="I1826" t="s"/>
      <c r="J1826" t="n">
        <v>0.8364</v>
      </c>
      <c r="K1826" t="n">
        <v>0</v>
      </c>
      <c r="L1826" t="n">
        <v>0.669</v>
      </c>
      <c r="M1826" t="n">
        <v>0.331</v>
      </c>
    </row>
    <row r="1827" spans="1:13">
      <c r="A1827" s="1">
        <f>HYPERLINK("http://www.twitter.com/NathanBLawrence/status/971804774860578816", "971804774860578816")</f>
        <v/>
      </c>
      <c r="B1827" s="2" t="n">
        <v>43167.74175925926</v>
      </c>
      <c r="C1827" t="n">
        <v>5</v>
      </c>
      <c r="D1827" t="n">
        <v>6</v>
      </c>
      <c r="E1827" t="s">
        <v>1821</v>
      </c>
      <c r="F1827" t="s"/>
      <c r="G1827" t="s"/>
      <c r="H1827" t="s"/>
      <c r="I1827" t="s"/>
      <c r="J1827" t="n">
        <v>0.6679</v>
      </c>
      <c r="K1827" t="n">
        <v>0</v>
      </c>
      <c r="L1827" t="n">
        <v>0.868</v>
      </c>
      <c r="M1827" t="n">
        <v>0.132</v>
      </c>
    </row>
    <row r="1828" spans="1:13">
      <c r="A1828" s="1">
        <f>HYPERLINK("http://www.twitter.com/NathanBLawrence/status/971794954921050123", "971794954921050123")</f>
        <v/>
      </c>
      <c r="B1828" s="2" t="n">
        <v>43167.71465277778</v>
      </c>
      <c r="C1828" t="n">
        <v>0</v>
      </c>
      <c r="D1828" t="n">
        <v>155</v>
      </c>
      <c r="E1828" t="s">
        <v>1822</v>
      </c>
      <c r="F1828">
        <f>HYPERLINK("http://pbs.twimg.com/media/DXjxxZAVMAAMmG-.jpg", "http://pbs.twimg.com/media/DXjxxZAVMAAMmG-.jpg")</f>
        <v/>
      </c>
      <c r="G1828" t="s"/>
      <c r="H1828" t="s"/>
      <c r="I1828" t="s"/>
      <c r="J1828" t="n">
        <v>-0.4939</v>
      </c>
      <c r="K1828" t="n">
        <v>0.167</v>
      </c>
      <c r="L1828" t="n">
        <v>0.833</v>
      </c>
      <c r="M1828" t="n">
        <v>0</v>
      </c>
    </row>
    <row r="1829" spans="1:13">
      <c r="A1829" s="1">
        <f>HYPERLINK("http://www.twitter.com/NathanBLawrence/status/971793874988486656", "971793874988486656")</f>
        <v/>
      </c>
      <c r="B1829" s="2" t="n">
        <v>43167.71167824074</v>
      </c>
      <c r="C1829" t="n">
        <v>0</v>
      </c>
      <c r="D1829" t="n">
        <v>276</v>
      </c>
      <c r="E1829" t="s">
        <v>1823</v>
      </c>
      <c r="F1829">
        <f>HYPERLINK("http://pbs.twimg.com/media/C5pfMtkWQAEJV0z.jpg", "http://pbs.twimg.com/media/C5pfMtkWQAEJV0z.jpg")</f>
        <v/>
      </c>
      <c r="G1829" t="s"/>
      <c r="H1829" t="s"/>
      <c r="I1829" t="s"/>
      <c r="J1829" t="n">
        <v>0</v>
      </c>
      <c r="K1829" t="n">
        <v>0</v>
      </c>
      <c r="L1829" t="n">
        <v>1</v>
      </c>
      <c r="M1829" t="n">
        <v>0</v>
      </c>
    </row>
    <row r="1830" spans="1:13">
      <c r="A1830" s="1">
        <f>HYPERLINK("http://www.twitter.com/NathanBLawrence/status/971783083526709249", "971783083526709249")</f>
        <v/>
      </c>
      <c r="B1830" s="2" t="n">
        <v>43167.68189814815</v>
      </c>
      <c r="C1830" t="n">
        <v>0</v>
      </c>
      <c r="D1830" t="n">
        <v>4</v>
      </c>
      <c r="E1830" t="s">
        <v>1824</v>
      </c>
      <c r="F1830" t="s"/>
      <c r="G1830" t="s"/>
      <c r="H1830" t="s"/>
      <c r="I1830" t="s"/>
      <c r="J1830" t="n">
        <v>0.6808</v>
      </c>
      <c r="K1830" t="n">
        <v>0</v>
      </c>
      <c r="L1830" t="n">
        <v>0.797</v>
      </c>
      <c r="M1830" t="n">
        <v>0.203</v>
      </c>
    </row>
    <row r="1831" spans="1:13">
      <c r="A1831" s="1">
        <f>HYPERLINK("http://www.twitter.com/NathanBLawrence/status/971643787754835968", "971643787754835968")</f>
        <v/>
      </c>
      <c r="B1831" s="2" t="n">
        <v>43167.29751157408</v>
      </c>
      <c r="C1831" t="n">
        <v>0</v>
      </c>
      <c r="D1831" t="n">
        <v>4</v>
      </c>
      <c r="E1831" t="s">
        <v>1825</v>
      </c>
      <c r="F1831">
        <f>HYPERLINK("http://pbs.twimg.com/media/DXUxIOtWAAEmsRC.jpg", "http://pbs.twimg.com/media/DXUxIOtWAAEmsRC.jpg")</f>
        <v/>
      </c>
      <c r="G1831" t="s"/>
      <c r="H1831" t="s"/>
      <c r="I1831" t="s"/>
      <c r="J1831" t="n">
        <v>0</v>
      </c>
      <c r="K1831" t="n">
        <v>0</v>
      </c>
      <c r="L1831" t="n">
        <v>1</v>
      </c>
      <c r="M1831" t="n">
        <v>0</v>
      </c>
    </row>
    <row r="1832" spans="1:13">
      <c r="A1832" s="1">
        <f>HYPERLINK("http://www.twitter.com/NathanBLawrence/status/971641399488770048", "971641399488770048")</f>
        <v/>
      </c>
      <c r="B1832" s="2" t="n">
        <v>43167.29092592592</v>
      </c>
      <c r="C1832" t="n">
        <v>0</v>
      </c>
      <c r="D1832" t="n">
        <v>75</v>
      </c>
      <c r="E1832" t="s">
        <v>1826</v>
      </c>
      <c r="F1832">
        <f>HYPERLINK("http://pbs.twimg.com/media/DXcSYFdX0AAPGCG.jpg", "http://pbs.twimg.com/media/DXcSYFdX0AAPGCG.jpg")</f>
        <v/>
      </c>
      <c r="G1832" t="s"/>
      <c r="H1832" t="s"/>
      <c r="I1832" t="s"/>
      <c r="J1832" t="n">
        <v>0</v>
      </c>
      <c r="K1832" t="n">
        <v>0</v>
      </c>
      <c r="L1832" t="n">
        <v>1</v>
      </c>
      <c r="M1832" t="n">
        <v>0</v>
      </c>
    </row>
    <row r="1833" spans="1:13">
      <c r="A1833" s="1">
        <f>HYPERLINK("http://www.twitter.com/NathanBLawrence/status/971582492842000384", "971582492842000384")</f>
        <v/>
      </c>
      <c r="B1833" s="2" t="n">
        <v>43167.12837962963</v>
      </c>
      <c r="C1833" t="n">
        <v>0</v>
      </c>
      <c r="D1833" t="n">
        <v>11</v>
      </c>
      <c r="E1833" t="s">
        <v>1827</v>
      </c>
      <c r="F1833" t="s"/>
      <c r="G1833" t="s"/>
      <c r="H1833" t="s"/>
      <c r="I1833" t="s"/>
      <c r="J1833" t="n">
        <v>0.1695</v>
      </c>
      <c r="K1833" t="n">
        <v>0</v>
      </c>
      <c r="L1833" t="n">
        <v>0.9320000000000001</v>
      </c>
      <c r="M1833" t="n">
        <v>0.068</v>
      </c>
    </row>
    <row r="1834" spans="1:13">
      <c r="A1834" s="1">
        <f>HYPERLINK("http://www.twitter.com/NathanBLawrence/status/971562162840854528", "971562162840854528")</f>
        <v/>
      </c>
      <c r="B1834" s="2" t="n">
        <v>43167.07228009259</v>
      </c>
      <c r="C1834" t="n">
        <v>0</v>
      </c>
      <c r="D1834" t="n">
        <v>76</v>
      </c>
      <c r="E1834" t="s">
        <v>1828</v>
      </c>
      <c r="F1834" t="s"/>
      <c r="G1834" t="s"/>
      <c r="H1834" t="s"/>
      <c r="I1834" t="s"/>
      <c r="J1834" t="n">
        <v>-0.2732</v>
      </c>
      <c r="K1834" t="n">
        <v>0.117</v>
      </c>
      <c r="L1834" t="n">
        <v>0.8100000000000001</v>
      </c>
      <c r="M1834" t="n">
        <v>0.073</v>
      </c>
    </row>
    <row r="1835" spans="1:13">
      <c r="A1835" s="1">
        <f>HYPERLINK("http://www.twitter.com/NathanBLawrence/status/971559289662922752", "971559289662922752")</f>
        <v/>
      </c>
      <c r="B1835" s="2" t="n">
        <v>43167.06435185186</v>
      </c>
      <c r="C1835" t="n">
        <v>0</v>
      </c>
      <c r="D1835" t="n">
        <v>154</v>
      </c>
      <c r="E1835" t="s">
        <v>1829</v>
      </c>
      <c r="F1835">
        <f>HYPERLINK("http://pbs.twimg.com/media/DXt1aDXVAAAnrOK.jpg", "http://pbs.twimg.com/media/DXt1aDXVAAAnrOK.jpg")</f>
        <v/>
      </c>
      <c r="G1835" t="s"/>
      <c r="H1835" t="s"/>
      <c r="I1835" t="s"/>
      <c r="J1835" t="n">
        <v>-0.5106000000000001</v>
      </c>
      <c r="K1835" t="n">
        <v>0.225</v>
      </c>
      <c r="L1835" t="n">
        <v>0.6830000000000001</v>
      </c>
      <c r="M1835" t="n">
        <v>0.092</v>
      </c>
    </row>
    <row r="1836" spans="1:13">
      <c r="A1836" s="1">
        <f>HYPERLINK("http://www.twitter.com/NathanBLawrence/status/971556808019062784", "971556808019062784")</f>
        <v/>
      </c>
      <c r="B1836" s="2" t="n">
        <v>43167.0575</v>
      </c>
      <c r="C1836" t="n">
        <v>1</v>
      </c>
      <c r="D1836" t="n">
        <v>0</v>
      </c>
      <c r="E1836" t="s">
        <v>1830</v>
      </c>
      <c r="F1836" t="s"/>
      <c r="G1836" t="s"/>
      <c r="H1836" t="s"/>
      <c r="I1836" t="s"/>
      <c r="J1836" t="n">
        <v>0.6369</v>
      </c>
      <c r="K1836" t="n">
        <v>0</v>
      </c>
      <c r="L1836" t="n">
        <v>0.606</v>
      </c>
      <c r="M1836" t="n">
        <v>0.394</v>
      </c>
    </row>
    <row r="1837" spans="1:13">
      <c r="A1837" s="1">
        <f>HYPERLINK("http://www.twitter.com/NathanBLawrence/status/971517633441992704", "971517633441992704")</f>
        <v/>
      </c>
      <c r="B1837" s="2" t="n">
        <v>43166.94939814815</v>
      </c>
      <c r="C1837" t="n">
        <v>0</v>
      </c>
      <c r="D1837" t="n">
        <v>1</v>
      </c>
      <c r="E1837" t="s">
        <v>1831</v>
      </c>
      <c r="F1837" t="s"/>
      <c r="G1837" t="s"/>
      <c r="H1837" t="s"/>
      <c r="I1837" t="s"/>
      <c r="J1837" t="n">
        <v>0</v>
      </c>
      <c r="K1837" t="n">
        <v>0</v>
      </c>
      <c r="L1837" t="n">
        <v>1</v>
      </c>
      <c r="M1837" t="n">
        <v>0</v>
      </c>
    </row>
    <row r="1838" spans="1:13">
      <c r="A1838" s="1">
        <f>HYPERLINK("http://www.twitter.com/NathanBLawrence/status/971462407439749121", "971462407439749121")</f>
        <v/>
      </c>
      <c r="B1838" s="2" t="n">
        <v>43166.79700231482</v>
      </c>
      <c r="C1838" t="n">
        <v>0</v>
      </c>
      <c r="D1838" t="n">
        <v>33</v>
      </c>
      <c r="E1838" t="s">
        <v>1832</v>
      </c>
      <c r="F1838">
        <f>HYPERLINK("http://pbs.twimg.com/media/DXtOwtHVQAA-6a3.jpg", "http://pbs.twimg.com/media/DXtOwtHVQAA-6a3.jpg")</f>
        <v/>
      </c>
      <c r="G1838">
        <f>HYPERLINK("http://pbs.twimg.com/media/DXtOwuEVwAARNL3.jpg", "http://pbs.twimg.com/media/DXtOwuEVwAARNL3.jpg")</f>
        <v/>
      </c>
      <c r="H1838">
        <f>HYPERLINK("http://pbs.twimg.com/media/DXtOwuDUQAAB4K7.jpg", "http://pbs.twimg.com/media/DXtOwuDUQAAB4K7.jpg")</f>
        <v/>
      </c>
      <c r="I1838">
        <f>HYPERLINK("http://pbs.twimg.com/media/DXtOwuOUMAEFSYv.jpg", "http://pbs.twimg.com/media/DXtOwuOUMAEFSYv.jpg")</f>
        <v/>
      </c>
      <c r="J1838" t="n">
        <v>0</v>
      </c>
      <c r="K1838" t="n">
        <v>0</v>
      </c>
      <c r="L1838" t="n">
        <v>1</v>
      </c>
      <c r="M1838" t="n">
        <v>0</v>
      </c>
    </row>
    <row r="1839" spans="1:13">
      <c r="A1839" s="1">
        <f>HYPERLINK("http://www.twitter.com/NathanBLawrence/status/971461645733154816", "971461645733154816")</f>
        <v/>
      </c>
      <c r="B1839" s="2" t="n">
        <v>43166.79489583334</v>
      </c>
      <c r="C1839" t="n">
        <v>5</v>
      </c>
      <c r="D1839" t="n">
        <v>5</v>
      </c>
      <c r="E1839" t="s">
        <v>1833</v>
      </c>
      <c r="F1839" t="s"/>
      <c r="G1839" t="s"/>
      <c r="H1839" t="s"/>
      <c r="I1839" t="s"/>
      <c r="J1839" t="n">
        <v>0</v>
      </c>
      <c r="K1839" t="n">
        <v>0</v>
      </c>
      <c r="L1839" t="n">
        <v>1</v>
      </c>
      <c r="M1839" t="n">
        <v>0</v>
      </c>
    </row>
    <row r="1840" spans="1:13">
      <c r="A1840" s="1">
        <f>HYPERLINK("http://www.twitter.com/NathanBLawrence/status/971421621197078528", "971421621197078528")</f>
        <v/>
      </c>
      <c r="B1840" s="2" t="n">
        <v>43166.68445601852</v>
      </c>
      <c r="C1840" t="n">
        <v>0</v>
      </c>
      <c r="D1840" t="n">
        <v>2194</v>
      </c>
      <c r="E1840" t="s">
        <v>1834</v>
      </c>
      <c r="F1840">
        <f>HYPERLINK("https://video.twimg.com/ext_tw_video/969700649532207105/pu/vid/720x720/m6ROtkQOJpb_nGOw.mp4", "https://video.twimg.com/ext_tw_video/969700649532207105/pu/vid/720x720/m6ROtkQOJpb_nGOw.mp4")</f>
        <v/>
      </c>
      <c r="G1840" t="s"/>
      <c r="H1840" t="s"/>
      <c r="I1840" t="s"/>
      <c r="J1840" t="n">
        <v>-0.6249</v>
      </c>
      <c r="K1840" t="n">
        <v>0.161</v>
      </c>
      <c r="L1840" t="n">
        <v>0.789</v>
      </c>
      <c r="M1840" t="n">
        <v>0.05</v>
      </c>
    </row>
    <row r="1841" spans="1:13">
      <c r="A1841" s="1">
        <f>HYPERLINK("http://www.twitter.com/NathanBLawrence/status/971421516406710272", "971421516406710272")</f>
        <v/>
      </c>
      <c r="B1841" s="2" t="n">
        <v>43166.68416666667</v>
      </c>
      <c r="C1841" t="n">
        <v>11</v>
      </c>
      <c r="D1841" t="n">
        <v>8</v>
      </c>
      <c r="E1841" t="s">
        <v>1835</v>
      </c>
      <c r="F1841" t="s"/>
      <c r="G1841" t="s"/>
      <c r="H1841" t="s"/>
      <c r="I1841" t="s"/>
      <c r="J1841" t="n">
        <v>-0.4037</v>
      </c>
      <c r="K1841" t="n">
        <v>0.163</v>
      </c>
      <c r="L1841" t="n">
        <v>0.738</v>
      </c>
      <c r="M1841" t="n">
        <v>0.1</v>
      </c>
    </row>
    <row r="1842" spans="1:13">
      <c r="A1842" s="1">
        <f>HYPERLINK("http://www.twitter.com/NathanBLawrence/status/971416095155515392", "971416095155515392")</f>
        <v/>
      </c>
      <c r="B1842" s="2" t="n">
        <v>43166.66920138889</v>
      </c>
      <c r="C1842" t="n">
        <v>0</v>
      </c>
      <c r="D1842" t="n">
        <v>10568</v>
      </c>
      <c r="E1842" t="s">
        <v>1836</v>
      </c>
      <c r="F1842" t="s"/>
      <c r="G1842" t="s"/>
      <c r="H1842" t="s"/>
      <c r="I1842" t="s"/>
      <c r="J1842" t="n">
        <v>-0.4588</v>
      </c>
      <c r="K1842" t="n">
        <v>0.212</v>
      </c>
      <c r="L1842" t="n">
        <v>0.6919999999999999</v>
      </c>
      <c r="M1842" t="n">
        <v>0.096</v>
      </c>
    </row>
    <row r="1843" spans="1:13">
      <c r="A1843" s="1">
        <f>HYPERLINK("http://www.twitter.com/NathanBLawrence/status/971415874581225483", "971415874581225483")</f>
        <v/>
      </c>
      <c r="B1843" s="2" t="n">
        <v>43166.66859953704</v>
      </c>
      <c r="C1843" t="n">
        <v>0</v>
      </c>
      <c r="D1843" t="n">
        <v>4535</v>
      </c>
      <c r="E1843" t="s">
        <v>1837</v>
      </c>
      <c r="F1843" t="s"/>
      <c r="G1843" t="s"/>
      <c r="H1843" t="s"/>
      <c r="I1843" t="s"/>
      <c r="J1843" t="n">
        <v>-0.5106000000000001</v>
      </c>
      <c r="K1843" t="n">
        <v>0.163</v>
      </c>
      <c r="L1843" t="n">
        <v>0.837</v>
      </c>
      <c r="M1843" t="n">
        <v>0</v>
      </c>
    </row>
    <row r="1844" spans="1:13">
      <c r="A1844" s="1">
        <f>HYPERLINK("http://www.twitter.com/NathanBLawrence/status/971410357410549760", "971410357410549760")</f>
        <v/>
      </c>
      <c r="B1844" s="2" t="n">
        <v>43166.65336805556</v>
      </c>
      <c r="C1844" t="n">
        <v>0</v>
      </c>
      <c r="D1844" t="n">
        <v>7</v>
      </c>
      <c r="E1844" t="s">
        <v>1838</v>
      </c>
      <c r="F1844" t="s"/>
      <c r="G1844" t="s"/>
      <c r="H1844" t="s"/>
      <c r="I1844" t="s"/>
      <c r="J1844" t="n">
        <v>0</v>
      </c>
      <c r="K1844" t="n">
        <v>0</v>
      </c>
      <c r="L1844" t="n">
        <v>1</v>
      </c>
      <c r="M1844" t="n">
        <v>0</v>
      </c>
    </row>
    <row r="1845" spans="1:13">
      <c r="A1845" s="1">
        <f>HYPERLINK("http://www.twitter.com/NathanBLawrence/status/971407833571962881", "971407833571962881")</f>
        <v/>
      </c>
      <c r="B1845" s="2" t="n">
        <v>43166.64641203704</v>
      </c>
      <c r="C1845" t="n">
        <v>1</v>
      </c>
      <c r="D1845" t="n">
        <v>1</v>
      </c>
      <c r="E1845" t="s">
        <v>1839</v>
      </c>
      <c r="F1845" t="s"/>
      <c r="G1845" t="s"/>
      <c r="H1845" t="s"/>
      <c r="I1845" t="s"/>
      <c r="J1845" t="n">
        <v>-0.8702</v>
      </c>
      <c r="K1845" t="n">
        <v>0.228</v>
      </c>
      <c r="L1845" t="n">
        <v>0.708</v>
      </c>
      <c r="M1845" t="n">
        <v>0.063</v>
      </c>
    </row>
    <row r="1846" spans="1:13">
      <c r="A1846" s="1">
        <f>HYPERLINK("http://www.twitter.com/NathanBLawrence/status/971246648843218944", "971246648843218944")</f>
        <v/>
      </c>
      <c r="B1846" s="2" t="n">
        <v>43166.20162037037</v>
      </c>
      <c r="C1846" t="n">
        <v>0</v>
      </c>
      <c r="D1846" t="n">
        <v>380</v>
      </c>
      <c r="E1846" t="s">
        <v>1840</v>
      </c>
      <c r="F1846" t="s"/>
      <c r="G1846" t="s"/>
      <c r="H1846" t="s"/>
      <c r="I1846" t="s"/>
      <c r="J1846" t="n">
        <v>0.5646</v>
      </c>
      <c r="K1846" t="n">
        <v>0.091</v>
      </c>
      <c r="L1846" t="n">
        <v>0.673</v>
      </c>
      <c r="M1846" t="n">
        <v>0.236</v>
      </c>
    </row>
    <row r="1847" spans="1:13">
      <c r="A1847" s="1">
        <f>HYPERLINK("http://www.twitter.com/NathanBLawrence/status/971243512221130752", "971243512221130752")</f>
        <v/>
      </c>
      <c r="B1847" s="2" t="n">
        <v>43166.19296296296</v>
      </c>
      <c r="C1847" t="n">
        <v>2</v>
      </c>
      <c r="D1847" t="n">
        <v>1</v>
      </c>
      <c r="E1847" t="s">
        <v>1841</v>
      </c>
      <c r="F1847" t="s"/>
      <c r="G1847" t="s"/>
      <c r="H1847" t="s"/>
      <c r="I1847" t="s"/>
      <c r="J1847" t="n">
        <v>0</v>
      </c>
      <c r="K1847" t="n">
        <v>0</v>
      </c>
      <c r="L1847" t="n">
        <v>1</v>
      </c>
      <c r="M1847" t="n">
        <v>0</v>
      </c>
    </row>
    <row r="1848" spans="1:13">
      <c r="A1848" s="1">
        <f>HYPERLINK("http://www.twitter.com/NathanBLawrence/status/971242319583334400", "971242319583334400")</f>
        <v/>
      </c>
      <c r="B1848" s="2" t="n">
        <v>43166.18967592593</v>
      </c>
      <c r="C1848" t="n">
        <v>0</v>
      </c>
      <c r="D1848" t="n">
        <v>7</v>
      </c>
      <c r="E1848" t="s">
        <v>1842</v>
      </c>
      <c r="F1848" t="s"/>
      <c r="G1848" t="s"/>
      <c r="H1848" t="s"/>
      <c r="I1848" t="s"/>
      <c r="J1848" t="n">
        <v>0</v>
      </c>
      <c r="K1848" t="n">
        <v>0</v>
      </c>
      <c r="L1848" t="n">
        <v>1</v>
      </c>
      <c r="M1848" t="n">
        <v>0</v>
      </c>
    </row>
    <row r="1849" spans="1:13">
      <c r="A1849" s="1">
        <f>HYPERLINK("http://www.twitter.com/NathanBLawrence/status/971208478441328641", "971208478441328641")</f>
        <v/>
      </c>
      <c r="B1849" s="2" t="n">
        <v>43166.09629629629</v>
      </c>
      <c r="C1849" t="n">
        <v>0</v>
      </c>
      <c r="D1849" t="n">
        <v>0</v>
      </c>
      <c r="E1849" t="s">
        <v>1843</v>
      </c>
      <c r="F1849" t="s"/>
      <c r="G1849" t="s"/>
      <c r="H1849" t="s"/>
      <c r="I1849" t="s"/>
      <c r="J1849" t="n">
        <v>0</v>
      </c>
      <c r="K1849" t="n">
        <v>0</v>
      </c>
      <c r="L1849" t="n">
        <v>1</v>
      </c>
      <c r="M1849" t="n">
        <v>0</v>
      </c>
    </row>
    <row r="1850" spans="1:13">
      <c r="A1850" s="1">
        <f>HYPERLINK("http://www.twitter.com/NathanBLawrence/status/971178323865894912", "971178323865894912")</f>
        <v/>
      </c>
      <c r="B1850" s="2" t="n">
        <v>43166.01307870371</v>
      </c>
      <c r="C1850" t="n">
        <v>22</v>
      </c>
      <c r="D1850" t="n">
        <v>21</v>
      </c>
      <c r="E1850" t="s">
        <v>1844</v>
      </c>
      <c r="F1850" t="s"/>
      <c r="G1850" t="s"/>
      <c r="H1850" t="s"/>
      <c r="I1850" t="s"/>
      <c r="J1850" t="n">
        <v>-0.7851</v>
      </c>
      <c r="K1850" t="n">
        <v>0.246</v>
      </c>
      <c r="L1850" t="n">
        <v>0.597</v>
      </c>
      <c r="M1850" t="n">
        <v>0.157</v>
      </c>
    </row>
    <row r="1851" spans="1:13">
      <c r="A1851" s="1">
        <f>HYPERLINK("http://www.twitter.com/NathanBLawrence/status/971172056292306945", "971172056292306945")</f>
        <v/>
      </c>
      <c r="B1851" s="2" t="n">
        <v>43165.99578703703</v>
      </c>
      <c r="C1851" t="n">
        <v>0</v>
      </c>
      <c r="D1851" t="n">
        <v>8</v>
      </c>
      <c r="E1851" t="s">
        <v>1845</v>
      </c>
      <c r="F1851">
        <f>HYPERLINK("http://pbs.twimg.com/media/DXoZsjxWAAIRElU.jpg", "http://pbs.twimg.com/media/DXoZsjxWAAIRElU.jpg")</f>
        <v/>
      </c>
      <c r="G1851" t="s"/>
      <c r="H1851" t="s"/>
      <c r="I1851" t="s"/>
      <c r="J1851" t="n">
        <v>0</v>
      </c>
      <c r="K1851" t="n">
        <v>0</v>
      </c>
      <c r="L1851" t="n">
        <v>1</v>
      </c>
      <c r="M1851" t="n">
        <v>0</v>
      </c>
    </row>
    <row r="1852" spans="1:13">
      <c r="A1852" s="1">
        <f>HYPERLINK("http://www.twitter.com/NathanBLawrence/status/971128904130887680", "971128904130887680")</f>
        <v/>
      </c>
      <c r="B1852" s="2" t="n">
        <v>43165.87671296296</v>
      </c>
      <c r="C1852" t="n">
        <v>0</v>
      </c>
      <c r="D1852" t="n">
        <v>4875</v>
      </c>
      <c r="E1852" t="s">
        <v>1846</v>
      </c>
      <c r="F1852" t="s"/>
      <c r="G1852" t="s"/>
      <c r="H1852" t="s"/>
      <c r="I1852" t="s"/>
      <c r="J1852" t="n">
        <v>-0.5574</v>
      </c>
      <c r="K1852" t="n">
        <v>0.18</v>
      </c>
      <c r="L1852" t="n">
        <v>0.82</v>
      </c>
      <c r="M1852" t="n">
        <v>0</v>
      </c>
    </row>
    <row r="1853" spans="1:13">
      <c r="A1853" s="1">
        <f>HYPERLINK("http://www.twitter.com/NathanBLawrence/status/971104241426358273", "971104241426358273")</f>
        <v/>
      </c>
      <c r="B1853" s="2" t="n">
        <v>43165.8086574074</v>
      </c>
      <c r="C1853" t="n">
        <v>1</v>
      </c>
      <c r="D1853" t="n">
        <v>1</v>
      </c>
      <c r="E1853" t="s">
        <v>1847</v>
      </c>
      <c r="F1853" t="s"/>
      <c r="G1853" t="s"/>
      <c r="H1853" t="s"/>
      <c r="I1853" t="s"/>
      <c r="J1853" t="n">
        <v>0.3892</v>
      </c>
      <c r="K1853" t="n">
        <v>0</v>
      </c>
      <c r="L1853" t="n">
        <v>0.901</v>
      </c>
      <c r="M1853" t="n">
        <v>0.099</v>
      </c>
    </row>
    <row r="1854" spans="1:13">
      <c r="A1854" s="1">
        <f>HYPERLINK("http://www.twitter.com/NathanBLawrence/status/971059089387261953", "971059089387261953")</f>
        <v/>
      </c>
      <c r="B1854" s="2" t="n">
        <v>43165.68405092593</v>
      </c>
      <c r="C1854" t="n">
        <v>0</v>
      </c>
      <c r="D1854" t="n">
        <v>1</v>
      </c>
      <c r="E1854" t="s">
        <v>1848</v>
      </c>
      <c r="F1854" t="s"/>
      <c r="G1854" t="s"/>
      <c r="H1854" t="s"/>
      <c r="I1854" t="s"/>
      <c r="J1854" t="n">
        <v>0.7776999999999999</v>
      </c>
      <c r="K1854" t="n">
        <v>0</v>
      </c>
      <c r="L1854" t="n">
        <v>0.756</v>
      </c>
      <c r="M1854" t="n">
        <v>0.244</v>
      </c>
    </row>
    <row r="1855" spans="1:13">
      <c r="A1855" s="1">
        <f>HYPERLINK("http://www.twitter.com/NathanBLawrence/status/971058974966648832", "971058974966648832")</f>
        <v/>
      </c>
      <c r="B1855" s="2" t="n">
        <v>43165.68373842593</v>
      </c>
      <c r="C1855" t="n">
        <v>1</v>
      </c>
      <c r="D1855" t="n">
        <v>1</v>
      </c>
      <c r="E1855" t="s">
        <v>1849</v>
      </c>
      <c r="F1855" t="s"/>
      <c r="G1855" t="s"/>
      <c r="H1855" t="s"/>
      <c r="I1855" t="s"/>
      <c r="J1855" t="n">
        <v>0.8617</v>
      </c>
      <c r="K1855" t="n">
        <v>0.111</v>
      </c>
      <c r="L1855" t="n">
        <v>0.641</v>
      </c>
      <c r="M1855" t="n">
        <v>0.248</v>
      </c>
    </row>
    <row r="1856" spans="1:13">
      <c r="A1856" s="1">
        <f>HYPERLINK("http://www.twitter.com/NathanBLawrence/status/970908589064892416", "970908589064892416")</f>
        <v/>
      </c>
      <c r="B1856" s="2" t="n">
        <v>43165.26875</v>
      </c>
      <c r="C1856" t="n">
        <v>0</v>
      </c>
      <c r="D1856" t="n">
        <v>0</v>
      </c>
      <c r="E1856" t="s">
        <v>1850</v>
      </c>
      <c r="F1856" t="s"/>
      <c r="G1856" t="s"/>
      <c r="H1856" t="s"/>
      <c r="I1856" t="s"/>
      <c r="J1856" t="n">
        <v>0.8209</v>
      </c>
      <c r="K1856" t="n">
        <v>0.118</v>
      </c>
      <c r="L1856" t="n">
        <v>0.644</v>
      </c>
      <c r="M1856" t="n">
        <v>0.237</v>
      </c>
    </row>
    <row r="1857" spans="1:13">
      <c r="A1857" s="1">
        <f>HYPERLINK("http://www.twitter.com/NathanBLawrence/status/970753560739803136", "970753560739803136")</f>
        <v/>
      </c>
      <c r="B1857" s="2" t="n">
        <v>43164.84096064815</v>
      </c>
      <c r="C1857" t="n">
        <v>0</v>
      </c>
      <c r="D1857" t="n">
        <v>149</v>
      </c>
      <c r="E1857" t="s">
        <v>1851</v>
      </c>
      <c r="F1857">
        <f>HYPERLINK("http://pbs.twimg.com/media/DXdGEHLVwAYfZVN.jpg", "http://pbs.twimg.com/media/DXdGEHLVwAYfZVN.jpg")</f>
        <v/>
      </c>
      <c r="G1857" t="s"/>
      <c r="H1857" t="s"/>
      <c r="I1857" t="s"/>
      <c r="J1857" t="n">
        <v>0</v>
      </c>
      <c r="K1857" t="n">
        <v>0</v>
      </c>
      <c r="L1857" t="n">
        <v>1</v>
      </c>
      <c r="M1857" t="n">
        <v>0</v>
      </c>
    </row>
    <row r="1858" spans="1:13">
      <c r="A1858" s="1">
        <f>HYPERLINK("http://www.twitter.com/NathanBLawrence/status/970752033216258056", "970752033216258056")</f>
        <v/>
      </c>
      <c r="B1858" s="2" t="n">
        <v>43164.83674768519</v>
      </c>
      <c r="C1858" t="n">
        <v>0</v>
      </c>
      <c r="D1858" t="n">
        <v>3</v>
      </c>
      <c r="E1858" t="s">
        <v>1852</v>
      </c>
      <c r="F1858">
        <f>HYPERLINK("http://pbs.twimg.com/media/DXi_ci5WkAEUwoA.jpg", "http://pbs.twimg.com/media/DXi_ci5WkAEUwoA.jpg")</f>
        <v/>
      </c>
      <c r="G1858" t="s"/>
      <c r="H1858" t="s"/>
      <c r="I1858" t="s"/>
      <c r="J1858" t="n">
        <v>0</v>
      </c>
      <c r="K1858" t="n">
        <v>0</v>
      </c>
      <c r="L1858" t="n">
        <v>1</v>
      </c>
      <c r="M1858" t="n">
        <v>0</v>
      </c>
    </row>
    <row r="1859" spans="1:13">
      <c r="A1859" s="1">
        <f>HYPERLINK("http://www.twitter.com/NathanBLawrence/status/970679113559298048", "970679113559298048")</f>
        <v/>
      </c>
      <c r="B1859" s="2" t="n">
        <v>43164.63552083333</v>
      </c>
      <c r="C1859" t="n">
        <v>0</v>
      </c>
      <c r="D1859" t="n">
        <v>6</v>
      </c>
      <c r="E1859" t="s">
        <v>1853</v>
      </c>
      <c r="F1859">
        <f>HYPERLINK("http://pbs.twimg.com/media/DXdBY_OXUAI9Nmo.jpg", "http://pbs.twimg.com/media/DXdBY_OXUAI9Nmo.jpg")</f>
        <v/>
      </c>
      <c r="G1859" t="s"/>
      <c r="H1859" t="s"/>
      <c r="I1859" t="s"/>
      <c r="J1859" t="n">
        <v>0</v>
      </c>
      <c r="K1859" t="n">
        <v>0</v>
      </c>
      <c r="L1859" t="n">
        <v>1</v>
      </c>
      <c r="M1859" t="n">
        <v>0</v>
      </c>
    </row>
    <row r="1860" spans="1:13">
      <c r="A1860" s="1">
        <f>HYPERLINK("http://www.twitter.com/NathanBLawrence/status/970671900417511424", "970671900417511424")</f>
        <v/>
      </c>
      <c r="B1860" s="2" t="n">
        <v>43164.61561342593</v>
      </c>
      <c r="C1860" t="n">
        <v>0</v>
      </c>
      <c r="D1860" t="n">
        <v>1925</v>
      </c>
      <c r="E1860" t="s">
        <v>1854</v>
      </c>
      <c r="F1860">
        <f>HYPERLINK("https://video.twimg.com/amplify_video/970353401035927559/vid/640x360/kNuhErlSX_zlT6G2.mp4", "https://video.twimg.com/amplify_video/970353401035927559/vid/640x360/kNuhErlSX_zlT6G2.mp4")</f>
        <v/>
      </c>
      <c r="G1860" t="s"/>
      <c r="H1860" t="s"/>
      <c r="I1860" t="s"/>
      <c r="J1860" t="n">
        <v>-0.6369</v>
      </c>
      <c r="K1860" t="n">
        <v>0.224</v>
      </c>
      <c r="L1860" t="n">
        <v>0.776</v>
      </c>
      <c r="M1860" t="n">
        <v>0</v>
      </c>
    </row>
    <row r="1861" spans="1:13">
      <c r="A1861" s="1">
        <f>HYPERLINK("http://www.twitter.com/NathanBLawrence/status/970646417571221504", "970646417571221504")</f>
        <v/>
      </c>
      <c r="B1861" s="2" t="n">
        <v>43164.54530092593</v>
      </c>
      <c r="C1861" t="n">
        <v>0</v>
      </c>
      <c r="D1861" t="n">
        <v>26</v>
      </c>
      <c r="E1861" t="s">
        <v>1855</v>
      </c>
      <c r="F1861" t="s"/>
      <c r="G1861" t="s"/>
      <c r="H1861" t="s"/>
      <c r="I1861" t="s"/>
      <c r="J1861" t="n">
        <v>0.296</v>
      </c>
      <c r="K1861" t="n">
        <v>0</v>
      </c>
      <c r="L1861" t="n">
        <v>0.784</v>
      </c>
      <c r="M1861" t="n">
        <v>0.216</v>
      </c>
    </row>
    <row r="1862" spans="1:13">
      <c r="A1862" s="1">
        <f>HYPERLINK("http://www.twitter.com/NathanBLawrence/status/970553620138725377", "970553620138725377")</f>
        <v/>
      </c>
      <c r="B1862" s="2" t="n">
        <v>43164.28922453704</v>
      </c>
      <c r="C1862" t="n">
        <v>0</v>
      </c>
      <c r="D1862" t="n">
        <v>769</v>
      </c>
      <c r="E1862" t="s">
        <v>1856</v>
      </c>
      <c r="F1862">
        <f>HYPERLINK("https://video.twimg.com/ext_tw_video/970486088190971905/pu/vid/640x360/Ks2Nab7VsVMhT-7C.mp4", "https://video.twimg.com/ext_tw_video/970486088190971905/pu/vid/640x360/Ks2Nab7VsVMhT-7C.mp4")</f>
        <v/>
      </c>
      <c r="G1862" t="s"/>
      <c r="H1862" t="s"/>
      <c r="I1862" t="s"/>
      <c r="J1862" t="n">
        <v>-0.5266999999999999</v>
      </c>
      <c r="K1862" t="n">
        <v>0.185</v>
      </c>
      <c r="L1862" t="n">
        <v>0.8149999999999999</v>
      </c>
      <c r="M1862" t="n">
        <v>0</v>
      </c>
    </row>
    <row r="1863" spans="1:13">
      <c r="A1863" s="1">
        <f>HYPERLINK("http://www.twitter.com/NathanBLawrence/status/970353993699520513", "970353993699520513")</f>
        <v/>
      </c>
      <c r="B1863" s="2" t="n">
        <v>43163.73836805556</v>
      </c>
      <c r="C1863" t="n">
        <v>0</v>
      </c>
      <c r="D1863" t="n">
        <v>268</v>
      </c>
      <c r="E1863" t="s">
        <v>1857</v>
      </c>
      <c r="F1863" t="s"/>
      <c r="G1863" t="s"/>
      <c r="H1863" t="s"/>
      <c r="I1863" t="s"/>
      <c r="J1863" t="n">
        <v>-0.6369</v>
      </c>
      <c r="K1863" t="n">
        <v>0.206</v>
      </c>
      <c r="L1863" t="n">
        <v>0.794</v>
      </c>
      <c r="M1863" t="n">
        <v>0</v>
      </c>
    </row>
    <row r="1864" spans="1:13">
      <c r="A1864" s="1">
        <f>HYPERLINK("http://www.twitter.com/NathanBLawrence/status/970353967350910976", "970353967350910976")</f>
        <v/>
      </c>
      <c r="B1864" s="2" t="n">
        <v>43163.73828703703</v>
      </c>
      <c r="C1864" t="n">
        <v>0</v>
      </c>
      <c r="D1864" t="n">
        <v>228</v>
      </c>
      <c r="E1864" t="s">
        <v>1858</v>
      </c>
      <c r="F1864">
        <f>HYPERLINK("http://pbs.twimg.com/media/DW-VVRFVoAAQ9mT.jpg", "http://pbs.twimg.com/media/DW-VVRFVoAAQ9mT.jpg")</f>
        <v/>
      </c>
      <c r="G1864">
        <f>HYPERLINK("http://pbs.twimg.com/media/DW-VWHJVAAANc-1.jpg", "http://pbs.twimg.com/media/DW-VWHJVAAANc-1.jpg")</f>
        <v/>
      </c>
      <c r="H1864">
        <f>HYPERLINK("http://pbs.twimg.com/media/DW-VW1sVQAATEvw.jpg", "http://pbs.twimg.com/media/DW-VW1sVQAATEvw.jpg")</f>
        <v/>
      </c>
      <c r="I1864">
        <f>HYPERLINK("http://pbs.twimg.com/media/DW-VXzKVoAA0Rw2.jpg", "http://pbs.twimg.com/media/DW-VXzKVoAA0Rw2.jpg")</f>
        <v/>
      </c>
      <c r="J1864" t="n">
        <v>0.4019</v>
      </c>
      <c r="K1864" t="n">
        <v>0</v>
      </c>
      <c r="L1864" t="n">
        <v>0.87</v>
      </c>
      <c r="M1864" t="n">
        <v>0.13</v>
      </c>
    </row>
    <row r="1865" spans="1:13">
      <c r="A1865" s="1">
        <f>HYPERLINK("http://www.twitter.com/NathanBLawrence/status/970352662167347202", "970352662167347202")</f>
        <v/>
      </c>
      <c r="B1865" s="2" t="n">
        <v>43163.7346875</v>
      </c>
      <c r="C1865" t="n">
        <v>0</v>
      </c>
      <c r="D1865" t="n">
        <v>4</v>
      </c>
      <c r="E1865" t="s">
        <v>1859</v>
      </c>
      <c r="F1865" t="s"/>
      <c r="G1865" t="s"/>
      <c r="H1865" t="s"/>
      <c r="I1865" t="s"/>
      <c r="J1865" t="n">
        <v>0</v>
      </c>
      <c r="K1865" t="n">
        <v>0</v>
      </c>
      <c r="L1865" t="n">
        <v>1</v>
      </c>
      <c r="M1865" t="n">
        <v>0</v>
      </c>
    </row>
    <row r="1866" spans="1:13">
      <c r="A1866" s="1">
        <f>HYPERLINK("http://www.twitter.com/NathanBLawrence/status/970352524828999682", "970352524828999682")</f>
        <v/>
      </c>
      <c r="B1866" s="2" t="n">
        <v>43163.73430555555</v>
      </c>
      <c r="C1866" t="n">
        <v>0</v>
      </c>
      <c r="D1866" t="n">
        <v>7</v>
      </c>
      <c r="E1866" t="s">
        <v>1860</v>
      </c>
      <c r="F1866" t="s"/>
      <c r="G1866" t="s"/>
      <c r="H1866" t="s"/>
      <c r="I1866" t="s"/>
      <c r="J1866" t="n">
        <v>0.6833</v>
      </c>
      <c r="K1866" t="n">
        <v>0</v>
      </c>
      <c r="L1866" t="n">
        <v>0.752</v>
      </c>
      <c r="M1866" t="n">
        <v>0.248</v>
      </c>
    </row>
    <row r="1867" spans="1:13">
      <c r="A1867" s="1">
        <f>HYPERLINK("http://www.twitter.com/NathanBLawrence/status/970352258780139520", "970352258780139520")</f>
        <v/>
      </c>
      <c r="B1867" s="2" t="n">
        <v>43163.73357638889</v>
      </c>
      <c r="C1867" t="n">
        <v>0</v>
      </c>
      <c r="D1867" t="n">
        <v>1687</v>
      </c>
      <c r="E1867" t="s">
        <v>1861</v>
      </c>
      <c r="F1867" t="s"/>
      <c r="G1867" t="s"/>
      <c r="H1867" t="s"/>
      <c r="I1867" t="s"/>
      <c r="J1867" t="n">
        <v>0</v>
      </c>
      <c r="K1867" t="n">
        <v>0</v>
      </c>
      <c r="L1867" t="n">
        <v>1</v>
      </c>
      <c r="M1867" t="n">
        <v>0</v>
      </c>
    </row>
    <row r="1868" spans="1:13">
      <c r="A1868" s="1">
        <f>HYPERLINK("http://www.twitter.com/NathanBLawrence/status/970352023601401857", "970352023601401857")</f>
        <v/>
      </c>
      <c r="B1868" s="2" t="n">
        <v>43163.73292824074</v>
      </c>
      <c r="C1868" t="n">
        <v>0</v>
      </c>
      <c r="D1868" t="n">
        <v>50</v>
      </c>
      <c r="E1868" t="s">
        <v>1862</v>
      </c>
      <c r="F1868">
        <f>HYPERLINK("http://pbs.twimg.com/media/DXVUGn2WkAIHHDr.jpg", "http://pbs.twimg.com/media/DXVUGn2WkAIHHDr.jpg")</f>
        <v/>
      </c>
      <c r="G1868" t="s"/>
      <c r="H1868" t="s"/>
      <c r="I1868" t="s"/>
      <c r="J1868" t="n">
        <v>0</v>
      </c>
      <c r="K1868" t="n">
        <v>0</v>
      </c>
      <c r="L1868" t="n">
        <v>1</v>
      </c>
      <c r="M1868" t="n">
        <v>0</v>
      </c>
    </row>
    <row r="1869" spans="1:13">
      <c r="A1869" s="1">
        <f>HYPERLINK("http://www.twitter.com/NathanBLawrence/status/970196958555058176", "970196958555058176")</f>
        <v/>
      </c>
      <c r="B1869" s="2" t="n">
        <v>43163.30502314815</v>
      </c>
      <c r="C1869" t="n">
        <v>4</v>
      </c>
      <c r="D1869" t="n">
        <v>3</v>
      </c>
      <c r="E1869" t="s">
        <v>1863</v>
      </c>
      <c r="F1869" t="s"/>
      <c r="G1869" t="s"/>
      <c r="H1869" t="s"/>
      <c r="I1869" t="s"/>
      <c r="J1869" t="n">
        <v>0.8265</v>
      </c>
      <c r="K1869" t="n">
        <v>0.044</v>
      </c>
      <c r="L1869" t="n">
        <v>0.759</v>
      </c>
      <c r="M1869" t="n">
        <v>0.197</v>
      </c>
    </row>
    <row r="1870" spans="1:13">
      <c r="A1870" s="1">
        <f>HYPERLINK("http://www.twitter.com/NathanBLawrence/status/970171658937032704", "970171658937032704")</f>
        <v/>
      </c>
      <c r="B1870" s="2" t="n">
        <v>43163.23521990741</v>
      </c>
      <c r="C1870" t="n">
        <v>0</v>
      </c>
      <c r="D1870" t="n">
        <v>9374</v>
      </c>
      <c r="E1870" t="s">
        <v>1864</v>
      </c>
      <c r="F1870" t="s"/>
      <c r="G1870" t="s"/>
      <c r="H1870" t="s"/>
      <c r="I1870" t="s"/>
      <c r="J1870" t="n">
        <v>0</v>
      </c>
      <c r="K1870" t="n">
        <v>0</v>
      </c>
      <c r="L1870" t="n">
        <v>1</v>
      </c>
      <c r="M1870" t="n">
        <v>0</v>
      </c>
    </row>
    <row r="1871" spans="1:13">
      <c r="A1871" s="1">
        <f>HYPERLINK("http://www.twitter.com/NathanBLawrence/status/970163315124178944", "970163315124178944")</f>
        <v/>
      </c>
      <c r="B1871" s="2" t="n">
        <v>43163.2121875</v>
      </c>
      <c r="C1871" t="n">
        <v>0</v>
      </c>
      <c r="D1871" t="n">
        <v>1371</v>
      </c>
      <c r="E1871" t="s">
        <v>1865</v>
      </c>
      <c r="F1871">
        <f>HYPERLINK("http://pbs.twimg.com/media/DXauPH0VAAAgTGr.jpg", "http://pbs.twimg.com/media/DXauPH0VAAAgTGr.jpg")</f>
        <v/>
      </c>
      <c r="G1871" t="s"/>
      <c r="H1871" t="s"/>
      <c r="I1871" t="s"/>
      <c r="J1871" t="n">
        <v>-0.7579</v>
      </c>
      <c r="K1871" t="n">
        <v>0.419</v>
      </c>
      <c r="L1871" t="n">
        <v>0.581</v>
      </c>
      <c r="M1871" t="n">
        <v>0</v>
      </c>
    </row>
    <row r="1872" spans="1:13">
      <c r="A1872" s="1">
        <f>HYPERLINK("http://www.twitter.com/NathanBLawrence/status/970163297218650112", "970163297218650112")</f>
        <v/>
      </c>
      <c r="B1872" s="2" t="n">
        <v>43163.2121412037</v>
      </c>
      <c r="C1872" t="n">
        <v>0</v>
      </c>
      <c r="D1872" t="n">
        <v>2</v>
      </c>
      <c r="E1872" t="s">
        <v>1866</v>
      </c>
      <c r="F1872" t="s"/>
      <c r="G1872" t="s"/>
      <c r="H1872" t="s"/>
      <c r="I1872" t="s"/>
      <c r="J1872" t="n">
        <v>0</v>
      </c>
      <c r="K1872" t="n">
        <v>0</v>
      </c>
      <c r="L1872" t="n">
        <v>1</v>
      </c>
      <c r="M1872" t="n">
        <v>0</v>
      </c>
    </row>
    <row r="1873" spans="1:13">
      <c r="A1873" s="1">
        <f>HYPERLINK("http://www.twitter.com/NathanBLawrence/status/970163058659209216", "970163058659209216")</f>
        <v/>
      </c>
      <c r="B1873" s="2" t="n">
        <v>43163.21148148148</v>
      </c>
      <c r="C1873" t="n">
        <v>9</v>
      </c>
      <c r="D1873" t="n">
        <v>2</v>
      </c>
      <c r="E1873" t="s">
        <v>1867</v>
      </c>
      <c r="F1873" t="s"/>
      <c r="G1873" t="s"/>
      <c r="H1873" t="s"/>
      <c r="I1873" t="s"/>
      <c r="J1873" t="n">
        <v>0</v>
      </c>
      <c r="K1873" t="n">
        <v>0</v>
      </c>
      <c r="L1873" t="n">
        <v>1</v>
      </c>
      <c r="M1873" t="n">
        <v>0</v>
      </c>
    </row>
    <row r="1874" spans="1:13">
      <c r="A1874" s="1">
        <f>HYPERLINK("http://www.twitter.com/NathanBLawrence/status/970150622585597952", "970150622585597952")</f>
        <v/>
      </c>
      <c r="B1874" s="2" t="n">
        <v>43163.17716435185</v>
      </c>
      <c r="C1874" t="n">
        <v>1</v>
      </c>
      <c r="D1874" t="n">
        <v>0</v>
      </c>
      <c r="E1874" t="s">
        <v>1868</v>
      </c>
      <c r="F1874" t="s"/>
      <c r="G1874" t="s"/>
      <c r="H1874" t="s"/>
      <c r="I1874" t="s"/>
      <c r="J1874" t="n">
        <v>-0.8915999999999999</v>
      </c>
      <c r="K1874" t="n">
        <v>0.431</v>
      </c>
      <c r="L1874" t="n">
        <v>0.569</v>
      </c>
      <c r="M1874" t="n">
        <v>0</v>
      </c>
    </row>
    <row r="1875" spans="1:13">
      <c r="A1875" s="1">
        <f>HYPERLINK("http://www.twitter.com/NathanBLawrence/status/970131821068513281", "970131821068513281")</f>
        <v/>
      </c>
      <c r="B1875" s="2" t="n">
        <v>43163.12527777778</v>
      </c>
      <c r="C1875" t="n">
        <v>0</v>
      </c>
      <c r="D1875" t="n">
        <v>71</v>
      </c>
      <c r="E1875" t="s">
        <v>1869</v>
      </c>
      <c r="F1875" t="s"/>
      <c r="G1875" t="s"/>
      <c r="H1875" t="s"/>
      <c r="I1875" t="s"/>
      <c r="J1875" t="n">
        <v>0</v>
      </c>
      <c r="K1875" t="n">
        <v>0</v>
      </c>
      <c r="L1875" t="n">
        <v>1</v>
      </c>
      <c r="M1875" t="n">
        <v>0</v>
      </c>
    </row>
    <row r="1876" spans="1:13">
      <c r="A1876" s="1">
        <f>HYPERLINK("http://www.twitter.com/NathanBLawrence/status/970108476239306762", "970108476239306762")</f>
        <v/>
      </c>
      <c r="B1876" s="2" t="n">
        <v>43163.06086805555</v>
      </c>
      <c r="C1876" t="n">
        <v>0</v>
      </c>
      <c r="D1876" t="n">
        <v>175</v>
      </c>
      <c r="E1876" t="s">
        <v>1870</v>
      </c>
      <c r="F1876">
        <f>HYPERLINK("http://pbs.twimg.com/media/DXTUkcZWsAEXrlM.jpg", "http://pbs.twimg.com/media/DXTUkcZWsAEXrlM.jpg")</f>
        <v/>
      </c>
      <c r="G1876" t="s"/>
      <c r="H1876" t="s"/>
      <c r="I1876" t="s"/>
      <c r="J1876" t="n">
        <v>0</v>
      </c>
      <c r="K1876" t="n">
        <v>0</v>
      </c>
      <c r="L1876" t="n">
        <v>1</v>
      </c>
      <c r="M1876" t="n">
        <v>0</v>
      </c>
    </row>
    <row r="1877" spans="1:13">
      <c r="A1877" s="1">
        <f>HYPERLINK("http://www.twitter.com/NathanBLawrence/status/970108233443627008", "970108233443627008")</f>
        <v/>
      </c>
      <c r="B1877" s="2" t="n">
        <v>43163.06019675926</v>
      </c>
      <c r="C1877" t="n">
        <v>0</v>
      </c>
      <c r="D1877" t="n">
        <v>73</v>
      </c>
      <c r="E1877" t="s">
        <v>1871</v>
      </c>
      <c r="F1877" t="s"/>
      <c r="G1877" t="s"/>
      <c r="H1877" t="s"/>
      <c r="I1877" t="s"/>
      <c r="J1877" t="n">
        <v>0</v>
      </c>
      <c r="K1877" t="n">
        <v>0</v>
      </c>
      <c r="L1877" t="n">
        <v>1</v>
      </c>
      <c r="M1877" t="n">
        <v>0</v>
      </c>
    </row>
    <row r="1878" spans="1:13">
      <c r="A1878" s="1">
        <f>HYPERLINK("http://www.twitter.com/NathanBLawrence/status/969845236615778304", "969845236615778304")</f>
        <v/>
      </c>
      <c r="B1878" s="2" t="n">
        <v>43162.33445601852</v>
      </c>
      <c r="C1878" t="n">
        <v>0</v>
      </c>
      <c r="D1878" t="n">
        <v>21</v>
      </c>
      <c r="E1878" t="s">
        <v>1872</v>
      </c>
      <c r="F1878">
        <f>HYPERLINK("http://pbs.twimg.com/media/DXVjB7BW4AAd9gp.jpg", "http://pbs.twimg.com/media/DXVjB7BW4AAd9gp.jpg")</f>
        <v/>
      </c>
      <c r="G1878" t="s"/>
      <c r="H1878" t="s"/>
      <c r="I1878" t="s"/>
      <c r="J1878" t="n">
        <v>-0.636</v>
      </c>
      <c r="K1878" t="n">
        <v>0.276</v>
      </c>
      <c r="L1878" t="n">
        <v>0.724</v>
      </c>
      <c r="M1878" t="n">
        <v>0</v>
      </c>
    </row>
    <row r="1879" spans="1:13">
      <c r="A1879" s="1">
        <f>HYPERLINK("http://www.twitter.com/NathanBLawrence/status/969835882919481344", "969835882919481344")</f>
        <v/>
      </c>
      <c r="B1879" s="2" t="n">
        <v>43162.30864583333</v>
      </c>
      <c r="C1879" t="n">
        <v>0</v>
      </c>
      <c r="D1879" t="n">
        <v>6</v>
      </c>
      <c r="E1879" t="s">
        <v>1873</v>
      </c>
      <c r="F1879">
        <f>HYPERLINK("http://pbs.twimg.com/media/DXU2albWsAETRtg.jpg", "http://pbs.twimg.com/media/DXU2albWsAETRtg.jpg")</f>
        <v/>
      </c>
      <c r="G1879" t="s"/>
      <c r="H1879" t="s"/>
      <c r="I1879" t="s"/>
      <c r="J1879" t="n">
        <v>0</v>
      </c>
      <c r="K1879" t="n">
        <v>0</v>
      </c>
      <c r="L1879" t="n">
        <v>1</v>
      </c>
      <c r="M1879" t="n">
        <v>0</v>
      </c>
    </row>
    <row r="1880" spans="1:13">
      <c r="A1880" s="1">
        <f>HYPERLINK("http://www.twitter.com/NathanBLawrence/status/969726991229505536", "969726991229505536")</f>
        <v/>
      </c>
      <c r="B1880" s="2" t="n">
        <v>43162.00817129629</v>
      </c>
      <c r="C1880" t="n">
        <v>9</v>
      </c>
      <c r="D1880" t="n">
        <v>4</v>
      </c>
      <c r="E1880" t="s">
        <v>1874</v>
      </c>
      <c r="F1880">
        <f>HYPERLINK("http://pbs.twimg.com/media/DXUpilmWkAE74KI.jpg", "http://pbs.twimg.com/media/DXUpilmWkAE74KI.jpg")</f>
        <v/>
      </c>
      <c r="G1880" t="s"/>
      <c r="H1880" t="s"/>
      <c r="I1880" t="s"/>
      <c r="J1880" t="n">
        <v>0.34</v>
      </c>
      <c r="K1880" t="n">
        <v>0</v>
      </c>
      <c r="L1880" t="n">
        <v>0.9429999999999999</v>
      </c>
      <c r="M1880" t="n">
        <v>0.057</v>
      </c>
    </row>
    <row r="1881" spans="1:13">
      <c r="A1881" s="1">
        <f>HYPERLINK("http://www.twitter.com/NathanBLawrence/status/969724722912088064", "969724722912088064")</f>
        <v/>
      </c>
      <c r="B1881" s="2" t="n">
        <v>43162.00190972222</v>
      </c>
      <c r="C1881" t="n">
        <v>1</v>
      </c>
      <c r="D1881" t="n">
        <v>0</v>
      </c>
      <c r="E1881" t="s">
        <v>1875</v>
      </c>
      <c r="F1881" t="s"/>
      <c r="G1881" t="s"/>
      <c r="H1881" t="s"/>
      <c r="I1881" t="s"/>
      <c r="J1881" t="n">
        <v>0</v>
      </c>
      <c r="K1881" t="n">
        <v>0</v>
      </c>
      <c r="L1881" t="n">
        <v>1</v>
      </c>
      <c r="M1881" t="n">
        <v>0</v>
      </c>
    </row>
    <row r="1882" spans="1:13">
      <c r="A1882" s="1">
        <f>HYPERLINK("http://www.twitter.com/NathanBLawrence/status/969723231908323328", "969723231908323328")</f>
        <v/>
      </c>
      <c r="B1882" s="2" t="n">
        <v>43161.99778935185</v>
      </c>
      <c r="C1882" t="n">
        <v>1</v>
      </c>
      <c r="D1882" t="n">
        <v>1</v>
      </c>
      <c r="E1882" t="s">
        <v>1876</v>
      </c>
      <c r="F1882" t="s"/>
      <c r="G1882" t="s"/>
      <c r="H1882" t="s"/>
      <c r="I1882" t="s"/>
      <c r="J1882" t="n">
        <v>0</v>
      </c>
      <c r="K1882" t="n">
        <v>0</v>
      </c>
      <c r="L1882" t="n">
        <v>1</v>
      </c>
      <c r="M1882" t="n">
        <v>0</v>
      </c>
    </row>
    <row r="1883" spans="1:13">
      <c r="A1883" s="1">
        <f>HYPERLINK("http://www.twitter.com/NathanBLawrence/status/969719356476284930", "969719356476284930")</f>
        <v/>
      </c>
      <c r="B1883" s="2" t="n">
        <v>43161.98709490741</v>
      </c>
      <c r="C1883" t="n">
        <v>3</v>
      </c>
      <c r="D1883" t="n">
        <v>0</v>
      </c>
      <c r="E1883" t="s">
        <v>1877</v>
      </c>
      <c r="F1883" t="s"/>
      <c r="G1883" t="s"/>
      <c r="H1883" t="s"/>
      <c r="I1883" t="s"/>
      <c r="J1883" t="n">
        <v>0.9249000000000001</v>
      </c>
      <c r="K1883" t="n">
        <v>0.025</v>
      </c>
      <c r="L1883" t="n">
        <v>0.745</v>
      </c>
      <c r="M1883" t="n">
        <v>0.23</v>
      </c>
    </row>
    <row r="1884" spans="1:13">
      <c r="A1884" s="1">
        <f>HYPERLINK("http://www.twitter.com/NathanBLawrence/status/969704408790560769", "969704408790560769")</f>
        <v/>
      </c>
      <c r="B1884" s="2" t="n">
        <v>43161.94584490741</v>
      </c>
      <c r="C1884" t="n">
        <v>4</v>
      </c>
      <c r="D1884" t="n">
        <v>2</v>
      </c>
      <c r="E1884" t="s">
        <v>1878</v>
      </c>
      <c r="F1884" t="s"/>
      <c r="G1884" t="s"/>
      <c r="H1884" t="s"/>
      <c r="I1884" t="s"/>
      <c r="J1884" t="n">
        <v>0.6705</v>
      </c>
      <c r="K1884" t="n">
        <v>0.09</v>
      </c>
      <c r="L1884" t="n">
        <v>0.721</v>
      </c>
      <c r="M1884" t="n">
        <v>0.189</v>
      </c>
    </row>
    <row r="1885" spans="1:13">
      <c r="A1885" s="1">
        <f>HYPERLINK("http://www.twitter.com/NathanBLawrence/status/969701959069523968", "969701959069523968")</f>
        <v/>
      </c>
      <c r="B1885" s="2" t="n">
        <v>43161.93908564815</v>
      </c>
      <c r="C1885" t="n">
        <v>2</v>
      </c>
      <c r="D1885" t="n">
        <v>0</v>
      </c>
      <c r="E1885" t="s">
        <v>1879</v>
      </c>
      <c r="F1885" t="s"/>
      <c r="G1885" t="s"/>
      <c r="H1885" t="s"/>
      <c r="I1885" t="s"/>
      <c r="J1885" t="n">
        <v>0.7926</v>
      </c>
      <c r="K1885" t="n">
        <v>0.106</v>
      </c>
      <c r="L1885" t="n">
        <v>0.708</v>
      </c>
      <c r="M1885" t="n">
        <v>0.185</v>
      </c>
    </row>
    <row r="1886" spans="1:13">
      <c r="A1886" s="1">
        <f>HYPERLINK("http://www.twitter.com/NathanBLawrence/status/969700739114250240", "969700739114250240")</f>
        <v/>
      </c>
      <c r="B1886" s="2" t="n">
        <v>43161.93572916667</v>
      </c>
      <c r="C1886" t="n">
        <v>2</v>
      </c>
      <c r="D1886" t="n">
        <v>2</v>
      </c>
      <c r="E1886" t="s">
        <v>1880</v>
      </c>
      <c r="F1886" t="s"/>
      <c r="G1886" t="s"/>
      <c r="H1886" t="s"/>
      <c r="I1886" t="s"/>
      <c r="J1886" t="n">
        <v>0.7926</v>
      </c>
      <c r="K1886" t="n">
        <v>0.115</v>
      </c>
      <c r="L1886" t="n">
        <v>0.6830000000000001</v>
      </c>
      <c r="M1886" t="n">
        <v>0.201</v>
      </c>
    </row>
    <row r="1887" spans="1:13">
      <c r="A1887" s="1">
        <f>HYPERLINK("http://www.twitter.com/NathanBLawrence/status/969693818344951808", "969693818344951808")</f>
        <v/>
      </c>
      <c r="B1887" s="2" t="n">
        <v>43161.91662037037</v>
      </c>
      <c r="C1887" t="n">
        <v>8</v>
      </c>
      <c r="D1887" t="n">
        <v>3</v>
      </c>
      <c r="E1887" t="s">
        <v>1881</v>
      </c>
      <c r="F1887" t="s"/>
      <c r="G1887" t="s"/>
      <c r="H1887" t="s"/>
      <c r="I1887" t="s"/>
      <c r="J1887" t="n">
        <v>0</v>
      </c>
      <c r="K1887" t="n">
        <v>0</v>
      </c>
      <c r="L1887" t="n">
        <v>1</v>
      </c>
      <c r="M1887" t="n">
        <v>0</v>
      </c>
    </row>
    <row r="1888" spans="1:13">
      <c r="A1888" s="1">
        <f>HYPERLINK("http://www.twitter.com/NathanBLawrence/status/969691369353736192", "969691369353736192")</f>
        <v/>
      </c>
      <c r="B1888" s="2" t="n">
        <v>43161.90987268519</v>
      </c>
      <c r="C1888" t="n">
        <v>77</v>
      </c>
      <c r="D1888" t="n">
        <v>47</v>
      </c>
      <c r="E1888" t="s">
        <v>1882</v>
      </c>
      <c r="F1888" t="s"/>
      <c r="G1888" t="s"/>
      <c r="H1888" t="s"/>
      <c r="I1888" t="s"/>
      <c r="J1888" t="n">
        <v>0.9357</v>
      </c>
      <c r="K1888" t="n">
        <v>0.082</v>
      </c>
      <c r="L1888" t="n">
        <v>0.512</v>
      </c>
      <c r="M1888" t="n">
        <v>0.406</v>
      </c>
    </row>
    <row r="1889" spans="1:13">
      <c r="A1889" s="1">
        <f>HYPERLINK("http://www.twitter.com/NathanBLawrence/status/969688459576336384", "969688459576336384")</f>
        <v/>
      </c>
      <c r="B1889" s="2" t="n">
        <v>43161.90184027778</v>
      </c>
      <c r="C1889" t="n">
        <v>0</v>
      </c>
      <c r="D1889" t="n">
        <v>0</v>
      </c>
      <c r="E1889" t="s">
        <v>1883</v>
      </c>
      <c r="F1889" t="s"/>
      <c r="G1889" t="s"/>
      <c r="H1889" t="s"/>
      <c r="I1889" t="s"/>
      <c r="J1889" t="n">
        <v>0.4576</v>
      </c>
      <c r="K1889" t="n">
        <v>0</v>
      </c>
      <c r="L1889" t="n">
        <v>0.8129999999999999</v>
      </c>
      <c r="M1889" t="n">
        <v>0.187</v>
      </c>
    </row>
    <row r="1890" spans="1:13">
      <c r="A1890" s="1">
        <f>HYPERLINK("http://www.twitter.com/NathanBLawrence/status/969688328869163008", "969688328869163008")</f>
        <v/>
      </c>
      <c r="B1890" s="2" t="n">
        <v>43161.90148148148</v>
      </c>
      <c r="C1890" t="n">
        <v>37</v>
      </c>
      <c r="D1890" t="n">
        <v>30</v>
      </c>
      <c r="E1890" t="s">
        <v>1884</v>
      </c>
      <c r="F1890" t="s"/>
      <c r="G1890" t="s"/>
      <c r="H1890" t="s"/>
      <c r="I1890" t="s"/>
      <c r="J1890" t="n">
        <v>0.4576</v>
      </c>
      <c r="K1890" t="n">
        <v>0</v>
      </c>
      <c r="L1890" t="n">
        <v>0.824</v>
      </c>
      <c r="M1890" t="n">
        <v>0.176</v>
      </c>
    </row>
    <row r="1891" spans="1:13">
      <c r="A1891" s="1">
        <f>HYPERLINK("http://www.twitter.com/NathanBLawrence/status/969682231643070464", "969682231643070464")</f>
        <v/>
      </c>
      <c r="B1891" s="2" t="n">
        <v>43161.88465277778</v>
      </c>
      <c r="C1891" t="n">
        <v>0</v>
      </c>
      <c r="D1891" t="n">
        <v>1651</v>
      </c>
      <c r="E1891" t="s">
        <v>1885</v>
      </c>
      <c r="F1891">
        <f>HYPERLINK("http://pbs.twimg.com/media/DXOixCPUMAEeyQF.jpg", "http://pbs.twimg.com/media/DXOixCPUMAEeyQF.jpg")</f>
        <v/>
      </c>
      <c r="G1891" t="s"/>
      <c r="H1891" t="s"/>
      <c r="I1891" t="s"/>
      <c r="J1891" t="n">
        <v>-0.5574</v>
      </c>
      <c r="K1891" t="n">
        <v>0.217</v>
      </c>
      <c r="L1891" t="n">
        <v>0.783</v>
      </c>
      <c r="M1891" t="n">
        <v>0</v>
      </c>
    </row>
    <row r="1892" spans="1:13">
      <c r="A1892" s="1">
        <f>HYPERLINK("http://www.twitter.com/NathanBLawrence/status/969681954890186753", "969681954890186753")</f>
        <v/>
      </c>
      <c r="B1892" s="2" t="n">
        <v>43161.88388888889</v>
      </c>
      <c r="C1892" t="n">
        <v>0</v>
      </c>
      <c r="D1892" t="n">
        <v>276</v>
      </c>
      <c r="E1892" t="s">
        <v>1886</v>
      </c>
      <c r="F1892">
        <f>HYPERLINK("http://pbs.twimg.com/media/DXT2AqIXkAEt-Yd.jpg", "http://pbs.twimg.com/media/DXT2AqIXkAEt-Yd.jpg")</f>
        <v/>
      </c>
      <c r="G1892" t="s"/>
      <c r="H1892" t="s"/>
      <c r="I1892" t="s"/>
      <c r="J1892" t="n">
        <v>0.0688</v>
      </c>
      <c r="K1892" t="n">
        <v>0.133</v>
      </c>
      <c r="L1892" t="n">
        <v>0.6919999999999999</v>
      </c>
      <c r="M1892" t="n">
        <v>0.175</v>
      </c>
    </row>
    <row r="1893" spans="1:13">
      <c r="A1893" s="1">
        <f>HYPERLINK("http://www.twitter.com/NathanBLawrence/status/969681794743328768", "969681794743328768")</f>
        <v/>
      </c>
      <c r="B1893" s="2" t="n">
        <v>43161.88344907408</v>
      </c>
      <c r="C1893" t="n">
        <v>0</v>
      </c>
      <c r="D1893" t="n">
        <v>7</v>
      </c>
      <c r="E1893" t="s">
        <v>1887</v>
      </c>
      <c r="F1893">
        <f>HYPERLINK("http://pbs.twimg.com/media/DXTiWR1VwAAU1K8.jpg", "http://pbs.twimg.com/media/DXTiWR1VwAAU1K8.jpg")</f>
        <v/>
      </c>
      <c r="G1893" t="s"/>
      <c r="H1893" t="s"/>
      <c r="I1893" t="s"/>
      <c r="J1893" t="n">
        <v>0</v>
      </c>
      <c r="K1893" t="n">
        <v>0</v>
      </c>
      <c r="L1893" t="n">
        <v>1</v>
      </c>
      <c r="M1893" t="n">
        <v>0</v>
      </c>
    </row>
    <row r="1894" spans="1:13">
      <c r="A1894" s="1">
        <f>HYPERLINK("http://www.twitter.com/NathanBLawrence/status/969647368558776321", "969647368558776321")</f>
        <v/>
      </c>
      <c r="B1894" s="2" t="n">
        <v>43161.78844907408</v>
      </c>
      <c r="C1894" t="n">
        <v>0</v>
      </c>
      <c r="D1894" t="n">
        <v>19</v>
      </c>
      <c r="E1894" t="s">
        <v>1888</v>
      </c>
      <c r="F1894">
        <f>HYPERLINK("http://pbs.twimg.com/media/DXTQv0wXcAERXKX.jpg", "http://pbs.twimg.com/media/DXTQv0wXcAERXKX.jpg")</f>
        <v/>
      </c>
      <c r="G1894" t="s"/>
      <c r="H1894" t="s"/>
      <c r="I1894" t="s"/>
      <c r="J1894" t="n">
        <v>0</v>
      </c>
      <c r="K1894" t="n">
        <v>0</v>
      </c>
      <c r="L1894" t="n">
        <v>1</v>
      </c>
      <c r="M1894" t="n">
        <v>0</v>
      </c>
    </row>
    <row r="1895" spans="1:13">
      <c r="A1895" s="1">
        <f>HYPERLINK("http://www.twitter.com/NathanBLawrence/status/969646809495810049", "969646809495810049")</f>
        <v/>
      </c>
      <c r="B1895" s="2" t="n">
        <v>43161.78690972222</v>
      </c>
      <c r="C1895" t="n">
        <v>0</v>
      </c>
      <c r="D1895" t="n">
        <v>2664</v>
      </c>
      <c r="E1895" t="s">
        <v>1889</v>
      </c>
      <c r="F1895">
        <f>HYPERLINK("https://video.twimg.com/ext_tw_video/969442533565763586/pu/vid/1280x720/U5YgWGQJjBUq4OYh.mp4", "https://video.twimg.com/ext_tw_video/969442533565763586/pu/vid/1280x720/U5YgWGQJjBUq4OYh.mp4")</f>
        <v/>
      </c>
      <c r="G1895" t="s"/>
      <c r="H1895" t="s"/>
      <c r="I1895" t="s"/>
      <c r="J1895" t="n">
        <v>0</v>
      </c>
      <c r="K1895" t="n">
        <v>0</v>
      </c>
      <c r="L1895" t="n">
        <v>1</v>
      </c>
      <c r="M1895" t="n">
        <v>0</v>
      </c>
    </row>
    <row r="1896" spans="1:13">
      <c r="A1896" s="1">
        <f>HYPERLINK("http://www.twitter.com/NathanBLawrence/status/969638628367400960", "969638628367400960")</f>
        <v/>
      </c>
      <c r="B1896" s="2" t="n">
        <v>43161.76432870371</v>
      </c>
      <c r="C1896" t="n">
        <v>0</v>
      </c>
      <c r="D1896" t="n">
        <v>4116</v>
      </c>
      <c r="E1896" t="s">
        <v>1890</v>
      </c>
      <c r="F1896">
        <f>HYPERLINK("https://video.twimg.com/amplify_video/967971665651970048/vid/1280x720/HrTishjPjUVasX7S.mp4", "https://video.twimg.com/amplify_video/967971665651970048/vid/1280x720/HrTishjPjUVasX7S.mp4")</f>
        <v/>
      </c>
      <c r="G1896" t="s"/>
      <c r="H1896" t="s"/>
      <c r="I1896" t="s"/>
      <c r="J1896" t="n">
        <v>0.6739000000000001</v>
      </c>
      <c r="K1896" t="n">
        <v>0</v>
      </c>
      <c r="L1896" t="n">
        <v>0.841</v>
      </c>
      <c r="M1896" t="n">
        <v>0.159</v>
      </c>
    </row>
    <row r="1897" spans="1:13">
      <c r="A1897" s="1">
        <f>HYPERLINK("http://www.twitter.com/NathanBLawrence/status/969638464919605249", "969638464919605249")</f>
        <v/>
      </c>
      <c r="B1897" s="2" t="n">
        <v>43161.76387731481</v>
      </c>
      <c r="C1897" t="n">
        <v>0</v>
      </c>
      <c r="D1897" t="n">
        <v>13513</v>
      </c>
      <c r="E1897" t="s">
        <v>1891</v>
      </c>
      <c r="F1897">
        <f>HYPERLINK("https://video.twimg.com/ext_tw_video/969048739364069376/pu/vid/720x1280/oAPare8dPDrNiHfF.mp4", "https://video.twimg.com/ext_tw_video/969048739364069376/pu/vid/720x1280/oAPare8dPDrNiHfF.mp4")</f>
        <v/>
      </c>
      <c r="G1897" t="s"/>
      <c r="H1897" t="s"/>
      <c r="I1897" t="s"/>
      <c r="J1897" t="n">
        <v>0.6739000000000001</v>
      </c>
      <c r="K1897" t="n">
        <v>0</v>
      </c>
      <c r="L1897" t="n">
        <v>0.835</v>
      </c>
      <c r="M1897" t="n">
        <v>0.165</v>
      </c>
    </row>
    <row r="1898" spans="1:13">
      <c r="A1898" s="1">
        <f>HYPERLINK("http://www.twitter.com/NathanBLawrence/status/969596577781252099", "969596577781252099")</f>
        <v/>
      </c>
      <c r="B1898" s="2" t="n">
        <v>43161.64829861111</v>
      </c>
      <c r="C1898" t="n">
        <v>0</v>
      </c>
      <c r="D1898" t="n">
        <v>17</v>
      </c>
      <c r="E1898" t="s">
        <v>1892</v>
      </c>
      <c r="F1898">
        <f>HYPERLINK("http://pbs.twimg.com/media/DXSwqdlVAAAtONr.jpg", "http://pbs.twimg.com/media/DXSwqdlVAAAtONr.jpg")</f>
        <v/>
      </c>
      <c r="G1898" t="s"/>
      <c r="H1898" t="s"/>
      <c r="I1898" t="s"/>
      <c r="J1898" t="n">
        <v>0</v>
      </c>
      <c r="K1898" t="n">
        <v>0</v>
      </c>
      <c r="L1898" t="n">
        <v>1</v>
      </c>
      <c r="M1898" t="n">
        <v>0</v>
      </c>
    </row>
    <row r="1899" spans="1:13">
      <c r="A1899" s="1">
        <f>HYPERLINK("http://www.twitter.com/NathanBLawrence/status/969594454129758208", "969594454129758208")</f>
        <v/>
      </c>
      <c r="B1899" s="2" t="n">
        <v>43161.64243055556</v>
      </c>
      <c r="C1899" t="n">
        <v>0</v>
      </c>
      <c r="D1899" t="n">
        <v>21</v>
      </c>
      <c r="E1899" t="s">
        <v>1893</v>
      </c>
      <c r="F1899">
        <f>HYPERLINK("http://pbs.twimg.com/media/DXPQz1dXUAEzuvQ.jpg", "http://pbs.twimg.com/media/DXPQz1dXUAEzuvQ.jpg")</f>
        <v/>
      </c>
      <c r="G1899" t="s"/>
      <c r="H1899" t="s"/>
      <c r="I1899" t="s"/>
      <c r="J1899" t="n">
        <v>0</v>
      </c>
      <c r="K1899" t="n">
        <v>0</v>
      </c>
      <c r="L1899" t="n">
        <v>1</v>
      </c>
      <c r="M1899" t="n">
        <v>0</v>
      </c>
    </row>
    <row r="1900" spans="1:13">
      <c r="A1900" s="1">
        <f>HYPERLINK("http://www.twitter.com/NathanBLawrence/status/969586313660981248", "969586313660981248")</f>
        <v/>
      </c>
      <c r="B1900" s="2" t="n">
        <v>43161.61996527778</v>
      </c>
      <c r="C1900" t="n">
        <v>0</v>
      </c>
      <c r="D1900" t="n">
        <v>0</v>
      </c>
      <c r="E1900" t="s">
        <v>1894</v>
      </c>
      <c r="F1900" t="s"/>
      <c r="G1900" t="s"/>
      <c r="H1900" t="s"/>
      <c r="I1900" t="s"/>
      <c r="J1900" t="n">
        <v>-0.372</v>
      </c>
      <c r="K1900" t="n">
        <v>0.059</v>
      </c>
      <c r="L1900" t="n">
        <v>0.9409999999999999</v>
      </c>
      <c r="M1900" t="n">
        <v>0</v>
      </c>
    </row>
    <row r="1901" spans="1:13">
      <c r="A1901" s="1">
        <f>HYPERLINK("http://www.twitter.com/NathanBLawrence/status/969582136192880646", "969582136192880646")</f>
        <v/>
      </c>
      <c r="B1901" s="2" t="n">
        <v>43161.6084375</v>
      </c>
      <c r="C1901" t="n">
        <v>0</v>
      </c>
      <c r="D1901" t="n">
        <v>0</v>
      </c>
      <c r="E1901" t="s">
        <v>1895</v>
      </c>
      <c r="F1901" t="s"/>
      <c r="G1901" t="s"/>
      <c r="H1901" t="s"/>
      <c r="I1901" t="s"/>
      <c r="J1901" t="n">
        <v>0</v>
      </c>
      <c r="K1901" t="n">
        <v>0</v>
      </c>
      <c r="L1901" t="n">
        <v>1</v>
      </c>
      <c r="M1901" t="n">
        <v>0</v>
      </c>
    </row>
    <row r="1902" spans="1:13">
      <c r="A1902" s="1">
        <f>HYPERLINK("http://www.twitter.com/NathanBLawrence/status/969581701524574208", "969581701524574208")</f>
        <v/>
      </c>
      <c r="B1902" s="2" t="n">
        <v>43161.60724537037</v>
      </c>
      <c r="C1902" t="n">
        <v>0</v>
      </c>
      <c r="D1902" t="n">
        <v>0</v>
      </c>
      <c r="E1902" t="s">
        <v>1896</v>
      </c>
      <c r="F1902" t="s"/>
      <c r="G1902" t="s"/>
      <c r="H1902" t="s"/>
      <c r="I1902" t="s"/>
      <c r="J1902" t="n">
        <v>-0.4574</v>
      </c>
      <c r="K1902" t="n">
        <v>0.097</v>
      </c>
      <c r="L1902" t="n">
        <v>0.861</v>
      </c>
      <c r="M1902" t="n">
        <v>0.042</v>
      </c>
    </row>
    <row r="1903" spans="1:13">
      <c r="A1903" s="1">
        <f>HYPERLINK("http://www.twitter.com/NathanBLawrence/status/969575304841891841", "969575304841891841")</f>
        <v/>
      </c>
      <c r="B1903" s="2" t="n">
        <v>43161.5895949074</v>
      </c>
      <c r="C1903" t="n">
        <v>0</v>
      </c>
      <c r="D1903" t="n">
        <v>6229</v>
      </c>
      <c r="E1903" t="s">
        <v>1897</v>
      </c>
      <c r="F1903" t="s"/>
      <c r="G1903" t="s"/>
      <c r="H1903" t="s"/>
      <c r="I1903" t="s"/>
      <c r="J1903" t="n">
        <v>-0.296</v>
      </c>
      <c r="K1903" t="n">
        <v>0.189</v>
      </c>
      <c r="L1903" t="n">
        <v>0.709</v>
      </c>
      <c r="M1903" t="n">
        <v>0.102</v>
      </c>
    </row>
    <row r="1904" spans="1:13">
      <c r="A1904" s="1">
        <f>HYPERLINK("http://www.twitter.com/NathanBLawrence/status/969574543223410688", "969574543223410688")</f>
        <v/>
      </c>
      <c r="B1904" s="2" t="n">
        <v>43161.58748842592</v>
      </c>
      <c r="C1904" t="n">
        <v>0</v>
      </c>
      <c r="D1904" t="n">
        <v>11685</v>
      </c>
      <c r="E1904" t="s">
        <v>1898</v>
      </c>
      <c r="F1904" t="s"/>
      <c r="G1904" t="s"/>
      <c r="H1904" t="s"/>
      <c r="I1904" t="s"/>
      <c r="J1904" t="n">
        <v>0.0258</v>
      </c>
      <c r="K1904" t="n">
        <v>0.102</v>
      </c>
      <c r="L1904" t="n">
        <v>0.792</v>
      </c>
      <c r="M1904" t="n">
        <v>0.106</v>
      </c>
    </row>
    <row r="1905" spans="1:13">
      <c r="A1905" s="1">
        <f>HYPERLINK("http://www.twitter.com/NathanBLawrence/status/969572896518627329", "969572896518627329")</f>
        <v/>
      </c>
      <c r="B1905" s="2" t="n">
        <v>43161.58293981481</v>
      </c>
      <c r="C1905" t="n">
        <v>0</v>
      </c>
      <c r="D1905" t="n">
        <v>389</v>
      </c>
      <c r="E1905" t="s">
        <v>1899</v>
      </c>
      <c r="F1905">
        <f>HYPERLINK("http://pbs.twimg.com/media/DXR_SthX0AApznV.jpg", "http://pbs.twimg.com/media/DXR_SthX0AApznV.jpg")</f>
        <v/>
      </c>
      <c r="G1905">
        <f>HYPERLINK("http://pbs.twimg.com/media/DXR_St6W4AAk93s.jpg", "http://pbs.twimg.com/media/DXR_St6W4AAk93s.jpg")</f>
        <v/>
      </c>
      <c r="H1905" t="s"/>
      <c r="I1905" t="s"/>
      <c r="J1905" t="n">
        <v>0.3182</v>
      </c>
      <c r="K1905" t="n">
        <v>0</v>
      </c>
      <c r="L1905" t="n">
        <v>0.897</v>
      </c>
      <c r="M1905" t="n">
        <v>0.103</v>
      </c>
    </row>
    <row r="1906" spans="1:13">
      <c r="A1906" s="1">
        <f>HYPERLINK("http://www.twitter.com/NathanBLawrence/status/969291467993862144", "969291467993862144")</f>
        <v/>
      </c>
      <c r="B1906" s="2" t="n">
        <v>43160.80635416666</v>
      </c>
      <c r="C1906" t="n">
        <v>0</v>
      </c>
      <c r="D1906" t="n">
        <v>10</v>
      </c>
      <c r="E1906" t="s">
        <v>1900</v>
      </c>
      <c r="F1906" t="s"/>
      <c r="G1906" t="s"/>
      <c r="H1906" t="s"/>
      <c r="I1906" t="s"/>
      <c r="J1906" t="n">
        <v>0.0387</v>
      </c>
      <c r="K1906" t="n">
        <v>0</v>
      </c>
      <c r="L1906" t="n">
        <v>0.9370000000000001</v>
      </c>
      <c r="M1906" t="n">
        <v>0.063</v>
      </c>
    </row>
    <row r="1907" spans="1:13">
      <c r="A1907" s="1">
        <f>HYPERLINK("http://www.twitter.com/NathanBLawrence/status/969244623611850752", "969244623611850752")</f>
        <v/>
      </c>
      <c r="B1907" s="2" t="n">
        <v>43160.67708333334</v>
      </c>
      <c r="C1907" t="n">
        <v>0</v>
      </c>
      <c r="D1907" t="n">
        <v>63</v>
      </c>
      <c r="E1907" t="s">
        <v>1901</v>
      </c>
      <c r="F1907" t="s"/>
      <c r="G1907" t="s"/>
      <c r="H1907" t="s"/>
      <c r="I1907" t="s"/>
      <c r="J1907" t="n">
        <v>0</v>
      </c>
      <c r="K1907" t="n">
        <v>0</v>
      </c>
      <c r="L1907" t="n">
        <v>1</v>
      </c>
      <c r="M1907" t="n">
        <v>0</v>
      </c>
    </row>
    <row r="1908" spans="1:13">
      <c r="A1908" s="1">
        <f>HYPERLINK("http://www.twitter.com/NathanBLawrence/status/969244364189982720", "969244364189982720")</f>
        <v/>
      </c>
      <c r="B1908" s="2" t="n">
        <v>43160.67636574074</v>
      </c>
      <c r="C1908" t="n">
        <v>0</v>
      </c>
      <c r="D1908" t="n">
        <v>132</v>
      </c>
      <c r="E1908" t="s">
        <v>1902</v>
      </c>
      <c r="F1908" t="s"/>
      <c r="G1908" t="s"/>
      <c r="H1908" t="s"/>
      <c r="I1908" t="s"/>
      <c r="J1908" t="n">
        <v>-0.296</v>
      </c>
      <c r="K1908" t="n">
        <v>0.121</v>
      </c>
      <c r="L1908" t="n">
        <v>0.879</v>
      </c>
      <c r="M1908" t="n">
        <v>0</v>
      </c>
    </row>
    <row r="1909" spans="1:13">
      <c r="A1909" s="1">
        <f>HYPERLINK("http://www.twitter.com/NathanBLawrence/status/969244259323871232", "969244259323871232")</f>
        <v/>
      </c>
      <c r="B1909" s="2" t="n">
        <v>43160.67607638889</v>
      </c>
      <c r="C1909" t="n">
        <v>0</v>
      </c>
      <c r="D1909" t="n">
        <v>102</v>
      </c>
      <c r="E1909" t="s">
        <v>1903</v>
      </c>
      <c r="F1909" t="s"/>
      <c r="G1909" t="s"/>
      <c r="H1909" t="s"/>
      <c r="I1909" t="s"/>
      <c r="J1909" t="n">
        <v>-0.2732</v>
      </c>
      <c r="K1909" t="n">
        <v>0.16</v>
      </c>
      <c r="L1909" t="n">
        <v>0.84</v>
      </c>
      <c r="M1909" t="n">
        <v>0</v>
      </c>
    </row>
    <row r="1910" spans="1:13">
      <c r="A1910" s="1">
        <f>HYPERLINK("http://www.twitter.com/NathanBLawrence/status/969243994592043008", "969243994592043008")</f>
        <v/>
      </c>
      <c r="B1910" s="2" t="n">
        <v>43160.67534722222</v>
      </c>
      <c r="C1910" t="n">
        <v>0</v>
      </c>
      <c r="D1910" t="n">
        <v>104</v>
      </c>
      <c r="E1910" t="s">
        <v>1904</v>
      </c>
      <c r="F1910" t="s"/>
      <c r="G1910" t="s"/>
      <c r="H1910" t="s"/>
      <c r="I1910" t="s"/>
      <c r="J1910" t="n">
        <v>0.7506</v>
      </c>
      <c r="K1910" t="n">
        <v>0</v>
      </c>
      <c r="L1910" t="n">
        <v>0.726</v>
      </c>
      <c r="M1910" t="n">
        <v>0.274</v>
      </c>
    </row>
    <row r="1911" spans="1:13">
      <c r="A1911" s="1">
        <f>HYPERLINK("http://www.twitter.com/NathanBLawrence/status/969086158838870018", "969086158838870018")</f>
        <v/>
      </c>
      <c r="B1911" s="2" t="n">
        <v>43160.23980324074</v>
      </c>
      <c r="C1911" t="n">
        <v>0</v>
      </c>
      <c r="D1911" t="n">
        <v>2</v>
      </c>
      <c r="E1911" t="s">
        <v>1905</v>
      </c>
      <c r="F1911" t="s"/>
      <c r="G1911" t="s"/>
      <c r="H1911" t="s"/>
      <c r="I1911" t="s"/>
      <c r="J1911" t="n">
        <v>0.4019</v>
      </c>
      <c r="K1911" t="n">
        <v>0</v>
      </c>
      <c r="L1911" t="n">
        <v>0.891</v>
      </c>
      <c r="M1911" t="n">
        <v>0.109</v>
      </c>
    </row>
    <row r="1912" spans="1:13">
      <c r="A1912" s="1">
        <f>HYPERLINK("http://www.twitter.com/NathanBLawrence/status/969081960894255104", "969081960894255104")</f>
        <v/>
      </c>
      <c r="B1912" s="2" t="n">
        <v>43160.22821759259</v>
      </c>
      <c r="C1912" t="n">
        <v>0</v>
      </c>
      <c r="D1912" t="n">
        <v>133</v>
      </c>
      <c r="E1912" t="s">
        <v>1906</v>
      </c>
      <c r="F1912" t="s"/>
      <c r="G1912" t="s"/>
      <c r="H1912" t="s"/>
      <c r="I1912" t="s"/>
      <c r="J1912" t="n">
        <v>-0.835</v>
      </c>
      <c r="K1912" t="n">
        <v>0.397</v>
      </c>
      <c r="L1912" t="n">
        <v>0.603</v>
      </c>
      <c r="M1912" t="n">
        <v>0</v>
      </c>
    </row>
    <row r="1913" spans="1:13">
      <c r="A1913" s="1">
        <f>HYPERLINK("http://www.twitter.com/NathanBLawrence/status/969027117483745281", "969027117483745281")</f>
        <v/>
      </c>
      <c r="B1913" s="2" t="n">
        <v>43160.07688657408</v>
      </c>
      <c r="C1913" t="n">
        <v>0</v>
      </c>
      <c r="D1913" t="n">
        <v>1861</v>
      </c>
      <c r="E1913" t="s">
        <v>1907</v>
      </c>
      <c r="F1913">
        <f>HYPERLINK("https://video.twimg.com/amplify_video/966421379225538560/vid/1280x720/bs_Mt3e4stp026vQ.mp4", "https://video.twimg.com/amplify_video/966421379225538560/vid/1280x720/bs_Mt3e4stp026vQ.mp4")</f>
        <v/>
      </c>
      <c r="G1913" t="s"/>
      <c r="H1913" t="s"/>
      <c r="I1913" t="s"/>
      <c r="J1913" t="n">
        <v>0.8225</v>
      </c>
      <c r="K1913" t="n">
        <v>0</v>
      </c>
      <c r="L1913" t="n">
        <v>0.728</v>
      </c>
      <c r="M1913" t="n">
        <v>0.272</v>
      </c>
    </row>
    <row r="1914" spans="1:13">
      <c r="A1914" s="1">
        <f>HYPERLINK("http://www.twitter.com/NathanBLawrence/status/969019507971850240", "969019507971850240")</f>
        <v/>
      </c>
      <c r="B1914" s="2" t="n">
        <v>43160.05587962963</v>
      </c>
      <c r="C1914" t="n">
        <v>0</v>
      </c>
      <c r="D1914" t="n">
        <v>309</v>
      </c>
      <c r="E1914" t="s">
        <v>1908</v>
      </c>
      <c r="F1914">
        <f>HYPERLINK("http://pbs.twimg.com/media/DXKiJ07U8AAdXPv.jpg", "http://pbs.twimg.com/media/DXKiJ07U8AAdXPv.jpg")</f>
        <v/>
      </c>
      <c r="G1914" t="s"/>
      <c r="H1914" t="s"/>
      <c r="I1914" t="s"/>
      <c r="J1914" t="n">
        <v>0</v>
      </c>
      <c r="K1914" t="n">
        <v>0</v>
      </c>
      <c r="L1914" t="n">
        <v>1</v>
      </c>
      <c r="M1914" t="n">
        <v>0</v>
      </c>
    </row>
    <row r="1915" spans="1:13">
      <c r="A1915" s="1">
        <f>HYPERLINK("http://www.twitter.com/NathanBLawrence/status/968999548889763842", "968999548889763842")</f>
        <v/>
      </c>
      <c r="B1915" s="2" t="n">
        <v>43160.00081018519</v>
      </c>
      <c r="C1915" t="n">
        <v>0</v>
      </c>
      <c r="D1915" t="n">
        <v>329</v>
      </c>
      <c r="E1915" t="s">
        <v>1909</v>
      </c>
      <c r="F1915">
        <f>HYPERLINK("http://pbs.twimg.com/media/DXJ54g1VQAA-WrJ.jpg", "http://pbs.twimg.com/media/DXJ54g1VQAA-WrJ.jpg")</f>
        <v/>
      </c>
      <c r="G1915" t="s"/>
      <c r="H1915" t="s"/>
      <c r="I1915" t="s"/>
      <c r="J1915" t="n">
        <v>0.4559</v>
      </c>
      <c r="K1915" t="n">
        <v>0</v>
      </c>
      <c r="L1915" t="n">
        <v>0.889</v>
      </c>
      <c r="M1915" t="n">
        <v>0.111</v>
      </c>
    </row>
    <row r="1916" spans="1:13">
      <c r="A1916" s="1">
        <f>HYPERLINK("http://www.twitter.com/NathanBLawrence/status/968988555447095296", "968988555447095296")</f>
        <v/>
      </c>
      <c r="B1916" s="2" t="n">
        <v>43159.97047453704</v>
      </c>
      <c r="C1916" t="n">
        <v>0</v>
      </c>
      <c r="D1916" t="n">
        <v>153</v>
      </c>
      <c r="E1916" t="s">
        <v>1910</v>
      </c>
      <c r="F1916">
        <f>HYPERLINK("http://pbs.twimg.com/media/DWSZmIxU8AA0KNA.jpg", "http://pbs.twimg.com/media/DWSZmIxU8AA0KNA.jpg")</f>
        <v/>
      </c>
      <c r="G1916" t="s"/>
      <c r="H1916" t="s"/>
      <c r="I1916" t="s"/>
      <c r="J1916" t="n">
        <v>0.1531</v>
      </c>
      <c r="K1916" t="n">
        <v>0.092</v>
      </c>
      <c r="L1916" t="n">
        <v>0.792</v>
      </c>
      <c r="M1916" t="n">
        <v>0.117</v>
      </c>
    </row>
    <row r="1917" spans="1:13">
      <c r="A1917" s="1">
        <f>HYPERLINK("http://www.twitter.com/NathanBLawrence/status/968953527614820355", "968953527614820355")</f>
        <v/>
      </c>
      <c r="B1917" s="2" t="n">
        <v>43159.87380787037</v>
      </c>
      <c r="C1917" t="n">
        <v>0</v>
      </c>
      <c r="D1917" t="n">
        <v>148</v>
      </c>
      <c r="E1917" t="s">
        <v>1911</v>
      </c>
      <c r="F1917" t="s"/>
      <c r="G1917" t="s"/>
      <c r="H1917" t="s"/>
      <c r="I1917" t="s"/>
      <c r="J1917" t="n">
        <v>0.4648</v>
      </c>
      <c r="K1917" t="n">
        <v>0</v>
      </c>
      <c r="L1917" t="n">
        <v>0.798</v>
      </c>
      <c r="M1917" t="n">
        <v>0.202</v>
      </c>
    </row>
    <row r="1918" spans="1:13">
      <c r="A1918" s="1">
        <f>HYPERLINK("http://www.twitter.com/NathanBLawrence/status/968953179848282112", "968953179848282112")</f>
        <v/>
      </c>
      <c r="B1918" s="2" t="n">
        <v>43159.8728587963</v>
      </c>
      <c r="C1918" t="n">
        <v>0</v>
      </c>
      <c r="D1918" t="n">
        <v>5</v>
      </c>
      <c r="E1918" t="s">
        <v>1912</v>
      </c>
      <c r="F1918" t="s"/>
      <c r="G1918" t="s"/>
      <c r="H1918" t="s"/>
      <c r="I1918" t="s"/>
      <c r="J1918" t="n">
        <v>-0.4184</v>
      </c>
      <c r="K1918" t="n">
        <v>0.155</v>
      </c>
      <c r="L1918" t="n">
        <v>0.777</v>
      </c>
      <c r="M1918" t="n">
        <v>0.068</v>
      </c>
    </row>
    <row r="1919" spans="1:13">
      <c r="A1919" s="1">
        <f>HYPERLINK("http://www.twitter.com/NathanBLawrence/status/968950067267821569", "968950067267821569")</f>
        <v/>
      </c>
      <c r="B1919" s="2" t="n">
        <v>43159.86425925926</v>
      </c>
      <c r="C1919" t="n">
        <v>0</v>
      </c>
      <c r="D1919" t="n">
        <v>0</v>
      </c>
      <c r="E1919" t="s">
        <v>1913</v>
      </c>
      <c r="F1919" t="s"/>
      <c r="G1919" t="s"/>
      <c r="H1919" t="s"/>
      <c r="I1919" t="s"/>
      <c r="J1919" t="n">
        <v>0</v>
      </c>
      <c r="K1919" t="n">
        <v>0</v>
      </c>
      <c r="L1919" t="n">
        <v>1</v>
      </c>
      <c r="M1919" t="n">
        <v>0</v>
      </c>
    </row>
    <row r="1920" spans="1:13">
      <c r="A1920" s="1">
        <f>HYPERLINK("http://www.twitter.com/NathanBLawrence/status/968949887332216832", "968949887332216832")</f>
        <v/>
      </c>
      <c r="B1920" s="2" t="n">
        <v>43159.86377314815</v>
      </c>
      <c r="C1920" t="n">
        <v>1</v>
      </c>
      <c r="D1920" t="n">
        <v>0</v>
      </c>
      <c r="E1920" t="s">
        <v>1914</v>
      </c>
      <c r="F1920" t="s"/>
      <c r="G1920" t="s"/>
      <c r="H1920" t="s"/>
      <c r="I1920" t="s"/>
      <c r="J1920" t="n">
        <v>0</v>
      </c>
      <c r="K1920" t="n">
        <v>0</v>
      </c>
      <c r="L1920" t="n">
        <v>1</v>
      </c>
      <c r="M1920" t="n">
        <v>0</v>
      </c>
    </row>
    <row r="1921" spans="1:13">
      <c r="A1921" s="1">
        <f>HYPERLINK("http://www.twitter.com/NathanBLawrence/status/968948794191679488", "968948794191679488")</f>
        <v/>
      </c>
      <c r="B1921" s="2" t="n">
        <v>43159.86075231482</v>
      </c>
      <c r="C1921" t="n">
        <v>2</v>
      </c>
      <c r="D1921" t="n">
        <v>0</v>
      </c>
      <c r="E1921" t="s">
        <v>1915</v>
      </c>
      <c r="F1921" t="s"/>
      <c r="G1921" t="s"/>
      <c r="H1921" t="s"/>
      <c r="I1921" t="s"/>
      <c r="J1921" t="n">
        <v>0.296</v>
      </c>
      <c r="K1921" t="n">
        <v>0</v>
      </c>
      <c r="L1921" t="n">
        <v>0.732</v>
      </c>
      <c r="M1921" t="n">
        <v>0.268</v>
      </c>
    </row>
    <row r="1922" spans="1:13">
      <c r="A1922" s="1">
        <f>HYPERLINK("http://www.twitter.com/NathanBLawrence/status/968943192346431494", "968943192346431494")</f>
        <v/>
      </c>
      <c r="B1922" s="2" t="n">
        <v>43159.84528935186</v>
      </c>
      <c r="C1922" t="n">
        <v>1</v>
      </c>
      <c r="D1922" t="n">
        <v>0</v>
      </c>
      <c r="E1922" t="s">
        <v>1916</v>
      </c>
      <c r="F1922" t="s"/>
      <c r="G1922" t="s"/>
      <c r="H1922" t="s"/>
      <c r="I1922" t="s"/>
      <c r="J1922" t="n">
        <v>0</v>
      </c>
      <c r="K1922" t="n">
        <v>0</v>
      </c>
      <c r="L1922" t="n">
        <v>1</v>
      </c>
      <c r="M1922" t="n">
        <v>0</v>
      </c>
    </row>
    <row r="1923" spans="1:13">
      <c r="A1923" s="1">
        <f>HYPERLINK("http://www.twitter.com/NathanBLawrence/status/968940002993373184", "968940002993373184")</f>
        <v/>
      </c>
      <c r="B1923" s="2" t="n">
        <v>43159.83649305555</v>
      </c>
      <c r="C1923" t="n">
        <v>0</v>
      </c>
      <c r="D1923" t="n">
        <v>0</v>
      </c>
      <c r="E1923" t="s">
        <v>1917</v>
      </c>
      <c r="F1923" t="s"/>
      <c r="G1923" t="s"/>
      <c r="H1923" t="s"/>
      <c r="I1923" t="s"/>
      <c r="J1923" t="n">
        <v>0</v>
      </c>
      <c r="K1923" t="n">
        <v>0</v>
      </c>
      <c r="L1923" t="n">
        <v>1</v>
      </c>
      <c r="M1923" t="n">
        <v>0</v>
      </c>
    </row>
    <row r="1924" spans="1:13">
      <c r="A1924" s="1">
        <f>HYPERLINK("http://www.twitter.com/NathanBLawrence/status/968938908728864769", "968938908728864769")</f>
        <v/>
      </c>
      <c r="B1924" s="2" t="n">
        <v>43159.83347222222</v>
      </c>
      <c r="C1924" t="n">
        <v>65</v>
      </c>
      <c r="D1924" t="n">
        <v>40</v>
      </c>
      <c r="E1924" t="s">
        <v>1918</v>
      </c>
      <c r="F1924" t="s"/>
      <c r="G1924" t="s"/>
      <c r="H1924" t="s"/>
      <c r="I1924" t="s"/>
      <c r="J1924" t="n">
        <v>0.947</v>
      </c>
      <c r="K1924" t="n">
        <v>0</v>
      </c>
      <c r="L1924" t="n">
        <v>0.674</v>
      </c>
      <c r="M1924" t="n">
        <v>0.326</v>
      </c>
    </row>
    <row r="1925" spans="1:13">
      <c r="A1925" s="1">
        <f>HYPERLINK("http://www.twitter.com/NathanBLawrence/status/968929698494517248", "968929698494517248")</f>
        <v/>
      </c>
      <c r="B1925" s="2" t="n">
        <v>43159.80805555556</v>
      </c>
      <c r="C1925" t="n">
        <v>1</v>
      </c>
      <c r="D1925" t="n">
        <v>0</v>
      </c>
      <c r="E1925" t="s">
        <v>1919</v>
      </c>
      <c r="F1925" t="s"/>
      <c r="G1925" t="s"/>
      <c r="H1925" t="s"/>
      <c r="I1925" t="s"/>
      <c r="J1925" t="n">
        <v>-0.8658</v>
      </c>
      <c r="K1925" t="n">
        <v>0.341</v>
      </c>
      <c r="L1925" t="n">
        <v>0.592</v>
      </c>
      <c r="M1925" t="n">
        <v>0.068</v>
      </c>
    </row>
    <row r="1926" spans="1:13">
      <c r="A1926" s="1">
        <f>HYPERLINK("http://www.twitter.com/NathanBLawrence/status/968924613332865024", "968924613332865024")</f>
        <v/>
      </c>
      <c r="B1926" s="2" t="n">
        <v>43159.79402777777</v>
      </c>
      <c r="C1926" t="n">
        <v>2</v>
      </c>
      <c r="D1926" t="n">
        <v>2</v>
      </c>
      <c r="E1926" t="s">
        <v>1920</v>
      </c>
      <c r="F1926" t="s"/>
      <c r="G1926" t="s"/>
      <c r="H1926" t="s"/>
      <c r="I1926" t="s"/>
      <c r="J1926" t="n">
        <v>-0.2693</v>
      </c>
      <c r="K1926" t="n">
        <v>0.18</v>
      </c>
      <c r="L1926" t="n">
        <v>0.6840000000000001</v>
      </c>
      <c r="M1926" t="n">
        <v>0.136</v>
      </c>
    </row>
    <row r="1927" spans="1:13">
      <c r="A1927" s="1">
        <f>HYPERLINK("http://www.twitter.com/NathanBLawrence/status/968921681107484672", "968921681107484672")</f>
        <v/>
      </c>
      <c r="B1927" s="2" t="n">
        <v>43159.7859375</v>
      </c>
      <c r="C1927" t="n">
        <v>3</v>
      </c>
      <c r="D1927" t="n">
        <v>1</v>
      </c>
      <c r="E1927" t="s">
        <v>1921</v>
      </c>
      <c r="F1927" t="s"/>
      <c r="G1927" t="s"/>
      <c r="H1927" t="s"/>
      <c r="I1927" t="s"/>
      <c r="J1927" t="n">
        <v>0.008500000000000001</v>
      </c>
      <c r="K1927" t="n">
        <v>0.16</v>
      </c>
      <c r="L1927" t="n">
        <v>0.706</v>
      </c>
      <c r="M1927" t="n">
        <v>0.134</v>
      </c>
    </row>
    <row r="1928" spans="1:13">
      <c r="A1928" s="1">
        <f>HYPERLINK("http://www.twitter.com/NathanBLawrence/status/968917414476963840", "968917414476963840")</f>
        <v/>
      </c>
      <c r="B1928" s="2" t="n">
        <v>43159.77415509259</v>
      </c>
      <c r="C1928" t="n">
        <v>0</v>
      </c>
      <c r="D1928" t="n">
        <v>2</v>
      </c>
      <c r="E1928" t="s">
        <v>1922</v>
      </c>
      <c r="F1928" t="s"/>
      <c r="G1928" t="s"/>
      <c r="H1928" t="s"/>
      <c r="I1928" t="s"/>
      <c r="J1928" t="n">
        <v>-0.7717000000000001</v>
      </c>
      <c r="K1928" t="n">
        <v>0.358</v>
      </c>
      <c r="L1928" t="n">
        <v>0.642</v>
      </c>
      <c r="M1928" t="n">
        <v>0</v>
      </c>
    </row>
    <row r="1929" spans="1:13">
      <c r="A1929" s="1">
        <f>HYPERLINK("http://www.twitter.com/NathanBLawrence/status/968913292507975680", "968913292507975680")</f>
        <v/>
      </c>
      <c r="B1929" s="2" t="n">
        <v>43159.76278935185</v>
      </c>
      <c r="C1929" t="n">
        <v>0</v>
      </c>
      <c r="D1929" t="n">
        <v>570</v>
      </c>
      <c r="E1929" t="s">
        <v>1923</v>
      </c>
      <c r="F1929">
        <f>HYPERLINK("http://pbs.twimg.com/media/DXF9HzuW4AMZcz7.jpg", "http://pbs.twimg.com/media/DXF9HzuW4AMZcz7.jpg")</f>
        <v/>
      </c>
      <c r="G1929" t="s"/>
      <c r="H1929" t="s"/>
      <c r="I1929" t="s"/>
      <c r="J1929" t="n">
        <v>0.6597</v>
      </c>
      <c r="K1929" t="n">
        <v>0.082</v>
      </c>
      <c r="L1929" t="n">
        <v>0.672</v>
      </c>
      <c r="M1929" t="n">
        <v>0.246</v>
      </c>
    </row>
    <row r="1930" spans="1:13">
      <c r="A1930" s="1">
        <f>HYPERLINK("http://www.twitter.com/NathanBLawrence/status/968899789181112321", "968899789181112321")</f>
        <v/>
      </c>
      <c r="B1930" s="2" t="n">
        <v>43159.72552083333</v>
      </c>
      <c r="C1930" t="n">
        <v>0</v>
      </c>
      <c r="D1930" t="n">
        <v>671</v>
      </c>
      <c r="E1930" t="s">
        <v>1924</v>
      </c>
      <c r="F1930" t="s"/>
      <c r="G1930" t="s"/>
      <c r="H1930" t="s"/>
      <c r="I1930" t="s"/>
      <c r="J1930" t="n">
        <v>0</v>
      </c>
      <c r="K1930" t="n">
        <v>0</v>
      </c>
      <c r="L1930" t="n">
        <v>1</v>
      </c>
      <c r="M1930" t="n">
        <v>0</v>
      </c>
    </row>
    <row r="1931" spans="1:13">
      <c r="A1931" s="1">
        <f>HYPERLINK("http://www.twitter.com/NathanBLawrence/status/968899744612397057", "968899744612397057")</f>
        <v/>
      </c>
      <c r="B1931" s="2" t="n">
        <v>43159.72540509259</v>
      </c>
      <c r="C1931" t="n">
        <v>0</v>
      </c>
      <c r="D1931" t="n">
        <v>52</v>
      </c>
      <c r="E1931" t="s">
        <v>1925</v>
      </c>
      <c r="F1931" t="s"/>
      <c r="G1931" t="s"/>
      <c r="H1931" t="s"/>
      <c r="I1931" t="s"/>
      <c r="J1931" t="n">
        <v>0.5266999999999999</v>
      </c>
      <c r="K1931" t="n">
        <v>0</v>
      </c>
      <c r="L1931" t="n">
        <v>0.841</v>
      </c>
      <c r="M1931" t="n">
        <v>0.159</v>
      </c>
    </row>
    <row r="1932" spans="1:13">
      <c r="A1932" s="1">
        <f>HYPERLINK("http://www.twitter.com/NathanBLawrence/status/968899672285868032", "968899672285868032")</f>
        <v/>
      </c>
      <c r="B1932" s="2" t="n">
        <v>43159.72519675926</v>
      </c>
      <c r="C1932" t="n">
        <v>0</v>
      </c>
      <c r="D1932" t="n">
        <v>346</v>
      </c>
      <c r="E1932" t="s">
        <v>1926</v>
      </c>
      <c r="F1932" t="s"/>
      <c r="G1932" t="s"/>
      <c r="H1932" t="s"/>
      <c r="I1932" t="s"/>
      <c r="J1932" t="n">
        <v>0</v>
      </c>
      <c r="K1932" t="n">
        <v>0</v>
      </c>
      <c r="L1932" t="n">
        <v>1</v>
      </c>
      <c r="M1932" t="n">
        <v>0</v>
      </c>
    </row>
    <row r="1933" spans="1:13">
      <c r="A1933" s="1">
        <f>HYPERLINK("http://www.twitter.com/NathanBLawrence/status/968899120634187776", "968899120634187776")</f>
        <v/>
      </c>
      <c r="B1933" s="2" t="n">
        <v>43159.72368055556</v>
      </c>
      <c r="C1933" t="n">
        <v>0</v>
      </c>
      <c r="D1933" t="n">
        <v>757</v>
      </c>
      <c r="E1933" t="s">
        <v>1927</v>
      </c>
      <c r="F1933" t="s"/>
      <c r="G1933" t="s"/>
      <c r="H1933" t="s"/>
      <c r="I1933" t="s"/>
      <c r="J1933" t="n">
        <v>0.0772</v>
      </c>
      <c r="K1933" t="n">
        <v>0.104</v>
      </c>
      <c r="L1933" t="n">
        <v>0.779</v>
      </c>
      <c r="M1933" t="n">
        <v>0.117</v>
      </c>
    </row>
    <row r="1934" spans="1:13">
      <c r="A1934" s="1">
        <f>HYPERLINK("http://www.twitter.com/NathanBLawrence/status/968896025976033280", "968896025976033280")</f>
        <v/>
      </c>
      <c r="B1934" s="2" t="n">
        <v>43159.71513888889</v>
      </c>
      <c r="C1934" t="n">
        <v>0</v>
      </c>
      <c r="D1934" t="n">
        <v>137</v>
      </c>
      <c r="E1934" t="s">
        <v>1928</v>
      </c>
      <c r="F1934">
        <f>HYPERLINK("http://pbs.twimg.com/media/DXIW4hcVAAEdDLv.jpg", "http://pbs.twimg.com/media/DXIW4hcVAAEdDLv.jpg")</f>
        <v/>
      </c>
      <c r="G1934" t="s"/>
      <c r="H1934" t="s"/>
      <c r="I1934" t="s"/>
      <c r="J1934" t="n">
        <v>0.5826</v>
      </c>
      <c r="K1934" t="n">
        <v>0</v>
      </c>
      <c r="L1934" t="n">
        <v>0.799</v>
      </c>
      <c r="M1934" t="n">
        <v>0.201</v>
      </c>
    </row>
    <row r="1935" spans="1:13">
      <c r="A1935" s="1">
        <f>HYPERLINK("http://www.twitter.com/NathanBLawrence/status/968894976145883136", "968894976145883136")</f>
        <v/>
      </c>
      <c r="B1935" s="2" t="n">
        <v>43159.71224537037</v>
      </c>
      <c r="C1935" t="n">
        <v>0</v>
      </c>
      <c r="D1935" t="n">
        <v>2711</v>
      </c>
      <c r="E1935" t="s">
        <v>1929</v>
      </c>
      <c r="F1935" t="s"/>
      <c r="G1935" t="s"/>
      <c r="H1935" t="s"/>
      <c r="I1935" t="s"/>
      <c r="J1935" t="n">
        <v>0.2732</v>
      </c>
      <c r="K1935" t="n">
        <v>0.129</v>
      </c>
      <c r="L1935" t="n">
        <v>0.737</v>
      </c>
      <c r="M1935" t="n">
        <v>0.134</v>
      </c>
    </row>
    <row r="1936" spans="1:13">
      <c r="A1936" s="1">
        <f>HYPERLINK("http://www.twitter.com/NathanBLawrence/status/968894423445790720", "968894423445790720")</f>
        <v/>
      </c>
      <c r="B1936" s="2" t="n">
        <v>43159.71071759259</v>
      </c>
      <c r="C1936" t="n">
        <v>0</v>
      </c>
      <c r="D1936" t="n">
        <v>8</v>
      </c>
      <c r="E1936" t="s">
        <v>1930</v>
      </c>
      <c r="F1936">
        <f>HYPERLINK("http://pbs.twimg.com/media/DXIyFmYVwAA09di.jpg", "http://pbs.twimg.com/media/DXIyFmYVwAA09di.jpg")</f>
        <v/>
      </c>
      <c r="G1936" t="s"/>
      <c r="H1936" t="s"/>
      <c r="I1936" t="s"/>
      <c r="J1936" t="n">
        <v>0</v>
      </c>
      <c r="K1936" t="n">
        <v>0</v>
      </c>
      <c r="L1936" t="n">
        <v>1</v>
      </c>
      <c r="M1936" t="n">
        <v>0</v>
      </c>
    </row>
    <row r="1937" spans="1:13">
      <c r="A1937" s="1">
        <f>HYPERLINK("http://www.twitter.com/NathanBLawrence/status/968893784238051328", "968893784238051328")</f>
        <v/>
      </c>
      <c r="B1937" s="2" t="n">
        <v>43159.70894675926</v>
      </c>
      <c r="C1937" t="n">
        <v>0</v>
      </c>
      <c r="D1937" t="n">
        <v>180</v>
      </c>
      <c r="E1937" t="s">
        <v>1931</v>
      </c>
      <c r="F1937">
        <f>HYPERLINK("http://pbs.twimg.com/media/DXIYBetWkAEF6sk.jpg", "http://pbs.twimg.com/media/DXIYBetWkAEF6sk.jpg")</f>
        <v/>
      </c>
      <c r="G1937">
        <f>HYPERLINK("http://pbs.twimg.com/media/DXIYBfyW4AAqHb4.jpg", "http://pbs.twimg.com/media/DXIYBfyW4AAqHb4.jpg")</f>
        <v/>
      </c>
      <c r="H1937">
        <f>HYPERLINK("http://pbs.twimg.com/media/DXIYBeZW0AEb-_m.jpg", "http://pbs.twimg.com/media/DXIYBeZW0AEb-_m.jpg")</f>
        <v/>
      </c>
      <c r="I1937">
        <f>HYPERLINK("http://pbs.twimg.com/media/DXIYBepXUAAWyLw.jpg", "http://pbs.twimg.com/media/DXIYBepXUAAWyLw.jpg")</f>
        <v/>
      </c>
      <c r="J1937" t="n">
        <v>-0.6908</v>
      </c>
      <c r="K1937" t="n">
        <v>0.251</v>
      </c>
      <c r="L1937" t="n">
        <v>0.749</v>
      </c>
      <c r="M1937" t="n">
        <v>0</v>
      </c>
    </row>
    <row r="1938" spans="1:13">
      <c r="A1938" s="1">
        <f>HYPERLINK("http://www.twitter.com/NathanBLawrence/status/968884330465554432", "968884330465554432")</f>
        <v/>
      </c>
      <c r="B1938" s="2" t="n">
        <v>43159.68287037037</v>
      </c>
      <c r="C1938" t="n">
        <v>0</v>
      </c>
      <c r="D1938" t="n">
        <v>227</v>
      </c>
      <c r="E1938" t="s">
        <v>1932</v>
      </c>
      <c r="F1938">
        <f>HYPERLINK("http://pbs.twimg.com/media/DXInwp2W4AEffJr.jpg", "http://pbs.twimg.com/media/DXInwp2W4AEffJr.jpg")</f>
        <v/>
      </c>
      <c r="G1938" t="s"/>
      <c r="H1938" t="s"/>
      <c r="I1938" t="s"/>
      <c r="J1938" t="n">
        <v>0.4574</v>
      </c>
      <c r="K1938" t="n">
        <v>0</v>
      </c>
      <c r="L1938" t="n">
        <v>0.875</v>
      </c>
      <c r="M1938" t="n">
        <v>0.125</v>
      </c>
    </row>
    <row r="1939" spans="1:13">
      <c r="A1939" s="1">
        <f>HYPERLINK("http://www.twitter.com/NathanBLawrence/status/968884208587431936", "968884208587431936")</f>
        <v/>
      </c>
      <c r="B1939" s="2" t="n">
        <v>43159.68252314815</v>
      </c>
      <c r="C1939" t="n">
        <v>0</v>
      </c>
      <c r="D1939" t="n">
        <v>18</v>
      </c>
      <c r="E1939" t="s">
        <v>1933</v>
      </c>
      <c r="F1939" t="s"/>
      <c r="G1939" t="s"/>
      <c r="H1939" t="s"/>
      <c r="I1939" t="s"/>
      <c r="J1939" t="n">
        <v>-0.5610000000000001</v>
      </c>
      <c r="K1939" t="n">
        <v>0.176</v>
      </c>
      <c r="L1939" t="n">
        <v>0.824</v>
      </c>
      <c r="M1939" t="n">
        <v>0</v>
      </c>
    </row>
    <row r="1940" spans="1:13">
      <c r="A1940" s="1">
        <f>HYPERLINK("http://www.twitter.com/NathanBLawrence/status/968884173023973377", "968884173023973377")</f>
        <v/>
      </c>
      <c r="B1940" s="2" t="n">
        <v>43159.68243055556</v>
      </c>
      <c r="C1940" t="n">
        <v>0</v>
      </c>
      <c r="D1940" t="n">
        <v>16</v>
      </c>
      <c r="E1940" t="s">
        <v>1934</v>
      </c>
      <c r="F1940" t="s"/>
      <c r="G1940" t="s"/>
      <c r="H1940" t="s"/>
      <c r="I1940" t="s"/>
      <c r="J1940" t="n">
        <v>0</v>
      </c>
      <c r="K1940" t="n">
        <v>0</v>
      </c>
      <c r="L1940" t="n">
        <v>1</v>
      </c>
      <c r="M1940" t="n">
        <v>0</v>
      </c>
    </row>
    <row r="1941" spans="1:13">
      <c r="A1941" s="1">
        <f>HYPERLINK("http://www.twitter.com/NathanBLawrence/status/968883488630956032", "968883488630956032")</f>
        <v/>
      </c>
      <c r="B1941" s="2" t="n">
        <v>43159.68054398148</v>
      </c>
      <c r="C1941" t="n">
        <v>15</v>
      </c>
      <c r="D1941" t="n">
        <v>18</v>
      </c>
      <c r="E1941" t="s">
        <v>1935</v>
      </c>
      <c r="F1941" t="s"/>
      <c r="G1941" t="s"/>
      <c r="H1941" t="s"/>
      <c r="I1941" t="s"/>
      <c r="J1941" t="n">
        <v>-0.625</v>
      </c>
      <c r="K1941" t="n">
        <v>0.176</v>
      </c>
      <c r="L1941" t="n">
        <v>0.736</v>
      </c>
      <c r="M1941" t="n">
        <v>0.08699999999999999</v>
      </c>
    </row>
    <row r="1942" spans="1:13">
      <c r="A1942" s="1">
        <f>HYPERLINK("http://www.twitter.com/NathanBLawrence/status/968879708745150464", "968879708745150464")</f>
        <v/>
      </c>
      <c r="B1942" s="2" t="n">
        <v>43159.67011574074</v>
      </c>
      <c r="C1942" t="n">
        <v>0</v>
      </c>
      <c r="D1942" t="n">
        <v>58</v>
      </c>
      <c r="E1942" t="s">
        <v>1936</v>
      </c>
      <c r="F1942" t="s"/>
      <c r="G1942" t="s"/>
      <c r="H1942" t="s"/>
      <c r="I1942" t="s"/>
      <c r="J1942" t="n">
        <v>0.4939</v>
      </c>
      <c r="K1942" t="n">
        <v>0</v>
      </c>
      <c r="L1942" t="n">
        <v>0.878</v>
      </c>
      <c r="M1942" t="n">
        <v>0.122</v>
      </c>
    </row>
    <row r="1943" spans="1:13">
      <c r="A1943" s="1">
        <f>HYPERLINK("http://www.twitter.com/NathanBLawrence/status/968796182280593408", "968796182280593408")</f>
        <v/>
      </c>
      <c r="B1943" s="2" t="n">
        <v>43159.43961805556</v>
      </c>
      <c r="C1943" t="n">
        <v>0</v>
      </c>
      <c r="D1943" t="n">
        <v>3</v>
      </c>
      <c r="E1943" t="s">
        <v>1937</v>
      </c>
      <c r="F1943" t="s"/>
      <c r="G1943" t="s"/>
      <c r="H1943" t="s"/>
      <c r="I1943" t="s"/>
      <c r="J1943" t="n">
        <v>-0.6531</v>
      </c>
      <c r="K1943" t="n">
        <v>0.153</v>
      </c>
      <c r="L1943" t="n">
        <v>0.847</v>
      </c>
      <c r="M1943" t="n">
        <v>0</v>
      </c>
    </row>
    <row r="1944" spans="1:13">
      <c r="A1944" s="1">
        <f>HYPERLINK("http://www.twitter.com/NathanBLawrence/status/968795501540904960", "968795501540904960")</f>
        <v/>
      </c>
      <c r="B1944" s="2" t="n">
        <v>43159.43774305555</v>
      </c>
      <c r="C1944" t="n">
        <v>0</v>
      </c>
      <c r="D1944" t="n">
        <v>2153</v>
      </c>
      <c r="E1944" t="s">
        <v>1938</v>
      </c>
      <c r="F1944" t="s"/>
      <c r="G1944" t="s"/>
      <c r="H1944" t="s"/>
      <c r="I1944" t="s"/>
      <c r="J1944" t="n">
        <v>0</v>
      </c>
      <c r="K1944" t="n">
        <v>0</v>
      </c>
      <c r="L1944" t="n">
        <v>1</v>
      </c>
      <c r="M1944" t="n">
        <v>0</v>
      </c>
    </row>
    <row r="1945" spans="1:13">
      <c r="A1945" s="1">
        <f>HYPERLINK("http://www.twitter.com/NathanBLawrence/status/968793160494272513", "968793160494272513")</f>
        <v/>
      </c>
      <c r="B1945" s="2" t="n">
        <v>43159.43128472222</v>
      </c>
      <c r="C1945" t="n">
        <v>0</v>
      </c>
      <c r="D1945" t="n">
        <v>1791</v>
      </c>
      <c r="E1945" t="s">
        <v>1939</v>
      </c>
      <c r="F1945" t="s"/>
      <c r="G1945" t="s"/>
      <c r="H1945" t="s"/>
      <c r="I1945" t="s"/>
      <c r="J1945" t="n">
        <v>0.1779</v>
      </c>
      <c r="K1945" t="n">
        <v>0.112</v>
      </c>
      <c r="L1945" t="n">
        <v>0.749</v>
      </c>
      <c r="M1945" t="n">
        <v>0.139</v>
      </c>
    </row>
    <row r="1946" spans="1:13">
      <c r="A1946" s="1">
        <f>HYPERLINK("http://www.twitter.com/NathanBLawrence/status/968792843400699905", "968792843400699905")</f>
        <v/>
      </c>
      <c r="B1946" s="2" t="n">
        <v>43159.43040509259</v>
      </c>
      <c r="C1946" t="n">
        <v>0</v>
      </c>
      <c r="D1946" t="n">
        <v>372</v>
      </c>
      <c r="E1946" t="s">
        <v>1940</v>
      </c>
      <c r="F1946" t="s"/>
      <c r="G1946" t="s"/>
      <c r="H1946" t="s"/>
      <c r="I1946" t="s"/>
      <c r="J1946" t="n">
        <v>-0.8126</v>
      </c>
      <c r="K1946" t="n">
        <v>0.296</v>
      </c>
      <c r="L1946" t="n">
        <v>0.704</v>
      </c>
      <c r="M1946" t="n">
        <v>0</v>
      </c>
    </row>
    <row r="1947" spans="1:13">
      <c r="A1947" s="1">
        <f>HYPERLINK("http://www.twitter.com/NathanBLawrence/status/968769939762044928", "968769939762044928")</f>
        <v/>
      </c>
      <c r="B1947" s="2" t="n">
        <v>43159.36721064815</v>
      </c>
      <c r="C1947" t="n">
        <v>0</v>
      </c>
      <c r="D1947" t="n">
        <v>11430</v>
      </c>
      <c r="E1947" t="s">
        <v>1941</v>
      </c>
      <c r="F1947" t="s"/>
      <c r="G1947" t="s"/>
      <c r="H1947" t="s"/>
      <c r="I1947" t="s"/>
      <c r="J1947" t="n">
        <v>0</v>
      </c>
      <c r="K1947" t="n">
        <v>0.105</v>
      </c>
      <c r="L1947" t="n">
        <v>0.789</v>
      </c>
      <c r="M1947" t="n">
        <v>0.105</v>
      </c>
    </row>
    <row r="1948" spans="1:13">
      <c r="A1948" s="1">
        <f>HYPERLINK("http://www.twitter.com/NathanBLawrence/status/968683671157960706", "968683671157960706")</f>
        <v/>
      </c>
      <c r="B1948" s="2" t="n">
        <v>43159.1291550926</v>
      </c>
      <c r="C1948" t="n">
        <v>0</v>
      </c>
      <c r="D1948" t="n">
        <v>1</v>
      </c>
      <c r="E1948" t="s">
        <v>1942</v>
      </c>
      <c r="F1948" t="s"/>
      <c r="G1948" t="s"/>
      <c r="H1948" t="s"/>
      <c r="I1948" t="s"/>
      <c r="J1948" t="n">
        <v>-0.34</v>
      </c>
      <c r="K1948" t="n">
        <v>0.167</v>
      </c>
      <c r="L1948" t="n">
        <v>0.833</v>
      </c>
      <c r="M1948" t="n">
        <v>0</v>
      </c>
    </row>
    <row r="1949" spans="1:13">
      <c r="A1949" s="1">
        <f>HYPERLINK("http://www.twitter.com/NathanBLawrence/status/968683553734189056", "968683553734189056")</f>
        <v/>
      </c>
      <c r="B1949" s="2" t="n">
        <v>43159.12883101852</v>
      </c>
      <c r="C1949" t="n">
        <v>0</v>
      </c>
      <c r="D1949" t="n">
        <v>1</v>
      </c>
      <c r="E1949" t="s">
        <v>1943</v>
      </c>
      <c r="F1949" t="s"/>
      <c r="G1949" t="s"/>
      <c r="H1949" t="s"/>
      <c r="I1949" t="s"/>
      <c r="J1949" t="n">
        <v>0.7854</v>
      </c>
      <c r="K1949" t="n">
        <v>0.081</v>
      </c>
      <c r="L1949" t="n">
        <v>0.612</v>
      </c>
      <c r="M1949" t="n">
        <v>0.307</v>
      </c>
    </row>
    <row r="1950" spans="1:13">
      <c r="A1950" s="1">
        <f>HYPERLINK("http://www.twitter.com/NathanBLawrence/status/968626870148390912", "968626870148390912")</f>
        <v/>
      </c>
      <c r="B1950" s="2" t="n">
        <v>43158.9724074074</v>
      </c>
      <c r="C1950" t="n">
        <v>0</v>
      </c>
      <c r="D1950" t="n">
        <v>608</v>
      </c>
      <c r="E1950" t="s">
        <v>1944</v>
      </c>
      <c r="F1950">
        <f>HYPERLINK("http://pbs.twimg.com/media/DXDasyiVAAAcTTW.jpg", "http://pbs.twimg.com/media/DXDasyiVAAAcTTW.jpg")</f>
        <v/>
      </c>
      <c r="G1950" t="s"/>
      <c r="H1950" t="s"/>
      <c r="I1950" t="s"/>
      <c r="J1950" t="n">
        <v>-0.5994</v>
      </c>
      <c r="K1950" t="n">
        <v>0.189</v>
      </c>
      <c r="L1950" t="n">
        <v>0.8110000000000001</v>
      </c>
      <c r="M1950" t="n">
        <v>0</v>
      </c>
    </row>
    <row r="1951" spans="1:13">
      <c r="A1951" s="1">
        <f>HYPERLINK("http://www.twitter.com/NathanBLawrence/status/968586872984428550", "968586872984428550")</f>
        <v/>
      </c>
      <c r="B1951" s="2" t="n">
        <v>43158.86203703703</v>
      </c>
      <c r="C1951" t="n">
        <v>0</v>
      </c>
      <c r="D1951" t="n">
        <v>968</v>
      </c>
      <c r="E1951" t="s">
        <v>1945</v>
      </c>
      <c r="F1951">
        <f>HYPERLINK("http://pbs.twimg.com/media/DXEa66WVQAAW4ru.jpg", "http://pbs.twimg.com/media/DXEa66WVQAAW4ru.jpg")</f>
        <v/>
      </c>
      <c r="G1951" t="s"/>
      <c r="H1951" t="s"/>
      <c r="I1951" t="s"/>
      <c r="J1951" t="n">
        <v>-0.5266999999999999</v>
      </c>
      <c r="K1951" t="n">
        <v>0.231</v>
      </c>
      <c r="L1951" t="n">
        <v>0.655</v>
      </c>
      <c r="M1951" t="n">
        <v>0.114</v>
      </c>
    </row>
    <row r="1952" spans="1:13">
      <c r="A1952" s="1">
        <f>HYPERLINK("http://www.twitter.com/NathanBLawrence/status/968584775958188032", "968584775958188032")</f>
        <v/>
      </c>
      <c r="B1952" s="2" t="n">
        <v>43158.85625</v>
      </c>
      <c r="C1952" t="n">
        <v>0</v>
      </c>
      <c r="D1952" t="n">
        <v>3116</v>
      </c>
      <c r="E1952" t="s">
        <v>1946</v>
      </c>
      <c r="F1952" t="s"/>
      <c r="G1952" t="s"/>
      <c r="H1952" t="s"/>
      <c r="I1952" t="s"/>
      <c r="J1952" t="n">
        <v>0</v>
      </c>
      <c r="K1952" t="n">
        <v>0</v>
      </c>
      <c r="L1952" t="n">
        <v>1</v>
      </c>
      <c r="M1952" t="n">
        <v>0</v>
      </c>
    </row>
    <row r="1953" spans="1:13">
      <c r="A1953" s="1">
        <f>HYPERLINK("http://www.twitter.com/NathanBLawrence/status/968584036753997829", "968584036753997829")</f>
        <v/>
      </c>
      <c r="B1953" s="2" t="n">
        <v>43158.85421296296</v>
      </c>
      <c r="C1953" t="n">
        <v>0</v>
      </c>
      <c r="D1953" t="n">
        <v>5</v>
      </c>
      <c r="E1953" t="s">
        <v>1947</v>
      </c>
      <c r="F1953" t="s"/>
      <c r="G1953" t="s"/>
      <c r="H1953" t="s"/>
      <c r="I1953" t="s"/>
      <c r="J1953" t="n">
        <v>0</v>
      </c>
      <c r="K1953" t="n">
        <v>0</v>
      </c>
      <c r="L1953" t="n">
        <v>1</v>
      </c>
      <c r="M1953" t="n">
        <v>0</v>
      </c>
    </row>
    <row r="1954" spans="1:13">
      <c r="A1954" s="1">
        <f>HYPERLINK("http://www.twitter.com/NathanBLawrence/status/968583948602347523", "968583948602347523")</f>
        <v/>
      </c>
      <c r="B1954" s="2" t="n">
        <v>43158.85396990741</v>
      </c>
      <c r="C1954" t="n">
        <v>2</v>
      </c>
      <c r="D1954" t="n">
        <v>2</v>
      </c>
      <c r="E1954" t="s">
        <v>1948</v>
      </c>
      <c r="F1954" t="s"/>
      <c r="G1954" t="s"/>
      <c r="H1954" t="s"/>
      <c r="I1954" t="s"/>
      <c r="J1954" t="n">
        <v>0.875</v>
      </c>
      <c r="K1954" t="n">
        <v>0.141</v>
      </c>
      <c r="L1954" t="n">
        <v>0.553</v>
      </c>
      <c r="M1954" t="n">
        <v>0.306</v>
      </c>
    </row>
    <row r="1955" spans="1:13">
      <c r="A1955" s="1">
        <f>HYPERLINK("http://www.twitter.com/NathanBLawrence/status/968578429598748672", "968578429598748672")</f>
        <v/>
      </c>
      <c r="B1955" s="2" t="n">
        <v>43158.83873842593</v>
      </c>
      <c r="C1955" t="n">
        <v>1</v>
      </c>
      <c r="D1955" t="n">
        <v>0</v>
      </c>
      <c r="E1955" t="s">
        <v>1949</v>
      </c>
      <c r="F1955" t="s"/>
      <c r="G1955" t="s"/>
      <c r="H1955" t="s"/>
      <c r="I1955" t="s"/>
      <c r="J1955" t="n">
        <v>0</v>
      </c>
      <c r="K1955" t="n">
        <v>0</v>
      </c>
      <c r="L1955" t="n">
        <v>1</v>
      </c>
      <c r="M1955" t="n">
        <v>0</v>
      </c>
    </row>
    <row r="1956" spans="1:13">
      <c r="A1956" s="1">
        <f>HYPERLINK("http://www.twitter.com/NathanBLawrence/status/968578055697551368", "968578055697551368")</f>
        <v/>
      </c>
      <c r="B1956" s="2" t="n">
        <v>43158.83770833333</v>
      </c>
      <c r="C1956" t="n">
        <v>5</v>
      </c>
      <c r="D1956" t="n">
        <v>3</v>
      </c>
      <c r="E1956" t="s">
        <v>1950</v>
      </c>
      <c r="F1956" t="s"/>
      <c r="G1956" t="s"/>
      <c r="H1956" t="s"/>
      <c r="I1956" t="s"/>
      <c r="J1956" t="n">
        <v>-0.9225</v>
      </c>
      <c r="K1956" t="n">
        <v>0.419</v>
      </c>
      <c r="L1956" t="n">
        <v>0.581</v>
      </c>
      <c r="M1956" t="n">
        <v>0</v>
      </c>
    </row>
    <row r="1957" spans="1:13">
      <c r="A1957" s="1">
        <f>HYPERLINK("http://www.twitter.com/NathanBLawrence/status/968566598532521985", "968566598532521985")</f>
        <v/>
      </c>
      <c r="B1957" s="2" t="n">
        <v>43158.80608796296</v>
      </c>
      <c r="C1957" t="n">
        <v>13</v>
      </c>
      <c r="D1957" t="n">
        <v>16</v>
      </c>
      <c r="E1957" t="s">
        <v>1951</v>
      </c>
      <c r="F1957" t="s"/>
      <c r="G1957" t="s"/>
      <c r="H1957" t="s"/>
      <c r="I1957" t="s"/>
      <c r="J1957" t="n">
        <v>0.2577</v>
      </c>
      <c r="K1957" t="n">
        <v>0</v>
      </c>
      <c r="L1957" t="n">
        <v>0.9419999999999999</v>
      </c>
      <c r="M1957" t="n">
        <v>0.058</v>
      </c>
    </row>
    <row r="1958" spans="1:13">
      <c r="A1958" s="1">
        <f>HYPERLINK("http://www.twitter.com/NathanBLawrence/status/968556366964101120", "968556366964101120")</f>
        <v/>
      </c>
      <c r="B1958" s="2" t="n">
        <v>43158.7778587963</v>
      </c>
      <c r="C1958" t="n">
        <v>0</v>
      </c>
      <c r="D1958" t="n">
        <v>2</v>
      </c>
      <c r="E1958" t="s">
        <v>1952</v>
      </c>
      <c r="F1958" t="s"/>
      <c r="G1958" t="s"/>
      <c r="H1958" t="s"/>
      <c r="I1958" t="s"/>
      <c r="J1958" t="n">
        <v>0.5931999999999999</v>
      </c>
      <c r="K1958" t="n">
        <v>0</v>
      </c>
      <c r="L1958" t="n">
        <v>0.778</v>
      </c>
      <c r="M1958" t="n">
        <v>0.222</v>
      </c>
    </row>
    <row r="1959" spans="1:13">
      <c r="A1959" s="1">
        <f>HYPERLINK("http://www.twitter.com/NathanBLawrence/status/968538673179451392", "968538673179451392")</f>
        <v/>
      </c>
      <c r="B1959" s="2" t="n">
        <v>43158.72902777778</v>
      </c>
      <c r="C1959" t="n">
        <v>16</v>
      </c>
      <c r="D1959" t="n">
        <v>11</v>
      </c>
      <c r="E1959" t="s">
        <v>1953</v>
      </c>
      <c r="F1959" t="s"/>
      <c r="G1959" t="s"/>
      <c r="H1959" t="s"/>
      <c r="I1959" t="s"/>
      <c r="J1959" t="n">
        <v>-0.9509</v>
      </c>
      <c r="K1959" t="n">
        <v>0.29</v>
      </c>
      <c r="L1959" t="n">
        <v>0.71</v>
      </c>
      <c r="M1959" t="n">
        <v>0</v>
      </c>
    </row>
    <row r="1960" spans="1:13">
      <c r="A1960" s="1">
        <f>HYPERLINK("http://www.twitter.com/NathanBLawrence/status/968335588234547200", "968335588234547200")</f>
        <v/>
      </c>
      <c r="B1960" s="2" t="n">
        <v>43158.16862268518</v>
      </c>
      <c r="C1960" t="n">
        <v>0</v>
      </c>
      <c r="D1960" t="n">
        <v>1450</v>
      </c>
      <c r="E1960" t="s">
        <v>1954</v>
      </c>
      <c r="F1960" t="s"/>
      <c r="G1960" t="s"/>
      <c r="H1960" t="s"/>
      <c r="I1960" t="s"/>
      <c r="J1960" t="n">
        <v>-0.8555</v>
      </c>
      <c r="K1960" t="n">
        <v>0.32</v>
      </c>
      <c r="L1960" t="n">
        <v>0.68</v>
      </c>
      <c r="M1960" t="n">
        <v>0</v>
      </c>
    </row>
    <row r="1961" spans="1:13">
      <c r="A1961" s="1">
        <f>HYPERLINK("http://www.twitter.com/NathanBLawrence/status/968268181218488321", "968268181218488321")</f>
        <v/>
      </c>
      <c r="B1961" s="2" t="n">
        <v>43157.98261574074</v>
      </c>
      <c r="C1961" t="n">
        <v>0</v>
      </c>
      <c r="D1961" t="n">
        <v>4</v>
      </c>
      <c r="E1961" t="s">
        <v>1955</v>
      </c>
      <c r="F1961" t="s"/>
      <c r="G1961" t="s"/>
      <c r="H1961" t="s"/>
      <c r="I1961" t="s"/>
      <c r="J1961" t="n">
        <v>0.9062</v>
      </c>
      <c r="K1961" t="n">
        <v>0</v>
      </c>
      <c r="L1961" t="n">
        <v>0.363</v>
      </c>
      <c r="M1961" t="n">
        <v>0.637</v>
      </c>
    </row>
    <row r="1962" spans="1:13">
      <c r="A1962" s="1">
        <f>HYPERLINK("http://www.twitter.com/NathanBLawrence/status/968260868814327811", "968260868814327811")</f>
        <v/>
      </c>
      <c r="B1962" s="2" t="n">
        <v>43157.96244212963</v>
      </c>
      <c r="C1962" t="n">
        <v>0</v>
      </c>
      <c r="D1962" t="n">
        <v>0</v>
      </c>
      <c r="E1962" t="s">
        <v>1956</v>
      </c>
      <c r="F1962" t="s"/>
      <c r="G1962" t="s"/>
      <c r="H1962" t="s"/>
      <c r="I1962" t="s"/>
      <c r="J1962" t="n">
        <v>0</v>
      </c>
      <c r="K1962" t="n">
        <v>0</v>
      </c>
      <c r="L1962" t="n">
        <v>1</v>
      </c>
      <c r="M1962" t="n">
        <v>0</v>
      </c>
    </row>
    <row r="1963" spans="1:13">
      <c r="A1963" s="1">
        <f>HYPERLINK("http://www.twitter.com/NathanBLawrence/status/968260242130853890", "968260242130853890")</f>
        <v/>
      </c>
      <c r="B1963" s="2" t="n">
        <v>43157.96070601852</v>
      </c>
      <c r="C1963" t="n">
        <v>16</v>
      </c>
      <c r="D1963" t="n">
        <v>12</v>
      </c>
      <c r="E1963" t="s">
        <v>1957</v>
      </c>
      <c r="F1963" t="s"/>
      <c r="G1963" t="s"/>
      <c r="H1963" t="s"/>
      <c r="I1963" t="s"/>
      <c r="J1963" t="n">
        <v>0.6124000000000001</v>
      </c>
      <c r="K1963" t="n">
        <v>0.054</v>
      </c>
      <c r="L1963" t="n">
        <v>0.8090000000000001</v>
      </c>
      <c r="M1963" t="n">
        <v>0.137</v>
      </c>
    </row>
    <row r="1964" spans="1:13">
      <c r="A1964" s="1">
        <f>HYPERLINK("http://www.twitter.com/NathanBLawrence/status/968247849380085760", "968247849380085760")</f>
        <v/>
      </c>
      <c r="B1964" s="2" t="n">
        <v>43157.9265162037</v>
      </c>
      <c r="C1964" t="n">
        <v>0</v>
      </c>
      <c r="D1964" t="n">
        <v>0</v>
      </c>
      <c r="E1964" t="s">
        <v>1958</v>
      </c>
      <c r="F1964" t="s"/>
      <c r="G1964" t="s"/>
      <c r="H1964" t="s"/>
      <c r="I1964" t="s"/>
      <c r="J1964" t="n">
        <v>0.861</v>
      </c>
      <c r="K1964" t="n">
        <v>0.041</v>
      </c>
      <c r="L1964" t="n">
        <v>0.697</v>
      </c>
      <c r="M1964" t="n">
        <v>0.262</v>
      </c>
    </row>
    <row r="1965" spans="1:13">
      <c r="A1965" s="1">
        <f>HYPERLINK("http://www.twitter.com/NathanBLawrence/status/968199166747955201", "968199166747955201")</f>
        <v/>
      </c>
      <c r="B1965" s="2" t="n">
        <v>43157.79217592593</v>
      </c>
      <c r="C1965" t="n">
        <v>0</v>
      </c>
      <c r="D1965" t="n">
        <v>598</v>
      </c>
      <c r="E1965" t="s">
        <v>1959</v>
      </c>
      <c r="F1965" t="s"/>
      <c r="G1965" t="s"/>
      <c r="H1965" t="s"/>
      <c r="I1965" t="s"/>
      <c r="J1965" t="n">
        <v>0</v>
      </c>
      <c r="K1965" t="n">
        <v>0</v>
      </c>
      <c r="L1965" t="n">
        <v>1</v>
      </c>
      <c r="M1965" t="n">
        <v>0</v>
      </c>
    </row>
    <row r="1966" spans="1:13">
      <c r="A1966" s="1">
        <f>HYPERLINK("http://www.twitter.com/NathanBLawrence/status/968198467914031104", "968198467914031104")</f>
        <v/>
      </c>
      <c r="B1966" s="2" t="n">
        <v>43157.79024305556</v>
      </c>
      <c r="C1966" t="n">
        <v>0</v>
      </c>
      <c r="D1966" t="n">
        <v>822</v>
      </c>
      <c r="E1966" t="s">
        <v>1960</v>
      </c>
      <c r="F1966" t="s"/>
      <c r="G1966" t="s"/>
      <c r="H1966" t="s"/>
      <c r="I1966" t="s"/>
      <c r="J1966" t="n">
        <v>-0.8225</v>
      </c>
      <c r="K1966" t="n">
        <v>0.309</v>
      </c>
      <c r="L1966" t="n">
        <v>0.6909999999999999</v>
      </c>
      <c r="M1966" t="n">
        <v>0</v>
      </c>
    </row>
    <row r="1967" spans="1:13">
      <c r="A1967" s="1">
        <f>HYPERLINK("http://www.twitter.com/NathanBLawrence/status/968198228809265152", "968198228809265152")</f>
        <v/>
      </c>
      <c r="B1967" s="2" t="n">
        <v>43157.78958333333</v>
      </c>
      <c r="C1967" t="n">
        <v>0</v>
      </c>
      <c r="D1967" t="n">
        <v>150</v>
      </c>
      <c r="E1967" t="s">
        <v>1961</v>
      </c>
      <c r="F1967">
        <f>HYPERLINK("http://pbs.twimg.com/media/DW-5mzyVoAAummq.jpg", "http://pbs.twimg.com/media/DW-5mzyVoAAummq.jpg")</f>
        <v/>
      </c>
      <c r="G1967">
        <f>HYPERLINK("http://pbs.twimg.com/media/DW-6D1KVAAANx7F.jpg", "http://pbs.twimg.com/media/DW-6D1KVAAANx7F.jpg")</f>
        <v/>
      </c>
      <c r="H1967" t="s"/>
      <c r="I1967" t="s"/>
      <c r="J1967" t="n">
        <v>0.7264</v>
      </c>
      <c r="K1967" t="n">
        <v>0</v>
      </c>
      <c r="L1967" t="n">
        <v>0.757</v>
      </c>
      <c r="M1967" t="n">
        <v>0.243</v>
      </c>
    </row>
    <row r="1968" spans="1:13">
      <c r="A1968" s="1">
        <f>HYPERLINK("http://www.twitter.com/NathanBLawrence/status/968195613287477251", "968195613287477251")</f>
        <v/>
      </c>
      <c r="B1968" s="2" t="n">
        <v>43157.78237268519</v>
      </c>
      <c r="C1968" t="n">
        <v>0</v>
      </c>
      <c r="D1968" t="n">
        <v>7215</v>
      </c>
      <c r="E1968" t="s">
        <v>1962</v>
      </c>
      <c r="F1968">
        <f>HYPERLINK("https://video.twimg.com/ext_tw_video/967960426150551553/pu/vid/1280x720/DogKS_eNH2UUO75g.mp4", "https://video.twimg.com/ext_tw_video/967960426150551553/pu/vid/1280x720/DogKS_eNH2UUO75g.mp4")</f>
        <v/>
      </c>
      <c r="G1968" t="s"/>
      <c r="H1968" t="s"/>
      <c r="I1968" t="s"/>
      <c r="J1968" t="n">
        <v>0</v>
      </c>
      <c r="K1968" t="n">
        <v>0</v>
      </c>
      <c r="L1968" t="n">
        <v>1</v>
      </c>
      <c r="M1968" t="n">
        <v>0</v>
      </c>
    </row>
    <row r="1969" spans="1:13">
      <c r="A1969" s="1">
        <f>HYPERLINK("http://www.twitter.com/NathanBLawrence/status/968169105093283840", "968169105093283840")</f>
        <v/>
      </c>
      <c r="B1969" s="2" t="n">
        <v>43157.70922453704</v>
      </c>
      <c r="C1969" t="n">
        <v>0</v>
      </c>
      <c r="D1969" t="n">
        <v>580</v>
      </c>
      <c r="E1969" t="s">
        <v>1963</v>
      </c>
      <c r="F1969">
        <f>HYPERLINK("https://video.twimg.com/amplify_video/966673250079125504/vid/1280x720/c1Hh9vCbKwtJtxnw.mp4", "https://video.twimg.com/amplify_video/966673250079125504/vid/1280x720/c1Hh9vCbKwtJtxnw.mp4")</f>
        <v/>
      </c>
      <c r="G1969" t="s"/>
      <c r="H1969" t="s"/>
      <c r="I1969" t="s"/>
      <c r="J1969" t="n">
        <v>-0.7964</v>
      </c>
      <c r="K1969" t="n">
        <v>0.366</v>
      </c>
      <c r="L1969" t="n">
        <v>0.584</v>
      </c>
      <c r="M1969" t="n">
        <v>0.051</v>
      </c>
    </row>
    <row r="1970" spans="1:13">
      <c r="A1970" s="1">
        <f>HYPERLINK("http://www.twitter.com/NathanBLawrence/status/968168029426155521", "968168029426155521")</f>
        <v/>
      </c>
      <c r="B1970" s="2" t="n">
        <v>43157.70625</v>
      </c>
      <c r="C1970" t="n">
        <v>1</v>
      </c>
      <c r="D1970" t="n">
        <v>1</v>
      </c>
      <c r="E1970" t="s">
        <v>1964</v>
      </c>
      <c r="F1970" t="s"/>
      <c r="G1970" t="s"/>
      <c r="H1970" t="s"/>
      <c r="I1970" t="s"/>
      <c r="J1970" t="n">
        <v>0</v>
      </c>
      <c r="K1970" t="n">
        <v>0</v>
      </c>
      <c r="L1970" t="n">
        <v>1</v>
      </c>
      <c r="M1970" t="n">
        <v>0</v>
      </c>
    </row>
    <row r="1971" spans="1:13">
      <c r="A1971" s="1">
        <f>HYPERLINK("http://www.twitter.com/NathanBLawrence/status/968154860930654209", "968154860930654209")</f>
        <v/>
      </c>
      <c r="B1971" s="2" t="n">
        <v>43157.66990740741</v>
      </c>
      <c r="C1971" t="n">
        <v>0</v>
      </c>
      <c r="D1971" t="n">
        <v>1358</v>
      </c>
      <c r="E1971" t="s">
        <v>1965</v>
      </c>
      <c r="F1971" t="s"/>
      <c r="G1971" t="s"/>
      <c r="H1971" t="s"/>
      <c r="I1971" t="s"/>
      <c r="J1971" t="n">
        <v>-0.4767</v>
      </c>
      <c r="K1971" t="n">
        <v>0.146</v>
      </c>
      <c r="L1971" t="n">
        <v>0.751</v>
      </c>
      <c r="M1971" t="n">
        <v>0.103</v>
      </c>
    </row>
    <row r="1972" spans="1:13">
      <c r="A1972" s="1">
        <f>HYPERLINK("http://www.twitter.com/NathanBLawrence/status/968154616524410882", "968154616524410882")</f>
        <v/>
      </c>
      <c r="B1972" s="2" t="n">
        <v>43157.66923611111</v>
      </c>
      <c r="C1972" t="n">
        <v>0</v>
      </c>
      <c r="D1972" t="n">
        <v>43</v>
      </c>
      <c r="E1972" t="s">
        <v>1966</v>
      </c>
      <c r="F1972">
        <f>HYPERLINK("http://pbs.twimg.com/media/DW7vL7HVoAAwQo_.jpg", "http://pbs.twimg.com/media/DW7vL7HVoAAwQo_.jpg")</f>
        <v/>
      </c>
      <c r="G1972" t="s"/>
      <c r="H1972" t="s"/>
      <c r="I1972" t="s"/>
      <c r="J1972" t="n">
        <v>0</v>
      </c>
      <c r="K1972" t="n">
        <v>0</v>
      </c>
      <c r="L1972" t="n">
        <v>1</v>
      </c>
      <c r="M1972" t="n">
        <v>0</v>
      </c>
    </row>
    <row r="1973" spans="1:13">
      <c r="A1973" s="1">
        <f>HYPERLINK("http://www.twitter.com/NathanBLawrence/status/968154498505039872", "968154498505039872")</f>
        <v/>
      </c>
      <c r="B1973" s="2" t="n">
        <v>43157.66891203704</v>
      </c>
      <c r="C1973" t="n">
        <v>0</v>
      </c>
      <c r="D1973" t="n">
        <v>43</v>
      </c>
      <c r="E1973" t="s">
        <v>1967</v>
      </c>
      <c r="F1973">
        <f>HYPERLINK("http://pbs.twimg.com/media/DW95TPaUMAAIrIW.jpg", "http://pbs.twimg.com/media/DW95TPaUMAAIrIW.jpg")</f>
        <v/>
      </c>
      <c r="G1973" t="s"/>
      <c r="H1973" t="s"/>
      <c r="I1973" t="s"/>
      <c r="J1973" t="n">
        <v>0</v>
      </c>
      <c r="K1973" t="n">
        <v>0</v>
      </c>
      <c r="L1973" t="n">
        <v>1</v>
      </c>
      <c r="M1973" t="n">
        <v>0</v>
      </c>
    </row>
    <row r="1974" spans="1:13">
      <c r="A1974" s="1">
        <f>HYPERLINK("http://www.twitter.com/NathanBLawrence/status/968141113176543233", "968141113176543233")</f>
        <v/>
      </c>
      <c r="B1974" s="2" t="n">
        <v>43157.63197916667</v>
      </c>
      <c r="C1974" t="n">
        <v>0</v>
      </c>
      <c r="D1974" t="n">
        <v>4</v>
      </c>
      <c r="E1974" t="s">
        <v>1968</v>
      </c>
      <c r="F1974">
        <f>HYPERLINK("http://pbs.twimg.com/media/DW-G6XXW0AIUKpa.jpg", "http://pbs.twimg.com/media/DW-G6XXW0AIUKpa.jpg")</f>
        <v/>
      </c>
      <c r="G1974" t="s"/>
      <c r="H1974" t="s"/>
      <c r="I1974" t="s"/>
      <c r="J1974" t="n">
        <v>0</v>
      </c>
      <c r="K1974" t="n">
        <v>0</v>
      </c>
      <c r="L1974" t="n">
        <v>1</v>
      </c>
      <c r="M1974" t="n">
        <v>0</v>
      </c>
    </row>
    <row r="1975" spans="1:13">
      <c r="A1975" s="1">
        <f>HYPERLINK("http://www.twitter.com/NathanBLawrence/status/968140391110316032", "968140391110316032")</f>
        <v/>
      </c>
      <c r="B1975" s="2" t="n">
        <v>43157.62998842593</v>
      </c>
      <c r="C1975" t="n">
        <v>0</v>
      </c>
      <c r="D1975" t="n">
        <v>223</v>
      </c>
      <c r="E1975" t="s">
        <v>1969</v>
      </c>
      <c r="F1975" t="s"/>
      <c r="G1975" t="s"/>
      <c r="H1975" t="s"/>
      <c r="I1975" t="s"/>
      <c r="J1975" t="n">
        <v>-0.802</v>
      </c>
      <c r="K1975" t="n">
        <v>0.284</v>
      </c>
      <c r="L1975" t="n">
        <v>0.642</v>
      </c>
      <c r="M1975" t="n">
        <v>0.074</v>
      </c>
    </row>
    <row r="1976" spans="1:13">
      <c r="A1976" s="1">
        <f>HYPERLINK("http://www.twitter.com/NathanBLawrence/status/968140174222876672", "968140174222876672")</f>
        <v/>
      </c>
      <c r="B1976" s="2" t="n">
        <v>43157.62938657407</v>
      </c>
      <c r="C1976" t="n">
        <v>0</v>
      </c>
      <c r="D1976" t="n">
        <v>1954</v>
      </c>
      <c r="E1976" t="s">
        <v>1970</v>
      </c>
      <c r="F1976">
        <f>HYPERLINK("http://pbs.twimg.com/media/DW6NI5jXUAAYMUZ.jpg", "http://pbs.twimg.com/media/DW6NI5jXUAAYMUZ.jpg")</f>
        <v/>
      </c>
      <c r="G1976" t="s"/>
      <c r="H1976" t="s"/>
      <c r="I1976" t="s"/>
      <c r="J1976" t="n">
        <v>0</v>
      </c>
      <c r="K1976" t="n">
        <v>0</v>
      </c>
      <c r="L1976" t="n">
        <v>1</v>
      </c>
      <c r="M1976" t="n">
        <v>0</v>
      </c>
    </row>
    <row r="1977" spans="1:13">
      <c r="A1977" s="1">
        <f>HYPERLINK("http://www.twitter.com/NathanBLawrence/status/968131489425653761", "968131489425653761")</f>
        <v/>
      </c>
      <c r="B1977" s="2" t="n">
        <v>43157.60541666667</v>
      </c>
      <c r="C1977" t="n">
        <v>0</v>
      </c>
      <c r="D1977" t="n">
        <v>366</v>
      </c>
      <c r="E1977" t="s">
        <v>1971</v>
      </c>
      <c r="F1977" t="s"/>
      <c r="G1977" t="s"/>
      <c r="H1977" t="s"/>
      <c r="I1977" t="s"/>
      <c r="J1977" t="n">
        <v>0</v>
      </c>
      <c r="K1977" t="n">
        <v>0</v>
      </c>
      <c r="L1977" t="n">
        <v>1</v>
      </c>
      <c r="M1977" t="n">
        <v>0</v>
      </c>
    </row>
    <row r="1978" spans="1:13">
      <c r="A1978" s="1">
        <f>HYPERLINK("http://www.twitter.com/NathanBLawrence/status/968129837432033280", "968129837432033280")</f>
        <v/>
      </c>
      <c r="B1978" s="2" t="n">
        <v>43157.60085648148</v>
      </c>
      <c r="C1978" t="n">
        <v>0</v>
      </c>
      <c r="D1978" t="n">
        <v>14</v>
      </c>
      <c r="E1978" t="s">
        <v>1972</v>
      </c>
      <c r="F1978">
        <f>HYPERLINK("http://pbs.twimg.com/media/DW98gG_VQAAn813.jpg", "http://pbs.twimg.com/media/DW98gG_VQAAn813.jpg")</f>
        <v/>
      </c>
      <c r="G1978" t="s"/>
      <c r="H1978" t="s"/>
      <c r="I1978" t="s"/>
      <c r="J1978" t="n">
        <v>0</v>
      </c>
      <c r="K1978" t="n">
        <v>0</v>
      </c>
      <c r="L1978" t="n">
        <v>1</v>
      </c>
      <c r="M1978" t="n">
        <v>0</v>
      </c>
    </row>
    <row r="1979" spans="1:13">
      <c r="A1979" s="1">
        <f>HYPERLINK("http://www.twitter.com/NathanBLawrence/status/968128878223994881", "968128878223994881")</f>
        <v/>
      </c>
      <c r="B1979" s="2" t="n">
        <v>43157.59821759259</v>
      </c>
      <c r="C1979" t="n">
        <v>0</v>
      </c>
      <c r="D1979" t="n">
        <v>502</v>
      </c>
      <c r="E1979" t="s">
        <v>1973</v>
      </c>
      <c r="F1979">
        <f>HYPERLINK("https://video.twimg.com/amplify_video/967619311270375424/vid/1280x720/Qh-f6-zgTSnGozrO.mp4", "https://video.twimg.com/amplify_video/967619311270375424/vid/1280x720/Qh-f6-zgTSnGozrO.mp4")</f>
        <v/>
      </c>
      <c r="G1979" t="s"/>
      <c r="H1979" t="s"/>
      <c r="I1979" t="s"/>
      <c r="J1979" t="n">
        <v>0</v>
      </c>
      <c r="K1979" t="n">
        <v>0</v>
      </c>
      <c r="L1979" t="n">
        <v>1</v>
      </c>
      <c r="M1979" t="n">
        <v>0</v>
      </c>
    </row>
    <row r="1980" spans="1:13">
      <c r="A1980" s="1">
        <f>HYPERLINK("http://www.twitter.com/NathanBLawrence/status/968120830977822721", "968120830977822721")</f>
        <v/>
      </c>
      <c r="B1980" s="2" t="n">
        <v>43157.57600694444</v>
      </c>
      <c r="C1980" t="n">
        <v>0</v>
      </c>
      <c r="D1980" t="n">
        <v>527</v>
      </c>
      <c r="E1980" t="s">
        <v>1974</v>
      </c>
      <c r="F1980">
        <f>HYPERLINK("http://pbs.twimg.com/media/DW7cDgXVoAAcnC9.jpg", "http://pbs.twimg.com/media/DW7cDgXVoAAcnC9.jpg")</f>
        <v/>
      </c>
      <c r="G1980" t="s"/>
      <c r="H1980" t="s"/>
      <c r="I1980" t="s"/>
      <c r="J1980" t="n">
        <v>0.6369</v>
      </c>
      <c r="K1980" t="n">
        <v>0</v>
      </c>
      <c r="L1980" t="n">
        <v>0.741</v>
      </c>
      <c r="M1980" t="n">
        <v>0.259</v>
      </c>
    </row>
    <row r="1981" spans="1:13">
      <c r="A1981" s="1">
        <f>HYPERLINK("http://www.twitter.com/NathanBLawrence/status/968120112380293121", "968120112380293121")</f>
        <v/>
      </c>
      <c r="B1981" s="2" t="n">
        <v>43157.57402777778</v>
      </c>
      <c r="C1981" t="n">
        <v>21</v>
      </c>
      <c r="D1981" t="n">
        <v>32</v>
      </c>
      <c r="E1981" t="s">
        <v>1975</v>
      </c>
      <c r="F1981">
        <f>HYPERLINK("http://pbs.twimg.com/media/DW90GM5X0AAsa2R.jpg", "http://pbs.twimg.com/media/DW90GM5X0AAsa2R.jpg")</f>
        <v/>
      </c>
      <c r="G1981" t="s"/>
      <c r="H1981" t="s"/>
      <c r="I1981" t="s"/>
      <c r="J1981" t="n">
        <v>-0.9325</v>
      </c>
      <c r="K1981" t="n">
        <v>0.367</v>
      </c>
      <c r="L1981" t="n">
        <v>0.497</v>
      </c>
      <c r="M1981" t="n">
        <v>0.135</v>
      </c>
    </row>
    <row r="1982" spans="1:13">
      <c r="A1982" s="1">
        <f>HYPERLINK("http://www.twitter.com/NathanBLawrence/status/967960340238667776", "967960340238667776")</f>
        <v/>
      </c>
      <c r="B1982" s="2" t="n">
        <v>43157.13313657408</v>
      </c>
      <c r="C1982" t="n">
        <v>0</v>
      </c>
      <c r="D1982" t="n">
        <v>7940</v>
      </c>
      <c r="E1982" t="s">
        <v>1976</v>
      </c>
      <c r="F1982" t="s"/>
      <c r="G1982" t="s"/>
      <c r="H1982" t="s"/>
      <c r="I1982" t="s"/>
      <c r="J1982" t="n">
        <v>0.25</v>
      </c>
      <c r="K1982" t="n">
        <v>0.08699999999999999</v>
      </c>
      <c r="L1982" t="n">
        <v>0.748</v>
      </c>
      <c r="M1982" t="n">
        <v>0.165</v>
      </c>
    </row>
    <row r="1983" spans="1:13">
      <c r="A1983" s="1">
        <f>HYPERLINK("http://www.twitter.com/NathanBLawrence/status/967921272821829633", "967921272821829633")</f>
        <v/>
      </c>
      <c r="B1983" s="2" t="n">
        <v>43157.02533564815</v>
      </c>
      <c r="C1983" t="n">
        <v>0</v>
      </c>
      <c r="D1983" t="n">
        <v>1</v>
      </c>
      <c r="E1983" t="s">
        <v>1977</v>
      </c>
      <c r="F1983">
        <f>HYPERLINK("http://pbs.twimg.com/media/DW5rI5aU0AAP0VG.jpg", "http://pbs.twimg.com/media/DW5rI5aU0AAP0VG.jpg")</f>
        <v/>
      </c>
      <c r="G1983" t="s"/>
      <c r="H1983" t="s"/>
      <c r="I1983" t="s"/>
      <c r="J1983" t="n">
        <v>0</v>
      </c>
      <c r="K1983" t="n">
        <v>0</v>
      </c>
      <c r="L1983" t="n">
        <v>1</v>
      </c>
      <c r="M1983" t="n">
        <v>0</v>
      </c>
    </row>
    <row r="1984" spans="1:13">
      <c r="A1984" s="1">
        <f>HYPERLINK("http://www.twitter.com/NathanBLawrence/status/967906796726882304", "967906796726882304")</f>
        <v/>
      </c>
      <c r="B1984" s="2" t="n">
        <v>43156.98538194445</v>
      </c>
      <c r="C1984" t="n">
        <v>0</v>
      </c>
      <c r="D1984" t="n">
        <v>5</v>
      </c>
      <c r="E1984" t="s">
        <v>1978</v>
      </c>
      <c r="F1984" t="s"/>
      <c r="G1984" t="s"/>
      <c r="H1984" t="s"/>
      <c r="I1984" t="s"/>
      <c r="J1984" t="n">
        <v>0</v>
      </c>
      <c r="K1984" t="n">
        <v>0</v>
      </c>
      <c r="L1984" t="n">
        <v>1</v>
      </c>
      <c r="M1984" t="n">
        <v>0</v>
      </c>
    </row>
    <row r="1985" spans="1:13">
      <c r="A1985" s="1">
        <f>HYPERLINK("http://www.twitter.com/NathanBLawrence/status/967906385269870592", "967906385269870592")</f>
        <v/>
      </c>
      <c r="B1985" s="2" t="n">
        <v>43156.98424768518</v>
      </c>
      <c r="C1985" t="n">
        <v>0</v>
      </c>
      <c r="D1985" t="n">
        <v>7</v>
      </c>
      <c r="E1985" t="s">
        <v>1979</v>
      </c>
      <c r="F1985">
        <f>HYPERLINK("http://pbs.twimg.com/media/DW6ZKnIVwAAuiS8.jpg", "http://pbs.twimg.com/media/DW6ZKnIVwAAuiS8.jpg")</f>
        <v/>
      </c>
      <c r="G1985" t="s"/>
      <c r="H1985" t="s"/>
      <c r="I1985" t="s"/>
      <c r="J1985" t="n">
        <v>0</v>
      </c>
      <c r="K1985" t="n">
        <v>0</v>
      </c>
      <c r="L1985" t="n">
        <v>1</v>
      </c>
      <c r="M1985" t="n">
        <v>0</v>
      </c>
    </row>
    <row r="1986" spans="1:13">
      <c r="A1986" s="1">
        <f>HYPERLINK("http://www.twitter.com/NathanBLawrence/status/967881278304538624", "967881278304538624")</f>
        <v/>
      </c>
      <c r="B1986" s="2" t="n">
        <v>43156.91496527778</v>
      </c>
      <c r="C1986" t="n">
        <v>0</v>
      </c>
      <c r="D1986" t="n">
        <v>299</v>
      </c>
      <c r="E1986" t="s">
        <v>1980</v>
      </c>
      <c r="F1986">
        <f>HYPERLINK("https://video.twimg.com/ext_tw_video/929092007674253313/pu/vid/1280x720/4gZx4NAc9gCz0_6S.mp4", "https://video.twimg.com/ext_tw_video/929092007674253313/pu/vid/1280x720/4gZx4NAc9gCz0_6S.mp4")</f>
        <v/>
      </c>
      <c r="G1986" t="s"/>
      <c r="H1986" t="s"/>
      <c r="I1986" t="s"/>
      <c r="J1986" t="n">
        <v>0.0377</v>
      </c>
      <c r="K1986" t="n">
        <v>0.101</v>
      </c>
      <c r="L1986" t="n">
        <v>0.792</v>
      </c>
      <c r="M1986" t="n">
        <v>0.107</v>
      </c>
    </row>
    <row r="1987" spans="1:13">
      <c r="A1987" s="1">
        <f>HYPERLINK("http://www.twitter.com/NathanBLawrence/status/967863578761015296", "967863578761015296")</f>
        <v/>
      </c>
      <c r="B1987" s="2" t="n">
        <v>43156.86612268518</v>
      </c>
      <c r="C1987" t="n">
        <v>0</v>
      </c>
      <c r="D1987" t="n">
        <v>99</v>
      </c>
      <c r="E1987" t="s">
        <v>1981</v>
      </c>
      <c r="F1987">
        <f>HYPERLINK("http://pbs.twimg.com/media/DQKEBp-VoAAM3Fy.jpg", "http://pbs.twimg.com/media/DQKEBp-VoAAM3Fy.jpg")</f>
        <v/>
      </c>
      <c r="G1987" t="s"/>
      <c r="H1987" t="s"/>
      <c r="I1987" t="s"/>
      <c r="J1987" t="n">
        <v>0.6731</v>
      </c>
      <c r="K1987" t="n">
        <v>0</v>
      </c>
      <c r="L1987" t="n">
        <v>0.742</v>
      </c>
      <c r="M1987" t="n">
        <v>0.258</v>
      </c>
    </row>
    <row r="1988" spans="1:13">
      <c r="A1988" s="1">
        <f>HYPERLINK("http://www.twitter.com/NathanBLawrence/status/967809106949148673", "967809106949148673")</f>
        <v/>
      </c>
      <c r="B1988" s="2" t="n">
        <v>43156.71581018518</v>
      </c>
      <c r="C1988" t="n">
        <v>0</v>
      </c>
      <c r="D1988" t="n">
        <v>483</v>
      </c>
      <c r="E1988" t="s">
        <v>1982</v>
      </c>
      <c r="F1988" t="s"/>
      <c r="G1988" t="s"/>
      <c r="H1988" t="s"/>
      <c r="I1988" t="s"/>
      <c r="J1988" t="n">
        <v>0.5574</v>
      </c>
      <c r="K1988" t="n">
        <v>0</v>
      </c>
      <c r="L1988" t="n">
        <v>0.769</v>
      </c>
      <c r="M1988" t="n">
        <v>0.231</v>
      </c>
    </row>
    <row r="1989" spans="1:13">
      <c r="A1989" s="1">
        <f>HYPERLINK("http://www.twitter.com/NathanBLawrence/status/967775377019035648", "967775377019035648")</f>
        <v/>
      </c>
      <c r="B1989" s="2" t="n">
        <v>43156.62273148148</v>
      </c>
      <c r="C1989" t="n">
        <v>0</v>
      </c>
      <c r="D1989" t="n">
        <v>562</v>
      </c>
      <c r="E1989" t="s">
        <v>1983</v>
      </c>
      <c r="F1989" t="s"/>
      <c r="G1989" t="s"/>
      <c r="H1989" t="s"/>
      <c r="I1989" t="s"/>
      <c r="J1989" t="n">
        <v>-0.6908</v>
      </c>
      <c r="K1989" t="n">
        <v>0.231</v>
      </c>
      <c r="L1989" t="n">
        <v>0.769</v>
      </c>
      <c r="M1989" t="n">
        <v>0</v>
      </c>
    </row>
    <row r="1990" spans="1:13">
      <c r="A1990" s="1">
        <f>HYPERLINK("http://www.twitter.com/NathanBLawrence/status/967774843012878336", "967774843012878336")</f>
        <v/>
      </c>
      <c r="B1990" s="2" t="n">
        <v>43156.62126157407</v>
      </c>
      <c r="C1990" t="n">
        <v>0</v>
      </c>
      <c r="D1990" t="n">
        <v>1751</v>
      </c>
      <c r="E1990" t="s">
        <v>1984</v>
      </c>
      <c r="F1990" t="s"/>
      <c r="G1990" t="s"/>
      <c r="H1990" t="s"/>
      <c r="I1990" t="s"/>
      <c r="J1990" t="n">
        <v>-0.6249</v>
      </c>
      <c r="K1990" t="n">
        <v>0.17</v>
      </c>
      <c r="L1990" t="n">
        <v>0.83</v>
      </c>
      <c r="M1990" t="n">
        <v>0</v>
      </c>
    </row>
    <row r="1991" spans="1:13">
      <c r="A1991" s="1">
        <f>HYPERLINK("http://www.twitter.com/NathanBLawrence/status/967460990756548609", "967460990756548609")</f>
        <v/>
      </c>
      <c r="B1991" s="2" t="n">
        <v>43155.75519675926</v>
      </c>
      <c r="C1991" t="n">
        <v>16</v>
      </c>
      <c r="D1991" t="n">
        <v>10</v>
      </c>
      <c r="E1991" t="s">
        <v>1985</v>
      </c>
      <c r="F1991" t="s"/>
      <c r="G1991" t="s"/>
      <c r="H1991" t="s"/>
      <c r="I1991" t="s"/>
      <c r="J1991" t="n">
        <v>-0.7592</v>
      </c>
      <c r="K1991" t="n">
        <v>0.176</v>
      </c>
      <c r="L1991" t="n">
        <v>0.769</v>
      </c>
      <c r="M1991" t="n">
        <v>0.055</v>
      </c>
    </row>
    <row r="1992" spans="1:13">
      <c r="A1992" s="1">
        <f>HYPERLINK("http://www.twitter.com/NathanBLawrence/status/967450651071565826", "967450651071565826")</f>
        <v/>
      </c>
      <c r="B1992" s="2" t="n">
        <v>43155.72666666667</v>
      </c>
      <c r="C1992" t="n">
        <v>0</v>
      </c>
      <c r="D1992" t="n">
        <v>996</v>
      </c>
      <c r="E1992" t="s">
        <v>1986</v>
      </c>
      <c r="F1992">
        <f>HYPERLINK("http://pbs.twimg.com/media/DW0MhhbV4AA85Lq.jpg", "http://pbs.twimg.com/media/DW0MhhbV4AA85Lq.jpg")</f>
        <v/>
      </c>
      <c r="G1992" t="s"/>
      <c r="H1992" t="s"/>
      <c r="I1992" t="s"/>
      <c r="J1992" t="n">
        <v>0.5859</v>
      </c>
      <c r="K1992" t="n">
        <v>0.101</v>
      </c>
      <c r="L1992" t="n">
        <v>0.645</v>
      </c>
      <c r="M1992" t="n">
        <v>0.254</v>
      </c>
    </row>
    <row r="1993" spans="1:13">
      <c r="A1993" s="1">
        <f>HYPERLINK("http://www.twitter.com/NathanBLawrence/status/967446968413904897", "967446968413904897")</f>
        <v/>
      </c>
      <c r="B1993" s="2" t="n">
        <v>43155.71650462963</v>
      </c>
      <c r="C1993" t="n">
        <v>0</v>
      </c>
      <c r="D1993" t="n">
        <v>11298</v>
      </c>
      <c r="E1993" t="s">
        <v>1987</v>
      </c>
      <c r="F1993">
        <f>HYPERLINK("http://pbs.twimg.com/media/DWgnQ8xVMAAJ2l_.jpg", "http://pbs.twimg.com/media/DWgnQ8xVMAAJ2l_.jpg")</f>
        <v/>
      </c>
      <c r="G1993" t="s"/>
      <c r="H1993" t="s"/>
      <c r="I1993" t="s"/>
      <c r="J1993" t="n">
        <v>0.25</v>
      </c>
      <c r="K1993" t="n">
        <v>0</v>
      </c>
      <c r="L1993" t="n">
        <v>0.917</v>
      </c>
      <c r="M1993" t="n">
        <v>0.083</v>
      </c>
    </row>
    <row r="1994" spans="1:13">
      <c r="A1994" s="1">
        <f>HYPERLINK("http://www.twitter.com/NathanBLawrence/status/967445548633657345", "967445548633657345")</f>
        <v/>
      </c>
      <c r="B1994" s="2" t="n">
        <v>43155.71258101852</v>
      </c>
      <c r="C1994" t="n">
        <v>0</v>
      </c>
      <c r="D1994" t="n">
        <v>151</v>
      </c>
      <c r="E1994" t="s">
        <v>1988</v>
      </c>
      <c r="F1994">
        <f>HYPERLINK("http://pbs.twimg.com/media/DWz8lDlV4AAAddv.jpg", "http://pbs.twimg.com/media/DWz8lDlV4AAAddv.jpg")</f>
        <v/>
      </c>
      <c r="G1994" t="s"/>
      <c r="H1994" t="s"/>
      <c r="I1994" t="s"/>
      <c r="J1994" t="n">
        <v>0</v>
      </c>
      <c r="K1994" t="n">
        <v>0</v>
      </c>
      <c r="L1994" t="n">
        <v>1</v>
      </c>
      <c r="M1994" t="n">
        <v>0</v>
      </c>
    </row>
    <row r="1995" spans="1:13">
      <c r="A1995" s="1">
        <f>HYPERLINK("http://www.twitter.com/NathanBLawrence/status/967445364180705287", "967445364180705287")</f>
        <v/>
      </c>
      <c r="B1995" s="2" t="n">
        <v>43155.71207175926</v>
      </c>
      <c r="C1995" t="n">
        <v>0</v>
      </c>
      <c r="D1995" t="n">
        <v>650</v>
      </c>
      <c r="E1995" t="s">
        <v>1989</v>
      </c>
      <c r="F1995" t="s"/>
      <c r="G1995" t="s"/>
      <c r="H1995" t="s"/>
      <c r="I1995" t="s"/>
      <c r="J1995" t="n">
        <v>-0.34</v>
      </c>
      <c r="K1995" t="n">
        <v>0.112</v>
      </c>
      <c r="L1995" t="n">
        <v>0.888</v>
      </c>
      <c r="M1995" t="n">
        <v>0</v>
      </c>
    </row>
    <row r="1996" spans="1:13">
      <c r="A1996" s="1">
        <f>HYPERLINK("http://www.twitter.com/NathanBLawrence/status/967440660394643456", "967440660394643456")</f>
        <v/>
      </c>
      <c r="B1996" s="2" t="n">
        <v>43155.69909722222</v>
      </c>
      <c r="C1996" t="n">
        <v>0</v>
      </c>
      <c r="D1996" t="n">
        <v>127</v>
      </c>
      <c r="E1996" t="s">
        <v>1990</v>
      </c>
      <c r="F1996" t="s"/>
      <c r="G1996" t="s"/>
      <c r="H1996" t="s"/>
      <c r="I1996" t="s"/>
      <c r="J1996" t="n">
        <v>-0.8268</v>
      </c>
      <c r="K1996" t="n">
        <v>0.288</v>
      </c>
      <c r="L1996" t="n">
        <v>0.712</v>
      </c>
      <c r="M1996" t="n">
        <v>0</v>
      </c>
    </row>
    <row r="1997" spans="1:13">
      <c r="A1997" s="1">
        <f>HYPERLINK("http://www.twitter.com/NathanBLawrence/status/967439603262283778", "967439603262283778")</f>
        <v/>
      </c>
      <c r="B1997" s="2" t="n">
        <v>43155.69618055555</v>
      </c>
      <c r="C1997" t="n">
        <v>0</v>
      </c>
      <c r="D1997" t="n">
        <v>1</v>
      </c>
      <c r="E1997" t="s">
        <v>1991</v>
      </c>
      <c r="F1997" t="s"/>
      <c r="G1997" t="s"/>
      <c r="H1997" t="s"/>
      <c r="I1997" t="s"/>
      <c r="J1997" t="n">
        <v>0</v>
      </c>
      <c r="K1997" t="n">
        <v>0</v>
      </c>
      <c r="L1997" t="n">
        <v>1</v>
      </c>
      <c r="M1997" t="n">
        <v>0</v>
      </c>
    </row>
    <row r="1998" spans="1:13">
      <c r="A1998" s="1">
        <f>HYPERLINK("http://www.twitter.com/NathanBLawrence/status/967433976540467200", "967433976540467200")</f>
        <v/>
      </c>
      <c r="B1998" s="2" t="n">
        <v>43155.68064814815</v>
      </c>
      <c r="C1998" t="n">
        <v>0</v>
      </c>
      <c r="D1998" t="n">
        <v>26</v>
      </c>
      <c r="E1998" t="s">
        <v>1992</v>
      </c>
      <c r="F1998" t="s"/>
      <c r="G1998" t="s"/>
      <c r="H1998" t="s"/>
      <c r="I1998" t="s"/>
      <c r="J1998" t="n">
        <v>-0.0258</v>
      </c>
      <c r="K1998" t="n">
        <v>0.174</v>
      </c>
      <c r="L1998" t="n">
        <v>0.61</v>
      </c>
      <c r="M1998" t="n">
        <v>0.216</v>
      </c>
    </row>
    <row r="1999" spans="1:13">
      <c r="A1999" s="1">
        <f>HYPERLINK("http://www.twitter.com/NathanBLawrence/status/967433904033533957", "967433904033533957")</f>
        <v/>
      </c>
      <c r="B1999" s="2" t="n">
        <v>43155.68045138889</v>
      </c>
      <c r="C1999" t="n">
        <v>0</v>
      </c>
      <c r="D1999" t="n">
        <v>8</v>
      </c>
      <c r="E1999" t="s">
        <v>1993</v>
      </c>
      <c r="F1999">
        <f>HYPERLINK("http://pbs.twimg.com/media/DWyBGCLW0AA0EyR.jpg", "http://pbs.twimg.com/media/DWyBGCLW0AA0EyR.jpg")</f>
        <v/>
      </c>
      <c r="G1999" t="s"/>
      <c r="H1999" t="s"/>
      <c r="I1999" t="s"/>
      <c r="J1999" t="n">
        <v>0.4404</v>
      </c>
      <c r="K1999" t="n">
        <v>0</v>
      </c>
      <c r="L1999" t="n">
        <v>0.847</v>
      </c>
      <c r="M1999" t="n">
        <v>0.153</v>
      </c>
    </row>
    <row r="2000" spans="1:13">
      <c r="A2000" s="1">
        <f>HYPERLINK("http://www.twitter.com/NathanBLawrence/status/967432241709187072", "967432241709187072")</f>
        <v/>
      </c>
      <c r="B2000" s="2" t="n">
        <v>43155.67586805556</v>
      </c>
      <c r="C2000" t="n">
        <v>0</v>
      </c>
      <c r="D2000" t="n">
        <v>1458</v>
      </c>
      <c r="E2000" t="s">
        <v>1994</v>
      </c>
      <c r="F2000">
        <f>HYPERLINK("https://video.twimg.com/amplify_video/967152819085115393/vid/1280x720/jqw8OXgrD49uQcyf.mp4", "https://video.twimg.com/amplify_video/967152819085115393/vid/1280x720/jqw8OXgrD49uQcyf.mp4")</f>
        <v/>
      </c>
      <c r="G2000" t="s"/>
      <c r="H2000" t="s"/>
      <c r="I2000" t="s"/>
      <c r="J2000" t="n">
        <v>0.4678</v>
      </c>
      <c r="K2000" t="n">
        <v>0.09</v>
      </c>
      <c r="L2000" t="n">
        <v>0.736</v>
      </c>
      <c r="M2000" t="n">
        <v>0.174</v>
      </c>
    </row>
    <row r="2001" spans="1:13">
      <c r="A2001" s="1">
        <f>HYPERLINK("http://www.twitter.com/NathanBLawrence/status/967428414050394112", "967428414050394112")</f>
        <v/>
      </c>
      <c r="B2001" s="2" t="n">
        <v>43155.66530092592</v>
      </c>
      <c r="C2001" t="n">
        <v>0</v>
      </c>
      <c r="D2001" t="n">
        <v>5178</v>
      </c>
      <c r="E2001" t="s">
        <v>1995</v>
      </c>
      <c r="F2001" t="s"/>
      <c r="G2001" t="s"/>
      <c r="H2001" t="s"/>
      <c r="I2001" t="s"/>
      <c r="J2001" t="n">
        <v>0.5859</v>
      </c>
      <c r="K2001" t="n">
        <v>0</v>
      </c>
      <c r="L2001" t="n">
        <v>0.833</v>
      </c>
      <c r="M2001" t="n">
        <v>0.167</v>
      </c>
    </row>
    <row r="2002" spans="1:13">
      <c r="A2002" s="1">
        <f>HYPERLINK("http://www.twitter.com/NathanBLawrence/status/967428306038591488", "967428306038591488")</f>
        <v/>
      </c>
      <c r="B2002" s="2" t="n">
        <v>43155.665</v>
      </c>
      <c r="C2002" t="n">
        <v>0</v>
      </c>
      <c r="D2002" t="n">
        <v>2279</v>
      </c>
      <c r="E2002" t="s">
        <v>1996</v>
      </c>
      <c r="F2002">
        <f>HYPERLINK("https://video.twimg.com/amplify_video/967152819085115393/vid/1280x720/jqw8OXgrD49uQcyf.mp4", "https://video.twimg.com/amplify_video/967152819085115393/vid/1280x720/jqw8OXgrD49uQcyf.mp4")</f>
        <v/>
      </c>
      <c r="G2002" t="s"/>
      <c r="H2002" t="s"/>
      <c r="I2002" t="s"/>
      <c r="J2002" t="n">
        <v>0</v>
      </c>
      <c r="K2002" t="n">
        <v>0</v>
      </c>
      <c r="L2002" t="n">
        <v>1</v>
      </c>
      <c r="M2002" t="n">
        <v>0</v>
      </c>
    </row>
    <row r="2003" spans="1:13">
      <c r="A2003" s="1">
        <f>HYPERLINK("http://www.twitter.com/NathanBLawrence/status/967426768897478656", "967426768897478656")</f>
        <v/>
      </c>
      <c r="B2003" s="2" t="n">
        <v>43155.66076388889</v>
      </c>
      <c r="C2003" t="n">
        <v>0</v>
      </c>
      <c r="D2003" t="n">
        <v>1297</v>
      </c>
      <c r="E2003" t="s">
        <v>1997</v>
      </c>
      <c r="F2003">
        <f>HYPERLINK("https://video.twimg.com/ext_tw_video/967231078430887936/pu/vid/1280x720/JJNHgEO396VWwNsk.mp4", "https://video.twimg.com/ext_tw_video/967231078430887936/pu/vid/1280x720/JJNHgEO396VWwNsk.mp4")</f>
        <v/>
      </c>
      <c r="G2003" t="s"/>
      <c r="H2003" t="s"/>
      <c r="I2003" t="s"/>
      <c r="J2003" t="n">
        <v>0.4019</v>
      </c>
      <c r="K2003" t="n">
        <v>0</v>
      </c>
      <c r="L2003" t="n">
        <v>0.87</v>
      </c>
      <c r="M2003" t="n">
        <v>0.13</v>
      </c>
    </row>
    <row r="2004" spans="1:13">
      <c r="A2004" s="1">
        <f>HYPERLINK("http://www.twitter.com/NathanBLawrence/status/967426025893322753", "967426025893322753")</f>
        <v/>
      </c>
      <c r="B2004" s="2" t="n">
        <v>43155.65871527778</v>
      </c>
      <c r="C2004" t="n">
        <v>0</v>
      </c>
      <c r="D2004" t="n">
        <v>4275</v>
      </c>
      <c r="E2004" t="s">
        <v>1998</v>
      </c>
      <c r="F2004" t="s"/>
      <c r="G2004" t="s"/>
      <c r="H2004" t="s"/>
      <c r="I2004" t="s"/>
      <c r="J2004" t="n">
        <v>0</v>
      </c>
      <c r="K2004" t="n">
        <v>0</v>
      </c>
      <c r="L2004" t="n">
        <v>1</v>
      </c>
      <c r="M2004" t="n">
        <v>0</v>
      </c>
    </row>
    <row r="2005" spans="1:13">
      <c r="A2005" s="1">
        <f>HYPERLINK("http://www.twitter.com/NathanBLawrence/status/967150758176215041", "967150758176215041")</f>
        <v/>
      </c>
      <c r="B2005" s="2" t="n">
        <v>43154.89912037037</v>
      </c>
      <c r="C2005" t="n">
        <v>0</v>
      </c>
      <c r="D2005" t="n">
        <v>1537</v>
      </c>
      <c r="E2005" t="s">
        <v>1999</v>
      </c>
      <c r="F2005" t="s"/>
      <c r="G2005" t="s"/>
      <c r="H2005" t="s"/>
      <c r="I2005" t="s"/>
      <c r="J2005" t="n">
        <v>-0.6705</v>
      </c>
      <c r="K2005" t="n">
        <v>0.224</v>
      </c>
      <c r="L2005" t="n">
        <v>0.776</v>
      </c>
      <c r="M2005" t="n">
        <v>0</v>
      </c>
    </row>
    <row r="2006" spans="1:13">
      <c r="A2006" s="1">
        <f>HYPERLINK("http://www.twitter.com/NathanBLawrence/status/967149213846040576", "967149213846040576")</f>
        <v/>
      </c>
      <c r="B2006" s="2" t="n">
        <v>43154.89486111111</v>
      </c>
      <c r="C2006" t="n">
        <v>0</v>
      </c>
      <c r="D2006" t="n">
        <v>326</v>
      </c>
      <c r="E2006" t="s">
        <v>2000</v>
      </c>
      <c r="F2006" t="s"/>
      <c r="G2006" t="s"/>
      <c r="H2006" t="s"/>
      <c r="I2006" t="s"/>
      <c r="J2006" t="n">
        <v>0.2392</v>
      </c>
      <c r="K2006" t="n">
        <v>0.061</v>
      </c>
      <c r="L2006" t="n">
        <v>0.841</v>
      </c>
      <c r="M2006" t="n">
        <v>0.098</v>
      </c>
    </row>
    <row r="2007" spans="1:13">
      <c r="A2007" s="1">
        <f>HYPERLINK("http://www.twitter.com/NathanBLawrence/status/967147889846902784", "967147889846902784")</f>
        <v/>
      </c>
      <c r="B2007" s="2" t="n">
        <v>43154.8912037037</v>
      </c>
      <c r="C2007" t="n">
        <v>0</v>
      </c>
      <c r="D2007" t="n">
        <v>5</v>
      </c>
      <c r="E2007" t="s">
        <v>2001</v>
      </c>
      <c r="F2007" t="s"/>
      <c r="G2007" t="s"/>
      <c r="H2007" t="s"/>
      <c r="I2007" t="s"/>
      <c r="J2007" t="n">
        <v>0</v>
      </c>
      <c r="K2007" t="n">
        <v>0</v>
      </c>
      <c r="L2007" t="n">
        <v>1</v>
      </c>
      <c r="M2007" t="n">
        <v>0</v>
      </c>
    </row>
    <row r="2008" spans="1:13">
      <c r="A2008" s="1">
        <f>HYPERLINK("http://www.twitter.com/NathanBLawrence/status/967147093516275714", "967147093516275714")</f>
        <v/>
      </c>
      <c r="B2008" s="2" t="n">
        <v>43154.88900462963</v>
      </c>
      <c r="C2008" t="n">
        <v>0</v>
      </c>
      <c r="D2008" t="n">
        <v>917</v>
      </c>
      <c r="E2008" t="s">
        <v>2002</v>
      </c>
      <c r="F2008" t="s"/>
      <c r="G2008" t="s"/>
      <c r="H2008" t="s"/>
      <c r="I2008" t="s"/>
      <c r="J2008" t="n">
        <v>-0.4019</v>
      </c>
      <c r="K2008" t="n">
        <v>0.124</v>
      </c>
      <c r="L2008" t="n">
        <v>0.876</v>
      </c>
      <c r="M2008" t="n">
        <v>0</v>
      </c>
    </row>
    <row r="2009" spans="1:13">
      <c r="A2009" s="1">
        <f>HYPERLINK("http://www.twitter.com/NathanBLawrence/status/967133111787118593", "967133111787118593")</f>
        <v/>
      </c>
      <c r="B2009" s="2" t="n">
        <v>43154.85041666667</v>
      </c>
      <c r="C2009" t="n">
        <v>0</v>
      </c>
      <c r="D2009" t="n">
        <v>1069</v>
      </c>
      <c r="E2009" t="s">
        <v>2003</v>
      </c>
      <c r="F2009" t="s"/>
      <c r="G2009" t="s"/>
      <c r="H2009" t="s"/>
      <c r="I2009" t="s"/>
      <c r="J2009" t="n">
        <v>0</v>
      </c>
      <c r="K2009" t="n">
        <v>0</v>
      </c>
      <c r="L2009" t="n">
        <v>1</v>
      </c>
      <c r="M2009" t="n">
        <v>0</v>
      </c>
    </row>
    <row r="2010" spans="1:13">
      <c r="A2010" s="1">
        <f>HYPERLINK("http://www.twitter.com/NathanBLawrence/status/967130778680340481", "967130778680340481")</f>
        <v/>
      </c>
      <c r="B2010" s="2" t="n">
        <v>43154.84398148148</v>
      </c>
      <c r="C2010" t="n">
        <v>0</v>
      </c>
      <c r="D2010" t="n">
        <v>5466</v>
      </c>
      <c r="E2010" t="s">
        <v>2004</v>
      </c>
      <c r="F2010" t="s"/>
      <c r="G2010" t="s"/>
      <c r="H2010" t="s"/>
      <c r="I2010" t="s"/>
      <c r="J2010" t="n">
        <v>-0.3612</v>
      </c>
      <c r="K2010" t="n">
        <v>0.161</v>
      </c>
      <c r="L2010" t="n">
        <v>0.839</v>
      </c>
      <c r="M2010" t="n">
        <v>0</v>
      </c>
    </row>
    <row r="2011" spans="1:13">
      <c r="A2011" s="1">
        <f>HYPERLINK("http://www.twitter.com/NathanBLawrence/status/967052409066459136", "967052409066459136")</f>
        <v/>
      </c>
      <c r="B2011" s="2" t="n">
        <v>43154.62771990741</v>
      </c>
      <c r="C2011" t="n">
        <v>10</v>
      </c>
      <c r="D2011" t="n">
        <v>4</v>
      </c>
      <c r="E2011" t="s">
        <v>2005</v>
      </c>
      <c r="F2011" t="s"/>
      <c r="G2011" t="s"/>
      <c r="H2011" t="s"/>
      <c r="I2011" t="s"/>
      <c r="J2011" t="n">
        <v>0</v>
      </c>
      <c r="K2011" t="n">
        <v>0</v>
      </c>
      <c r="L2011" t="n">
        <v>1</v>
      </c>
      <c r="M2011" t="n">
        <v>0</v>
      </c>
    </row>
    <row r="2012" spans="1:13">
      <c r="A2012" s="1">
        <f>HYPERLINK("http://www.twitter.com/NathanBLawrence/status/967045993286991872", "967045993286991872")</f>
        <v/>
      </c>
      <c r="B2012" s="2" t="n">
        <v>43154.61002314815</v>
      </c>
      <c r="C2012" t="n">
        <v>0</v>
      </c>
      <c r="D2012" t="n">
        <v>826</v>
      </c>
      <c r="E2012" t="s">
        <v>2006</v>
      </c>
      <c r="F2012">
        <f>HYPERLINK("https://video.twimg.com/ext_tw_video/966930555479584768/pu/vid/1280x720/PgXJIY304L1qZgV0.mp4", "https://video.twimg.com/ext_tw_video/966930555479584768/pu/vid/1280x720/PgXJIY304L1qZgV0.mp4")</f>
        <v/>
      </c>
      <c r="G2012" t="s"/>
      <c r="H2012" t="s"/>
      <c r="I2012" t="s"/>
      <c r="J2012" t="n">
        <v>-0.6739000000000001</v>
      </c>
      <c r="K2012" t="n">
        <v>0.226</v>
      </c>
      <c r="L2012" t="n">
        <v>0.774</v>
      </c>
      <c r="M2012" t="n">
        <v>0</v>
      </c>
    </row>
    <row r="2013" spans="1:13">
      <c r="A2013" s="1">
        <f>HYPERLINK("http://www.twitter.com/NathanBLawrence/status/967045563920322561", "967045563920322561")</f>
        <v/>
      </c>
      <c r="B2013" s="2" t="n">
        <v>43154.60883101852</v>
      </c>
      <c r="C2013" t="n">
        <v>0</v>
      </c>
      <c r="D2013" t="n">
        <v>4276</v>
      </c>
      <c r="E2013" t="s">
        <v>2007</v>
      </c>
      <c r="F2013" t="s"/>
      <c r="G2013" t="s"/>
      <c r="H2013" t="s"/>
      <c r="I2013" t="s"/>
      <c r="J2013" t="n">
        <v>-0.1779</v>
      </c>
      <c r="K2013" t="n">
        <v>0.201</v>
      </c>
      <c r="L2013" t="n">
        <v>0.623</v>
      </c>
      <c r="M2013" t="n">
        <v>0.176</v>
      </c>
    </row>
    <row r="2014" spans="1:13">
      <c r="A2014" s="1">
        <f>HYPERLINK("http://www.twitter.com/NathanBLawrence/status/967044165598138368", "967044165598138368")</f>
        <v/>
      </c>
      <c r="B2014" s="2" t="n">
        <v>43154.60497685185</v>
      </c>
      <c r="C2014" t="n">
        <v>0</v>
      </c>
      <c r="D2014" t="n">
        <v>105</v>
      </c>
      <c r="E2014" t="s">
        <v>2008</v>
      </c>
      <c r="F2014">
        <f>HYPERLINK("http://pbs.twimg.com/media/DWuhBKFW4AATM5P.jpg", "http://pbs.twimg.com/media/DWuhBKFW4AATM5P.jpg")</f>
        <v/>
      </c>
      <c r="G2014">
        <f>HYPERLINK("http://pbs.twimg.com/media/DWuhBJ0W0AApqPx.jpg", "http://pbs.twimg.com/media/DWuhBJ0W0AApqPx.jpg")</f>
        <v/>
      </c>
      <c r="H2014" t="s"/>
      <c r="I2014" t="s"/>
      <c r="J2014" t="n">
        <v>0.34</v>
      </c>
      <c r="K2014" t="n">
        <v>0.079</v>
      </c>
      <c r="L2014" t="n">
        <v>0.752</v>
      </c>
      <c r="M2014" t="n">
        <v>0.169</v>
      </c>
    </row>
    <row r="2015" spans="1:13">
      <c r="A2015" s="1">
        <f>HYPERLINK("http://www.twitter.com/NathanBLawrence/status/967023338508845057", "967023338508845057")</f>
        <v/>
      </c>
      <c r="B2015" s="2" t="n">
        <v>43154.5475</v>
      </c>
      <c r="C2015" t="n">
        <v>0</v>
      </c>
      <c r="D2015" t="n">
        <v>787</v>
      </c>
      <c r="E2015" t="s">
        <v>2009</v>
      </c>
      <c r="F2015" t="s"/>
      <c r="G2015" t="s"/>
      <c r="H2015" t="s"/>
      <c r="I2015" t="s"/>
      <c r="J2015" t="n">
        <v>0.296</v>
      </c>
      <c r="K2015" t="n">
        <v>0</v>
      </c>
      <c r="L2015" t="n">
        <v>0.855</v>
      </c>
      <c r="M2015" t="n">
        <v>0.145</v>
      </c>
    </row>
    <row r="2016" spans="1:13">
      <c r="A2016" s="1">
        <f>HYPERLINK("http://www.twitter.com/NathanBLawrence/status/967022408476643328", "967022408476643328")</f>
        <v/>
      </c>
      <c r="B2016" s="2" t="n">
        <v>43154.54494212963</v>
      </c>
      <c r="C2016" t="n">
        <v>2</v>
      </c>
      <c r="D2016" t="n">
        <v>3</v>
      </c>
      <c r="E2016" t="s">
        <v>2010</v>
      </c>
      <c r="F2016" t="s"/>
      <c r="G2016" t="s"/>
      <c r="H2016" t="s"/>
      <c r="I2016" t="s"/>
      <c r="J2016" t="n">
        <v>-0.7978</v>
      </c>
      <c r="K2016" t="n">
        <v>0.19</v>
      </c>
      <c r="L2016" t="n">
        <v>0.754</v>
      </c>
      <c r="M2016" t="n">
        <v>0.056</v>
      </c>
    </row>
    <row r="2017" spans="1:13">
      <c r="A2017" s="1">
        <f>HYPERLINK("http://www.twitter.com/NathanBLawrence/status/966997975795945472", "966997975795945472")</f>
        <v/>
      </c>
      <c r="B2017" s="2" t="n">
        <v>43154.47752314815</v>
      </c>
      <c r="C2017" t="n">
        <v>11</v>
      </c>
      <c r="D2017" t="n">
        <v>8</v>
      </c>
      <c r="E2017" t="s">
        <v>2011</v>
      </c>
      <c r="F2017">
        <f>HYPERLINK("http://pbs.twimg.com/media/DWt3hORWsAAwPPW.jpg", "http://pbs.twimg.com/media/DWt3hORWsAAwPPW.jpg")</f>
        <v/>
      </c>
      <c r="G2017" t="s"/>
      <c r="H2017" t="s"/>
      <c r="I2017" t="s"/>
      <c r="J2017" t="n">
        <v>-0.765</v>
      </c>
      <c r="K2017" t="n">
        <v>0.179</v>
      </c>
      <c r="L2017" t="n">
        <v>0.781</v>
      </c>
      <c r="M2017" t="n">
        <v>0.04</v>
      </c>
    </row>
    <row r="2018" spans="1:13">
      <c r="A2018" s="1">
        <f>HYPERLINK("http://www.twitter.com/NathanBLawrence/status/966997048783405057", "966997048783405057")</f>
        <v/>
      </c>
      <c r="B2018" s="2" t="n">
        <v>43154.47496527778</v>
      </c>
      <c r="C2018" t="n">
        <v>1</v>
      </c>
      <c r="D2018" t="n">
        <v>0</v>
      </c>
      <c r="E2018" t="s">
        <v>2012</v>
      </c>
      <c r="F2018">
        <f>HYPERLINK("http://pbs.twimg.com/media/DWt2rTEXcAA8c2t.jpg", "http://pbs.twimg.com/media/DWt2rTEXcAA8c2t.jpg")</f>
        <v/>
      </c>
      <c r="G2018" t="s"/>
      <c r="H2018" t="s"/>
      <c r="I2018" t="s"/>
      <c r="J2018" t="n">
        <v>-0.7003</v>
      </c>
      <c r="K2018" t="n">
        <v>0.141</v>
      </c>
      <c r="L2018" t="n">
        <v>0.797</v>
      </c>
      <c r="M2018" t="n">
        <v>0.061</v>
      </c>
    </row>
    <row r="2019" spans="1:13">
      <c r="A2019" s="1">
        <f>HYPERLINK("http://www.twitter.com/NathanBLawrence/status/966918933201612800", "966918933201612800")</f>
        <v/>
      </c>
      <c r="B2019" s="2" t="n">
        <v>43154.25939814815</v>
      </c>
      <c r="C2019" t="n">
        <v>0</v>
      </c>
      <c r="D2019" t="n">
        <v>7753</v>
      </c>
      <c r="E2019" t="s">
        <v>2013</v>
      </c>
      <c r="F2019" t="s"/>
      <c r="G2019" t="s"/>
      <c r="H2019" t="s"/>
      <c r="I2019" t="s"/>
      <c r="J2019" t="n">
        <v>-0.7717000000000001</v>
      </c>
      <c r="K2019" t="n">
        <v>0.288</v>
      </c>
      <c r="L2019" t="n">
        <v>0.712</v>
      </c>
      <c r="M2019" t="n">
        <v>0</v>
      </c>
    </row>
    <row r="2020" spans="1:13">
      <c r="A2020" s="1">
        <f>HYPERLINK("http://www.twitter.com/NathanBLawrence/status/966893070611464192", "966893070611464192")</f>
        <v/>
      </c>
      <c r="B2020" s="2" t="n">
        <v>43154.18803240741</v>
      </c>
      <c r="C2020" t="n">
        <v>0</v>
      </c>
      <c r="D2020" t="n">
        <v>5</v>
      </c>
      <c r="E2020" t="s">
        <v>2014</v>
      </c>
      <c r="F2020" t="s"/>
      <c r="G2020" t="s"/>
      <c r="H2020" t="s"/>
      <c r="I2020" t="s"/>
      <c r="J2020" t="n">
        <v>0</v>
      </c>
      <c r="K2020" t="n">
        <v>0</v>
      </c>
      <c r="L2020" t="n">
        <v>1</v>
      </c>
      <c r="M2020" t="n">
        <v>0</v>
      </c>
    </row>
    <row r="2021" spans="1:13">
      <c r="A2021" s="1">
        <f>HYPERLINK("http://www.twitter.com/NathanBLawrence/status/966891026358009856", "966891026358009856")</f>
        <v/>
      </c>
      <c r="B2021" s="2" t="n">
        <v>43154.18239583333</v>
      </c>
      <c r="C2021" t="n">
        <v>7</v>
      </c>
      <c r="D2021" t="n">
        <v>5</v>
      </c>
      <c r="E2021" t="s">
        <v>2015</v>
      </c>
      <c r="F2021" t="s"/>
      <c r="G2021" t="s"/>
      <c r="H2021" t="s"/>
      <c r="I2021" t="s"/>
      <c r="J2021" t="n">
        <v>-0.484</v>
      </c>
      <c r="K2021" t="n">
        <v>0.156</v>
      </c>
      <c r="L2021" t="n">
        <v>0.749</v>
      </c>
      <c r="M2021" t="n">
        <v>0.095</v>
      </c>
    </row>
    <row r="2022" spans="1:13">
      <c r="A2022" s="1">
        <f>HYPERLINK("http://www.twitter.com/NathanBLawrence/status/966880631291432960", "966880631291432960")</f>
        <v/>
      </c>
      <c r="B2022" s="2" t="n">
        <v>43154.15370370371</v>
      </c>
      <c r="C2022" t="n">
        <v>0</v>
      </c>
      <c r="D2022" t="n">
        <v>86</v>
      </c>
      <c r="E2022" t="s">
        <v>2016</v>
      </c>
      <c r="F2022">
        <f>HYPERLINK("http://pbs.twimg.com/media/DWsDdO-X0AA5FGy.jpg", "http://pbs.twimg.com/media/DWsDdO-X0AA5FGy.jpg")</f>
        <v/>
      </c>
      <c r="G2022" t="s"/>
      <c r="H2022" t="s"/>
      <c r="I2022" t="s"/>
      <c r="J2022" t="n">
        <v>0.1007</v>
      </c>
      <c r="K2022" t="n">
        <v>0.08799999999999999</v>
      </c>
      <c r="L2022" t="n">
        <v>0.8090000000000001</v>
      </c>
      <c r="M2022" t="n">
        <v>0.103</v>
      </c>
    </row>
    <row r="2023" spans="1:13">
      <c r="A2023" s="1">
        <f>HYPERLINK("http://www.twitter.com/NathanBLawrence/status/966877329195548673", "966877329195548673")</f>
        <v/>
      </c>
      <c r="B2023" s="2" t="n">
        <v>43154.1445949074</v>
      </c>
      <c r="C2023" t="n">
        <v>0</v>
      </c>
      <c r="D2023" t="n">
        <v>4</v>
      </c>
      <c r="E2023" t="s">
        <v>2017</v>
      </c>
      <c r="F2023" t="s"/>
      <c r="G2023" t="s"/>
      <c r="H2023" t="s"/>
      <c r="I2023" t="s"/>
      <c r="J2023" t="n">
        <v>0</v>
      </c>
      <c r="K2023" t="n">
        <v>0</v>
      </c>
      <c r="L2023" t="n">
        <v>1</v>
      </c>
      <c r="M2023" t="n">
        <v>0</v>
      </c>
    </row>
    <row r="2024" spans="1:13">
      <c r="A2024" s="1">
        <f>HYPERLINK("http://www.twitter.com/NathanBLawrence/status/966877097653256192", "966877097653256192")</f>
        <v/>
      </c>
      <c r="B2024" s="2" t="n">
        <v>43154.14395833333</v>
      </c>
      <c r="C2024" t="n">
        <v>0</v>
      </c>
      <c r="D2024" t="n">
        <v>6</v>
      </c>
      <c r="E2024" t="s">
        <v>2018</v>
      </c>
      <c r="F2024" t="s"/>
      <c r="G2024" t="s"/>
      <c r="H2024" t="s"/>
      <c r="I2024" t="s"/>
      <c r="J2024" t="n">
        <v>-0.4939</v>
      </c>
      <c r="K2024" t="n">
        <v>0.122</v>
      </c>
      <c r="L2024" t="n">
        <v>0.878</v>
      </c>
      <c r="M2024" t="n">
        <v>0</v>
      </c>
    </row>
    <row r="2025" spans="1:13">
      <c r="A2025" s="1">
        <f>HYPERLINK("http://www.twitter.com/NathanBLawrence/status/966870761624555521", "966870761624555521")</f>
        <v/>
      </c>
      <c r="B2025" s="2" t="n">
        <v>43154.12646990741</v>
      </c>
      <c r="C2025" t="n">
        <v>15</v>
      </c>
      <c r="D2025" t="n">
        <v>11</v>
      </c>
      <c r="E2025" t="s">
        <v>2019</v>
      </c>
      <c r="F2025">
        <f>HYPERLINK("http://pbs.twimg.com/media/DWsDyXKWkAE9W7m.jpg", "http://pbs.twimg.com/media/DWsDyXKWkAE9W7m.jpg")</f>
        <v/>
      </c>
      <c r="G2025" t="s"/>
      <c r="H2025" t="s"/>
      <c r="I2025" t="s"/>
      <c r="J2025" t="n">
        <v>-0.7456</v>
      </c>
      <c r="K2025" t="n">
        <v>0.301</v>
      </c>
      <c r="L2025" t="n">
        <v>0.699</v>
      </c>
      <c r="M2025" t="n">
        <v>0</v>
      </c>
    </row>
    <row r="2026" spans="1:13">
      <c r="A2026" s="1">
        <f>HYPERLINK("http://www.twitter.com/NathanBLawrence/status/966848072859947010", "966848072859947010")</f>
        <v/>
      </c>
      <c r="B2026" s="2" t="n">
        <v>43154.06386574074</v>
      </c>
      <c r="C2026" t="n">
        <v>0</v>
      </c>
      <c r="D2026" t="n">
        <v>264</v>
      </c>
      <c r="E2026" t="s">
        <v>2020</v>
      </c>
      <c r="F2026">
        <f>HYPERLINK("http://pbs.twimg.com/media/DWruxYcU0AEugZD.jpg", "http://pbs.twimg.com/media/DWruxYcU0AEugZD.jpg")</f>
        <v/>
      </c>
      <c r="G2026" t="s"/>
      <c r="H2026" t="s"/>
      <c r="I2026" t="s"/>
      <c r="J2026" t="n">
        <v>-0.3818</v>
      </c>
      <c r="K2026" t="n">
        <v>0.115</v>
      </c>
      <c r="L2026" t="n">
        <v>0.885</v>
      </c>
      <c r="M2026" t="n">
        <v>0</v>
      </c>
    </row>
    <row r="2027" spans="1:13">
      <c r="A2027" s="1">
        <f>HYPERLINK("http://www.twitter.com/NathanBLawrence/status/966733924692094977", "966733924692094977")</f>
        <v/>
      </c>
      <c r="B2027" s="2" t="n">
        <v>43153.74887731481</v>
      </c>
      <c r="C2027" t="n">
        <v>0</v>
      </c>
      <c r="D2027" t="n">
        <v>79</v>
      </c>
      <c r="E2027" t="s">
        <v>2021</v>
      </c>
      <c r="F2027" t="s"/>
      <c r="G2027" t="s"/>
      <c r="H2027" t="s"/>
      <c r="I2027" t="s"/>
      <c r="J2027" t="n">
        <v>0.3612</v>
      </c>
      <c r="K2027" t="n">
        <v>0</v>
      </c>
      <c r="L2027" t="n">
        <v>0.898</v>
      </c>
      <c r="M2027" t="n">
        <v>0.102</v>
      </c>
    </row>
    <row r="2028" spans="1:13">
      <c r="A2028" s="1">
        <f>HYPERLINK("http://www.twitter.com/NathanBLawrence/status/966711877068877824", "966711877068877824")</f>
        <v/>
      </c>
      <c r="B2028" s="2" t="n">
        <v>43153.68803240741</v>
      </c>
      <c r="C2028" t="n">
        <v>0</v>
      </c>
      <c r="D2028" t="n">
        <v>13</v>
      </c>
      <c r="E2028" t="s">
        <v>2022</v>
      </c>
      <c r="F2028" t="s"/>
      <c r="G2028" t="s"/>
      <c r="H2028" t="s"/>
      <c r="I2028" t="s"/>
      <c r="J2028" t="n">
        <v>0.4019</v>
      </c>
      <c r="K2028" t="n">
        <v>0</v>
      </c>
      <c r="L2028" t="n">
        <v>0.863</v>
      </c>
      <c r="M2028" t="n">
        <v>0.137</v>
      </c>
    </row>
    <row r="2029" spans="1:13">
      <c r="A2029" s="1">
        <f>HYPERLINK("http://www.twitter.com/NathanBLawrence/status/966703868905246720", "966703868905246720")</f>
        <v/>
      </c>
      <c r="B2029" s="2" t="n">
        <v>43153.6659375</v>
      </c>
      <c r="C2029" t="n">
        <v>0</v>
      </c>
      <c r="D2029" t="n">
        <v>19</v>
      </c>
      <c r="E2029" t="s">
        <v>2023</v>
      </c>
      <c r="F2029" t="s"/>
      <c r="G2029" t="s"/>
      <c r="H2029" t="s"/>
      <c r="I2029" t="s"/>
      <c r="J2029" t="n">
        <v>0</v>
      </c>
      <c r="K2029" t="n">
        <v>0</v>
      </c>
      <c r="L2029" t="n">
        <v>1</v>
      </c>
      <c r="M2029" t="n">
        <v>0</v>
      </c>
    </row>
    <row r="2030" spans="1:13">
      <c r="A2030" s="1">
        <f>HYPERLINK("http://www.twitter.com/NathanBLawrence/status/966703525299478529", "966703525299478529")</f>
        <v/>
      </c>
      <c r="B2030" s="2" t="n">
        <v>43153.66498842592</v>
      </c>
      <c r="C2030" t="n">
        <v>0</v>
      </c>
      <c r="D2030" t="n">
        <v>14</v>
      </c>
      <c r="E2030" t="s">
        <v>2024</v>
      </c>
      <c r="F2030" t="s"/>
      <c r="G2030" t="s"/>
      <c r="H2030" t="s"/>
      <c r="I2030" t="s"/>
      <c r="J2030" t="n">
        <v>-0.8143</v>
      </c>
      <c r="K2030" t="n">
        <v>0.271</v>
      </c>
      <c r="L2030" t="n">
        <v>0.729</v>
      </c>
      <c r="M2030" t="n">
        <v>0</v>
      </c>
    </row>
    <row r="2031" spans="1:13">
      <c r="A2031" s="1">
        <f>HYPERLINK("http://www.twitter.com/NathanBLawrence/status/966703102735933440", "966703102735933440")</f>
        <v/>
      </c>
      <c r="B2031" s="2" t="n">
        <v>43153.66381944445</v>
      </c>
      <c r="C2031" t="n">
        <v>19</v>
      </c>
      <c r="D2031" t="n">
        <v>14</v>
      </c>
      <c r="E2031" t="s">
        <v>2025</v>
      </c>
      <c r="F2031" t="s"/>
      <c r="G2031" t="s"/>
      <c r="H2031" t="s"/>
      <c r="I2031" t="s"/>
      <c r="J2031" t="n">
        <v>-0.9137</v>
      </c>
      <c r="K2031" t="n">
        <v>0.236</v>
      </c>
      <c r="L2031" t="n">
        <v>0.764</v>
      </c>
      <c r="M2031" t="n">
        <v>0</v>
      </c>
    </row>
    <row r="2032" spans="1:13">
      <c r="A2032" s="1">
        <f>HYPERLINK("http://www.twitter.com/NathanBLawrence/status/966702485619519489", "966702485619519489")</f>
        <v/>
      </c>
      <c r="B2032" s="2" t="n">
        <v>43153.66211805555</v>
      </c>
      <c r="C2032" t="n">
        <v>3</v>
      </c>
      <c r="D2032" t="n">
        <v>1</v>
      </c>
      <c r="E2032" t="s">
        <v>2026</v>
      </c>
      <c r="F2032" t="s"/>
      <c r="G2032" t="s"/>
      <c r="H2032" t="s"/>
      <c r="I2032" t="s"/>
      <c r="J2032" t="n">
        <v>-0.9137</v>
      </c>
      <c r="K2032" t="n">
        <v>0.236</v>
      </c>
      <c r="L2032" t="n">
        <v>0.764</v>
      </c>
      <c r="M2032" t="n">
        <v>0</v>
      </c>
    </row>
    <row r="2033" spans="1:13">
      <c r="A2033" s="1">
        <f>HYPERLINK("http://www.twitter.com/NathanBLawrence/status/966523210111045637", "966523210111045637")</f>
        <v/>
      </c>
      <c r="B2033" s="2" t="n">
        <v>43153.16741898148</v>
      </c>
      <c r="C2033" t="n">
        <v>0</v>
      </c>
      <c r="D2033" t="n">
        <v>551</v>
      </c>
      <c r="E2033" t="s">
        <v>2027</v>
      </c>
      <c r="F2033" t="s"/>
      <c r="G2033" t="s"/>
      <c r="H2033" t="s"/>
      <c r="I2033" t="s"/>
      <c r="J2033" t="n">
        <v>-0.6808</v>
      </c>
      <c r="K2033" t="n">
        <v>0.306</v>
      </c>
      <c r="L2033" t="n">
        <v>0.491</v>
      </c>
      <c r="M2033" t="n">
        <v>0.202</v>
      </c>
    </row>
    <row r="2034" spans="1:13">
      <c r="A2034" s="1">
        <f>HYPERLINK("http://www.twitter.com/NathanBLawrence/status/966516581143597067", "966516581143597067")</f>
        <v/>
      </c>
      <c r="B2034" s="2" t="n">
        <v>43153.14912037037</v>
      </c>
      <c r="C2034" t="n">
        <v>0</v>
      </c>
      <c r="D2034" t="n">
        <v>12</v>
      </c>
      <c r="E2034" t="s">
        <v>2028</v>
      </c>
      <c r="F2034" t="s"/>
      <c r="G2034" t="s"/>
      <c r="H2034" t="s"/>
      <c r="I2034" t="s"/>
      <c r="J2034" t="n">
        <v>0.7906</v>
      </c>
      <c r="K2034" t="n">
        <v>0.08</v>
      </c>
      <c r="L2034" t="n">
        <v>0.584</v>
      </c>
      <c r="M2034" t="n">
        <v>0.336</v>
      </c>
    </row>
    <row r="2035" spans="1:13">
      <c r="A2035" s="1">
        <f>HYPERLINK("http://www.twitter.com/NathanBLawrence/status/966516463287795719", "966516463287795719")</f>
        <v/>
      </c>
      <c r="B2035" s="2" t="n">
        <v>43153.14879629629</v>
      </c>
      <c r="C2035" t="n">
        <v>17</v>
      </c>
      <c r="D2035" t="n">
        <v>12</v>
      </c>
      <c r="E2035" t="s">
        <v>2029</v>
      </c>
      <c r="F2035" t="s"/>
      <c r="G2035" t="s"/>
      <c r="H2035" t="s"/>
      <c r="I2035" t="s"/>
      <c r="J2035" t="n">
        <v>0.595</v>
      </c>
      <c r="K2035" t="n">
        <v>0.11</v>
      </c>
      <c r="L2035" t="n">
        <v>0.701</v>
      </c>
      <c r="M2035" t="n">
        <v>0.19</v>
      </c>
    </row>
    <row r="2036" spans="1:13">
      <c r="A2036" s="1">
        <f>HYPERLINK("http://www.twitter.com/NathanBLawrence/status/966477180980129792", "966477180980129792")</f>
        <v/>
      </c>
      <c r="B2036" s="2" t="n">
        <v>43153.04039351852</v>
      </c>
      <c r="C2036" t="n">
        <v>0</v>
      </c>
      <c r="D2036" t="n">
        <v>345</v>
      </c>
      <c r="E2036" t="s">
        <v>2030</v>
      </c>
      <c r="F2036">
        <f>HYPERLINK("http://pbs.twimg.com/media/DWlMyLAU0AAmDUp.jpg", "http://pbs.twimg.com/media/DWlMyLAU0AAmDUp.jpg")</f>
        <v/>
      </c>
      <c r="G2036" t="s"/>
      <c r="H2036" t="s"/>
      <c r="I2036" t="s"/>
      <c r="J2036" t="n">
        <v>0</v>
      </c>
      <c r="K2036" t="n">
        <v>0</v>
      </c>
      <c r="L2036" t="n">
        <v>1</v>
      </c>
      <c r="M2036" t="n">
        <v>0</v>
      </c>
    </row>
    <row r="2037" spans="1:13">
      <c r="A2037" s="1">
        <f>HYPERLINK("http://www.twitter.com/NathanBLawrence/status/966461036596523008", "966461036596523008")</f>
        <v/>
      </c>
      <c r="B2037" s="2" t="n">
        <v>43152.9958449074</v>
      </c>
      <c r="C2037" t="n">
        <v>0</v>
      </c>
      <c r="D2037" t="n">
        <v>2763</v>
      </c>
      <c r="E2037" t="s">
        <v>2031</v>
      </c>
      <c r="F2037">
        <f>HYPERLINK("https://video.twimg.com/ext_tw_video/966355100598812673/pu/vid/480x480/aU1vh2yulkfQBms6.mp4", "https://video.twimg.com/ext_tw_video/966355100598812673/pu/vid/480x480/aU1vh2yulkfQBms6.mp4")</f>
        <v/>
      </c>
      <c r="G2037" t="s"/>
      <c r="H2037" t="s"/>
      <c r="I2037" t="s"/>
      <c r="J2037" t="n">
        <v>0.4348</v>
      </c>
      <c r="K2037" t="n">
        <v>0</v>
      </c>
      <c r="L2037" t="n">
        <v>0.856</v>
      </c>
      <c r="M2037" t="n">
        <v>0.144</v>
      </c>
    </row>
    <row r="2038" spans="1:13">
      <c r="A2038" s="1">
        <f>HYPERLINK("http://www.twitter.com/NathanBLawrence/status/966457786530967552", "966457786530967552")</f>
        <v/>
      </c>
      <c r="B2038" s="2" t="n">
        <v>43152.986875</v>
      </c>
      <c r="C2038" t="n">
        <v>0</v>
      </c>
      <c r="D2038" t="n">
        <v>233</v>
      </c>
      <c r="E2038" t="s">
        <v>2032</v>
      </c>
      <c r="F2038">
        <f>HYPERLINK("http://pbs.twimg.com/media/DWl8cbTUQAETy6Y.jpg", "http://pbs.twimg.com/media/DWl8cbTUQAETy6Y.jpg")</f>
        <v/>
      </c>
      <c r="G2038" t="s"/>
      <c r="H2038" t="s"/>
      <c r="I2038" t="s"/>
      <c r="J2038" t="n">
        <v>0.25</v>
      </c>
      <c r="K2038" t="n">
        <v>0.08799999999999999</v>
      </c>
      <c r="L2038" t="n">
        <v>0.773</v>
      </c>
      <c r="M2038" t="n">
        <v>0.139</v>
      </c>
    </row>
    <row r="2039" spans="1:13">
      <c r="A2039" s="1">
        <f>HYPERLINK("http://www.twitter.com/NathanBLawrence/status/966446307639521280", "966446307639521280")</f>
        <v/>
      </c>
      <c r="B2039" s="2" t="n">
        <v>43152.95520833333</v>
      </c>
      <c r="C2039" t="n">
        <v>0</v>
      </c>
      <c r="D2039" t="n">
        <v>0</v>
      </c>
      <c r="E2039" t="s">
        <v>2033</v>
      </c>
      <c r="F2039">
        <f>HYPERLINK("http://pbs.twimg.com/media/DWmButDWsAAwepH.jpg", "http://pbs.twimg.com/media/DWmButDWsAAwepH.jpg")</f>
        <v/>
      </c>
      <c r="G2039" t="s"/>
      <c r="H2039" t="s"/>
      <c r="I2039" t="s"/>
      <c r="J2039" t="n">
        <v>0</v>
      </c>
      <c r="K2039" t="n">
        <v>0</v>
      </c>
      <c r="L2039" t="n">
        <v>1</v>
      </c>
      <c r="M2039" t="n">
        <v>0</v>
      </c>
    </row>
    <row r="2040" spans="1:13">
      <c r="A2040" s="1">
        <f>HYPERLINK("http://www.twitter.com/NathanBLawrence/status/966445820420780032", "966445820420780032")</f>
        <v/>
      </c>
      <c r="B2040" s="2" t="n">
        <v>43152.95385416667</v>
      </c>
      <c r="C2040" t="n">
        <v>2</v>
      </c>
      <c r="D2040" t="n">
        <v>2</v>
      </c>
      <c r="E2040" t="s">
        <v>2034</v>
      </c>
      <c r="F2040">
        <f>HYPERLINK("http://pbs.twimg.com/media/DWmBTziWsAAG5Qz.jpg", "http://pbs.twimg.com/media/DWmBTziWsAAG5Qz.jpg")</f>
        <v/>
      </c>
      <c r="G2040" t="s"/>
      <c r="H2040" t="s"/>
      <c r="I2040" t="s"/>
      <c r="J2040" t="n">
        <v>0</v>
      </c>
      <c r="K2040" t="n">
        <v>0</v>
      </c>
      <c r="L2040" t="n">
        <v>1</v>
      </c>
      <c r="M2040" t="n">
        <v>0</v>
      </c>
    </row>
    <row r="2041" spans="1:13">
      <c r="A2041" s="1">
        <f>HYPERLINK("http://www.twitter.com/NathanBLawrence/status/966362556456677377", "966362556456677377")</f>
        <v/>
      </c>
      <c r="B2041" s="2" t="n">
        <v>43152.72409722222</v>
      </c>
      <c r="C2041" t="n">
        <v>0</v>
      </c>
      <c r="D2041" t="n">
        <v>0</v>
      </c>
      <c r="E2041" t="s">
        <v>2035</v>
      </c>
      <c r="F2041" t="s"/>
      <c r="G2041" t="s"/>
      <c r="H2041" t="s"/>
      <c r="I2041" t="s"/>
      <c r="J2041" t="n">
        <v>0</v>
      </c>
      <c r="K2041" t="n">
        <v>0</v>
      </c>
      <c r="L2041" t="n">
        <v>1</v>
      </c>
      <c r="M2041" t="n">
        <v>0</v>
      </c>
    </row>
    <row r="2042" spans="1:13">
      <c r="A2042" s="1">
        <f>HYPERLINK("http://www.twitter.com/NathanBLawrence/status/966361731990736898", "966361731990736898")</f>
        <v/>
      </c>
      <c r="B2042" s="2" t="n">
        <v>43152.72181712963</v>
      </c>
      <c r="C2042" t="n">
        <v>7</v>
      </c>
      <c r="D2042" t="n">
        <v>7</v>
      </c>
      <c r="E2042" t="s">
        <v>2036</v>
      </c>
      <c r="F2042" t="s"/>
      <c r="G2042" t="s"/>
      <c r="H2042" t="s"/>
      <c r="I2042" t="s"/>
      <c r="J2042" t="n">
        <v>0.5893</v>
      </c>
      <c r="K2042" t="n">
        <v>0</v>
      </c>
      <c r="L2042" t="n">
        <v>0.702</v>
      </c>
      <c r="M2042" t="n">
        <v>0.298</v>
      </c>
    </row>
    <row r="2043" spans="1:13">
      <c r="A2043" s="1">
        <f>HYPERLINK("http://www.twitter.com/NathanBLawrence/status/966359615335215104", "966359615335215104")</f>
        <v/>
      </c>
      <c r="B2043" s="2" t="n">
        <v>43152.7159837963</v>
      </c>
      <c r="C2043" t="n">
        <v>0</v>
      </c>
      <c r="D2043" t="n">
        <v>0</v>
      </c>
      <c r="E2043" t="s">
        <v>2037</v>
      </c>
      <c r="F2043" t="s"/>
      <c r="G2043" t="s"/>
      <c r="H2043" t="s"/>
      <c r="I2043" t="s"/>
      <c r="J2043" t="n">
        <v>0</v>
      </c>
      <c r="K2043" t="n">
        <v>0</v>
      </c>
      <c r="L2043" t="n">
        <v>1</v>
      </c>
      <c r="M2043" t="n">
        <v>0</v>
      </c>
    </row>
    <row r="2044" spans="1:13">
      <c r="A2044" s="1">
        <f>HYPERLINK("http://www.twitter.com/NathanBLawrence/status/966350384586518529", "966350384586518529")</f>
        <v/>
      </c>
      <c r="B2044" s="2" t="n">
        <v>43152.69050925926</v>
      </c>
      <c r="C2044" t="n">
        <v>0</v>
      </c>
      <c r="D2044" t="n">
        <v>454</v>
      </c>
      <c r="E2044" t="s">
        <v>2038</v>
      </c>
      <c r="F2044">
        <f>HYPERLINK("https://video.twimg.com/ext_tw_video/966348212649918464/pu/vid/1280x720/pRLVFMKlZvVN8fyg.mp4", "https://video.twimg.com/ext_tw_video/966348212649918464/pu/vid/1280x720/pRLVFMKlZvVN8fyg.mp4")</f>
        <v/>
      </c>
      <c r="G2044" t="s"/>
      <c r="H2044" t="s"/>
      <c r="I2044" t="s"/>
      <c r="J2044" t="n">
        <v>0.7003</v>
      </c>
      <c r="K2044" t="n">
        <v>0</v>
      </c>
      <c r="L2044" t="n">
        <v>0.721</v>
      </c>
      <c r="M2044" t="n">
        <v>0.279</v>
      </c>
    </row>
    <row r="2045" spans="1:13">
      <c r="A2045" s="1">
        <f>HYPERLINK("http://www.twitter.com/NathanBLawrence/status/966342031382667264", "966342031382667264")</f>
        <v/>
      </c>
      <c r="B2045" s="2" t="n">
        <v>43152.6674537037</v>
      </c>
      <c r="C2045" t="n">
        <v>14</v>
      </c>
      <c r="D2045" t="n">
        <v>12</v>
      </c>
      <c r="E2045" t="s">
        <v>2039</v>
      </c>
      <c r="F2045">
        <f>HYPERLINK("http://pbs.twimg.com/media/DWki8AwU8AEgjpD.jpg", "http://pbs.twimg.com/media/DWki8AwU8AEgjpD.jpg")</f>
        <v/>
      </c>
      <c r="G2045" t="s"/>
      <c r="H2045" t="s"/>
      <c r="I2045" t="s"/>
      <c r="J2045" t="n">
        <v>-0.9062</v>
      </c>
      <c r="K2045" t="n">
        <v>0.27</v>
      </c>
      <c r="L2045" t="n">
        <v>0.68</v>
      </c>
      <c r="M2045" t="n">
        <v>0.05</v>
      </c>
    </row>
    <row r="2046" spans="1:13">
      <c r="A2046" s="1">
        <f>HYPERLINK("http://www.twitter.com/NathanBLawrence/status/966338103391805442", "966338103391805442")</f>
        <v/>
      </c>
      <c r="B2046" s="2" t="n">
        <v>43152.65662037037</v>
      </c>
      <c r="C2046" t="n">
        <v>0</v>
      </c>
      <c r="D2046" t="n">
        <v>11</v>
      </c>
      <c r="E2046" t="s">
        <v>2040</v>
      </c>
      <c r="F2046" t="s"/>
      <c r="G2046" t="s"/>
      <c r="H2046" t="s"/>
      <c r="I2046" t="s"/>
      <c r="J2046" t="n">
        <v>-0.3182</v>
      </c>
      <c r="K2046" t="n">
        <v>0.08699999999999999</v>
      </c>
      <c r="L2046" t="n">
        <v>0.913</v>
      </c>
      <c r="M2046" t="n">
        <v>0</v>
      </c>
    </row>
    <row r="2047" spans="1:13">
      <c r="A2047" s="1">
        <f>HYPERLINK("http://www.twitter.com/NathanBLawrence/status/966336628477308928", "966336628477308928")</f>
        <v/>
      </c>
      <c r="B2047" s="2" t="n">
        <v>43152.6525462963</v>
      </c>
      <c r="C2047" t="n">
        <v>0</v>
      </c>
      <c r="D2047" t="n">
        <v>3674</v>
      </c>
      <c r="E2047" t="s">
        <v>2041</v>
      </c>
      <c r="F2047">
        <f>HYPERLINK("https://video.twimg.com/ext_tw_video/966028840794341376/pu/vid/640x360/CEzGwUpBN3-eAZuF.mp4", "https://video.twimg.com/ext_tw_video/966028840794341376/pu/vid/640x360/CEzGwUpBN3-eAZuF.mp4")</f>
        <v/>
      </c>
      <c r="G2047" t="s"/>
      <c r="H2047" t="s"/>
      <c r="I2047" t="s"/>
      <c r="J2047" t="n">
        <v>-0.1531</v>
      </c>
      <c r="K2047" t="n">
        <v>0.102</v>
      </c>
      <c r="L2047" t="n">
        <v>0.82</v>
      </c>
      <c r="M2047" t="n">
        <v>0.078</v>
      </c>
    </row>
    <row r="2048" spans="1:13">
      <c r="A2048" s="1">
        <f>HYPERLINK("http://www.twitter.com/NathanBLawrence/status/966331565772066819", "966331565772066819")</f>
        <v/>
      </c>
      <c r="B2048" s="2" t="n">
        <v>43152.63857638889</v>
      </c>
      <c r="C2048" t="n">
        <v>0</v>
      </c>
      <c r="D2048" t="n">
        <v>155</v>
      </c>
      <c r="E2048" t="s">
        <v>2042</v>
      </c>
      <c r="F2048">
        <f>HYPERLINK("http://pbs.twimg.com/media/DWi-eyTXUAA7F7m.jpg", "http://pbs.twimg.com/media/DWi-eyTXUAA7F7m.jpg")</f>
        <v/>
      </c>
      <c r="G2048" t="s"/>
      <c r="H2048" t="s"/>
      <c r="I2048" t="s"/>
      <c r="J2048" t="n">
        <v>0.2732</v>
      </c>
      <c r="K2048" t="n">
        <v>0.08699999999999999</v>
      </c>
      <c r="L2048" t="n">
        <v>0.736</v>
      </c>
      <c r="M2048" t="n">
        <v>0.177</v>
      </c>
    </row>
    <row r="2049" spans="1:13">
      <c r="A2049" s="1">
        <f>HYPERLINK("http://www.twitter.com/NathanBLawrence/status/966330425756004352", "966330425756004352")</f>
        <v/>
      </c>
      <c r="B2049" s="2" t="n">
        <v>43152.63542824074</v>
      </c>
      <c r="C2049" t="n">
        <v>0</v>
      </c>
      <c r="D2049" t="n">
        <v>50</v>
      </c>
      <c r="E2049" t="s">
        <v>2043</v>
      </c>
      <c r="F2049">
        <f>HYPERLINK("http://pbs.twimg.com/media/DWkT0ziX4AEsM-E.jpg", "http://pbs.twimg.com/media/DWkT0ziX4AEsM-E.jpg")</f>
        <v/>
      </c>
      <c r="G2049" t="s"/>
      <c r="H2049" t="s"/>
      <c r="I2049" t="s"/>
      <c r="J2049" t="n">
        <v>0.6249</v>
      </c>
      <c r="K2049" t="n">
        <v>0</v>
      </c>
      <c r="L2049" t="n">
        <v>0.805</v>
      </c>
      <c r="M2049" t="n">
        <v>0.195</v>
      </c>
    </row>
    <row r="2050" spans="1:13">
      <c r="A2050" s="1">
        <f>HYPERLINK("http://www.twitter.com/NathanBLawrence/status/966324175177682944", "966324175177682944")</f>
        <v/>
      </c>
      <c r="B2050" s="2" t="n">
        <v>43152.61818287037</v>
      </c>
      <c r="C2050" t="n">
        <v>0</v>
      </c>
      <c r="D2050" t="n">
        <v>3</v>
      </c>
      <c r="E2050" t="s">
        <v>2044</v>
      </c>
      <c r="F2050" t="s"/>
      <c r="G2050" t="s"/>
      <c r="H2050" t="s"/>
      <c r="I2050" t="s"/>
      <c r="J2050" t="n">
        <v>0.5719</v>
      </c>
      <c r="K2050" t="n">
        <v>0</v>
      </c>
      <c r="L2050" t="n">
        <v>0.73</v>
      </c>
      <c r="M2050" t="n">
        <v>0.27</v>
      </c>
    </row>
    <row r="2051" spans="1:13">
      <c r="A2051" s="1">
        <f>HYPERLINK("http://www.twitter.com/NathanBLawrence/status/966320695675367424", "966320695675367424")</f>
        <v/>
      </c>
      <c r="B2051" s="2" t="n">
        <v>43152.60857638889</v>
      </c>
      <c r="C2051" t="n">
        <v>0</v>
      </c>
      <c r="D2051" t="n">
        <v>437</v>
      </c>
      <c r="E2051" t="s">
        <v>2045</v>
      </c>
      <c r="F2051">
        <f>HYPERLINK("http://pbs.twimg.com/media/DWj8q_BX0AAl7b2.jpg", "http://pbs.twimg.com/media/DWj8q_BX0AAl7b2.jpg")</f>
        <v/>
      </c>
      <c r="G2051" t="s"/>
      <c r="H2051" t="s"/>
      <c r="I2051" t="s"/>
      <c r="J2051" t="n">
        <v>0.0258</v>
      </c>
      <c r="K2051" t="n">
        <v>0.096</v>
      </c>
      <c r="L2051" t="n">
        <v>0.803</v>
      </c>
      <c r="M2051" t="n">
        <v>0.1</v>
      </c>
    </row>
    <row r="2052" spans="1:13">
      <c r="A2052" s="1">
        <f>HYPERLINK("http://www.twitter.com/NathanBLawrence/status/966319845695479809", "966319845695479809")</f>
        <v/>
      </c>
      <c r="B2052" s="2" t="n">
        <v>43152.60623842593</v>
      </c>
      <c r="C2052" t="n">
        <v>0</v>
      </c>
      <c r="D2052" t="n">
        <v>102</v>
      </c>
      <c r="E2052" t="s">
        <v>2046</v>
      </c>
      <c r="F2052" t="s"/>
      <c r="G2052" t="s"/>
      <c r="H2052" t="s"/>
      <c r="I2052" t="s"/>
      <c r="J2052" t="n">
        <v>-0.875</v>
      </c>
      <c r="K2052" t="n">
        <v>0.385</v>
      </c>
      <c r="L2052" t="n">
        <v>0.615</v>
      </c>
      <c r="M2052" t="n">
        <v>0</v>
      </c>
    </row>
    <row r="2053" spans="1:13">
      <c r="A2053" s="1">
        <f>HYPERLINK("http://www.twitter.com/NathanBLawrence/status/966314970324590592", "966314970324590592")</f>
        <v/>
      </c>
      <c r="B2053" s="2" t="n">
        <v>43152.59277777778</v>
      </c>
      <c r="C2053" t="n">
        <v>0</v>
      </c>
      <c r="D2053" t="n">
        <v>1290</v>
      </c>
      <c r="E2053" t="s">
        <v>2047</v>
      </c>
      <c r="F2053" t="s"/>
      <c r="G2053" t="s"/>
      <c r="H2053" t="s"/>
      <c r="I2053" t="s"/>
      <c r="J2053" t="n">
        <v>0.4939</v>
      </c>
      <c r="K2053" t="n">
        <v>0.146</v>
      </c>
      <c r="L2053" t="n">
        <v>0.637</v>
      </c>
      <c r="M2053" t="n">
        <v>0.217</v>
      </c>
    </row>
    <row r="2054" spans="1:13">
      <c r="A2054" s="1">
        <f>HYPERLINK("http://www.twitter.com/NathanBLawrence/status/966312146488479744", "966312146488479744")</f>
        <v/>
      </c>
      <c r="B2054" s="2" t="n">
        <v>43152.58498842592</v>
      </c>
      <c r="C2054" t="n">
        <v>7</v>
      </c>
      <c r="D2054" t="n">
        <v>4</v>
      </c>
      <c r="E2054" t="s">
        <v>2048</v>
      </c>
      <c r="F2054" t="s"/>
      <c r="G2054" t="s"/>
      <c r="H2054" t="s"/>
      <c r="I2054" t="s"/>
      <c r="J2054" t="n">
        <v>0</v>
      </c>
      <c r="K2054" t="n">
        <v>0</v>
      </c>
      <c r="L2054" t="n">
        <v>1</v>
      </c>
      <c r="M2054" t="n">
        <v>0</v>
      </c>
    </row>
    <row r="2055" spans="1:13">
      <c r="A2055" s="1">
        <f>HYPERLINK("http://www.twitter.com/NathanBLawrence/status/966308644668223488", "966308644668223488")</f>
        <v/>
      </c>
      <c r="B2055" s="2" t="n">
        <v>43152.57532407407</v>
      </c>
      <c r="C2055" t="n">
        <v>0</v>
      </c>
      <c r="D2055" t="n">
        <v>748</v>
      </c>
      <c r="E2055" t="s">
        <v>2049</v>
      </c>
      <c r="F2055">
        <f>HYPERLINK("http://pbs.twimg.com/media/DWkA5NvVoAU1rgf.jpg", "http://pbs.twimg.com/media/DWkA5NvVoAU1rgf.jpg")</f>
        <v/>
      </c>
      <c r="G2055" t="s"/>
      <c r="H2055" t="s"/>
      <c r="I2055" t="s"/>
      <c r="J2055" t="n">
        <v>-0.6124000000000001</v>
      </c>
      <c r="K2055" t="n">
        <v>0.208</v>
      </c>
      <c r="L2055" t="n">
        <v>0.792</v>
      </c>
      <c r="M2055" t="n">
        <v>0</v>
      </c>
    </row>
    <row r="2056" spans="1:13">
      <c r="A2056" s="1">
        <f>HYPERLINK("http://www.twitter.com/NathanBLawrence/status/966308522765029377", "966308522765029377")</f>
        <v/>
      </c>
      <c r="B2056" s="2" t="n">
        <v>43152.57498842593</v>
      </c>
      <c r="C2056" t="n">
        <v>4</v>
      </c>
      <c r="D2056" t="n">
        <v>4</v>
      </c>
      <c r="E2056" t="s">
        <v>2050</v>
      </c>
      <c r="F2056" t="s"/>
      <c r="G2056" t="s"/>
      <c r="H2056" t="s"/>
      <c r="I2056" t="s"/>
      <c r="J2056" t="n">
        <v>0</v>
      </c>
      <c r="K2056" t="n">
        <v>0</v>
      </c>
      <c r="L2056" t="n">
        <v>1</v>
      </c>
      <c r="M2056" t="n">
        <v>0</v>
      </c>
    </row>
    <row r="2057" spans="1:13">
      <c r="A2057" s="1">
        <f>HYPERLINK("http://www.twitter.com/NathanBLawrence/status/966305840385970177", "966305840385970177")</f>
        <v/>
      </c>
      <c r="B2057" s="2" t="n">
        <v>43152.56759259259</v>
      </c>
      <c r="C2057" t="n">
        <v>6</v>
      </c>
      <c r="D2057" t="n">
        <v>2</v>
      </c>
      <c r="E2057" t="s">
        <v>2051</v>
      </c>
      <c r="F2057" t="s"/>
      <c r="G2057" t="s"/>
      <c r="H2057" t="s"/>
      <c r="I2057" t="s"/>
      <c r="J2057" t="n">
        <v>0</v>
      </c>
      <c r="K2057" t="n">
        <v>0</v>
      </c>
      <c r="L2057" t="n">
        <v>1</v>
      </c>
      <c r="M2057" t="n">
        <v>0</v>
      </c>
    </row>
    <row r="2058" spans="1:13">
      <c r="A2058" s="1">
        <f>HYPERLINK("http://www.twitter.com/NathanBLawrence/status/966305178348646400", "966305178348646400")</f>
        <v/>
      </c>
      <c r="B2058" s="2" t="n">
        <v>43152.56576388889</v>
      </c>
      <c r="C2058" t="n">
        <v>1</v>
      </c>
      <c r="D2058" t="n">
        <v>2</v>
      </c>
      <c r="E2058" t="s">
        <v>2052</v>
      </c>
      <c r="F2058" t="s"/>
      <c r="G2058" t="s"/>
      <c r="H2058" t="s"/>
      <c r="I2058" t="s"/>
      <c r="J2058" t="n">
        <v>0</v>
      </c>
      <c r="K2058" t="n">
        <v>0</v>
      </c>
      <c r="L2058" t="n">
        <v>1</v>
      </c>
      <c r="M2058" t="n">
        <v>0</v>
      </c>
    </row>
    <row r="2059" spans="1:13">
      <c r="A2059" s="1">
        <f>HYPERLINK("http://www.twitter.com/NathanBLawrence/status/966288452407971840", "966288452407971840")</f>
        <v/>
      </c>
      <c r="B2059" s="2" t="n">
        <v>43152.51960648148</v>
      </c>
      <c r="C2059" t="n">
        <v>0</v>
      </c>
      <c r="D2059" t="n">
        <v>2768</v>
      </c>
      <c r="E2059" t="s">
        <v>2053</v>
      </c>
      <c r="F2059" t="s"/>
      <c r="G2059" t="s"/>
      <c r="H2059" t="s"/>
      <c r="I2059" t="s"/>
      <c r="J2059" t="n">
        <v>-0.5574</v>
      </c>
      <c r="K2059" t="n">
        <v>0.225</v>
      </c>
      <c r="L2059" t="n">
        <v>0.6870000000000001</v>
      </c>
      <c r="M2059" t="n">
        <v>0.08799999999999999</v>
      </c>
    </row>
    <row r="2060" spans="1:13">
      <c r="A2060" s="1">
        <f>HYPERLINK("http://www.twitter.com/NathanBLawrence/status/966286675109449728", "966286675109449728")</f>
        <v/>
      </c>
      <c r="B2060" s="2" t="n">
        <v>43152.51469907408</v>
      </c>
      <c r="C2060" t="n">
        <v>0</v>
      </c>
      <c r="D2060" t="n">
        <v>1423</v>
      </c>
      <c r="E2060" t="s">
        <v>2054</v>
      </c>
      <c r="F2060">
        <f>HYPERLINK("http://pbs.twimg.com/media/DWjdmY4X0AAxkXU.jpg", "http://pbs.twimg.com/media/DWjdmY4X0AAxkXU.jpg")</f>
        <v/>
      </c>
      <c r="G2060" t="s"/>
      <c r="H2060" t="s"/>
      <c r="I2060" t="s"/>
      <c r="J2060" t="n">
        <v>0</v>
      </c>
      <c r="K2060" t="n">
        <v>0</v>
      </c>
      <c r="L2060" t="n">
        <v>1</v>
      </c>
      <c r="M2060" t="n">
        <v>0</v>
      </c>
    </row>
    <row r="2061" spans="1:13">
      <c r="A2061" s="1">
        <f>HYPERLINK("http://www.twitter.com/NathanBLawrence/status/966272053568557058", "966272053568557058")</f>
        <v/>
      </c>
      <c r="B2061" s="2" t="n">
        <v>43152.47435185185</v>
      </c>
      <c r="C2061" t="n">
        <v>0</v>
      </c>
      <c r="D2061" t="n">
        <v>1193</v>
      </c>
      <c r="E2061" t="s">
        <v>2055</v>
      </c>
      <c r="F2061">
        <f>HYPERLINK("http://pbs.twimg.com/media/DWilZxvW4AIxSbL.jpg", "http://pbs.twimg.com/media/DWilZxvW4AIxSbL.jpg")</f>
        <v/>
      </c>
      <c r="G2061" t="s"/>
      <c r="H2061" t="s"/>
      <c r="I2061" t="s"/>
      <c r="J2061" t="n">
        <v>-0.5473</v>
      </c>
      <c r="K2061" t="n">
        <v>0.282</v>
      </c>
      <c r="L2061" t="n">
        <v>0.718</v>
      </c>
      <c r="M2061" t="n">
        <v>0</v>
      </c>
    </row>
    <row r="2062" spans="1:13">
      <c r="A2062" s="1">
        <f>HYPERLINK("http://www.twitter.com/NathanBLawrence/status/966270528792285184", "966270528792285184")</f>
        <v/>
      </c>
      <c r="B2062" s="2" t="n">
        <v>43152.47015046296</v>
      </c>
      <c r="C2062" t="n">
        <v>1</v>
      </c>
      <c r="D2062" t="n">
        <v>0</v>
      </c>
      <c r="E2062" t="s">
        <v>2056</v>
      </c>
      <c r="F2062" t="s"/>
      <c r="G2062" t="s"/>
      <c r="H2062" t="s"/>
      <c r="I2062" t="s"/>
      <c r="J2062" t="n">
        <v>-0.2928</v>
      </c>
      <c r="K2062" t="n">
        <v>0.226</v>
      </c>
      <c r="L2062" t="n">
        <v>0.649</v>
      </c>
      <c r="M2062" t="n">
        <v>0.125</v>
      </c>
    </row>
    <row r="2063" spans="1:13">
      <c r="A2063" s="1">
        <f>HYPERLINK("http://www.twitter.com/NathanBLawrence/status/966266875721277440", "966266875721277440")</f>
        <v/>
      </c>
      <c r="B2063" s="2" t="n">
        <v>43152.46006944445</v>
      </c>
      <c r="C2063" t="n">
        <v>0</v>
      </c>
      <c r="D2063" t="n">
        <v>4477</v>
      </c>
      <c r="E2063" t="s">
        <v>2057</v>
      </c>
      <c r="F2063" t="s"/>
      <c r="G2063" t="s"/>
      <c r="H2063" t="s"/>
      <c r="I2063" t="s"/>
      <c r="J2063" t="n">
        <v>0</v>
      </c>
      <c r="K2063" t="n">
        <v>0</v>
      </c>
      <c r="L2063" t="n">
        <v>1</v>
      </c>
      <c r="M2063" t="n">
        <v>0</v>
      </c>
    </row>
    <row r="2064" spans="1:13">
      <c r="A2064" s="1">
        <f>HYPERLINK("http://www.twitter.com/NathanBLawrence/status/966184630100660224", "966184630100660224")</f>
        <v/>
      </c>
      <c r="B2064" s="2" t="n">
        <v>43152.23311342593</v>
      </c>
      <c r="C2064" t="n">
        <v>0</v>
      </c>
      <c r="D2064" t="n">
        <v>760</v>
      </c>
      <c r="E2064" t="s">
        <v>2058</v>
      </c>
      <c r="F2064">
        <f>HYPERLINK("http://pbs.twimg.com/media/DVE4le3VQAAtGCA.jpg", "http://pbs.twimg.com/media/DVE4le3VQAAtGCA.jpg")</f>
        <v/>
      </c>
      <c r="G2064" t="s"/>
      <c r="H2064" t="s"/>
      <c r="I2064" t="s"/>
      <c r="J2064" t="n">
        <v>0.123</v>
      </c>
      <c r="K2064" t="n">
        <v>0.226</v>
      </c>
      <c r="L2064" t="n">
        <v>0.606</v>
      </c>
      <c r="M2064" t="n">
        <v>0.168</v>
      </c>
    </row>
    <row r="2065" spans="1:13">
      <c r="A2065" s="1">
        <f>HYPERLINK("http://www.twitter.com/NathanBLawrence/status/966184275551969280", "966184275551969280")</f>
        <v/>
      </c>
      <c r="B2065" s="2" t="n">
        <v>43152.23212962963</v>
      </c>
      <c r="C2065" t="n">
        <v>0</v>
      </c>
      <c r="D2065" t="n">
        <v>585</v>
      </c>
      <c r="E2065" t="s">
        <v>2059</v>
      </c>
      <c r="F2065">
        <f>HYPERLINK("http://pbs.twimg.com/media/DWL579RV4AAAPR3.jpg", "http://pbs.twimg.com/media/DWL579RV4AAAPR3.jpg")</f>
        <v/>
      </c>
      <c r="G2065" t="s"/>
      <c r="H2065" t="s"/>
      <c r="I2065" t="s"/>
      <c r="J2065" t="n">
        <v>0.4939</v>
      </c>
      <c r="K2065" t="n">
        <v>0</v>
      </c>
      <c r="L2065" t="n">
        <v>0.842</v>
      </c>
      <c r="M2065" t="n">
        <v>0.158</v>
      </c>
    </row>
    <row r="2066" spans="1:13">
      <c r="A2066" s="1">
        <f>HYPERLINK("http://www.twitter.com/NathanBLawrence/status/966179783313895424", "966179783313895424")</f>
        <v/>
      </c>
      <c r="B2066" s="2" t="n">
        <v>43152.21973379629</v>
      </c>
      <c r="C2066" t="n">
        <v>0</v>
      </c>
      <c r="D2066" t="n">
        <v>50</v>
      </c>
      <c r="E2066" t="s">
        <v>2060</v>
      </c>
      <c r="F2066">
        <f>HYPERLINK("http://pbs.twimg.com/media/DWh3GcYVwAE66zp.jpg", "http://pbs.twimg.com/media/DWh3GcYVwAE66zp.jpg")</f>
        <v/>
      </c>
      <c r="G2066" t="s"/>
      <c r="H2066" t="s"/>
      <c r="I2066" t="s"/>
      <c r="J2066" t="n">
        <v>0.3612</v>
      </c>
      <c r="K2066" t="n">
        <v>0</v>
      </c>
      <c r="L2066" t="n">
        <v>0.706</v>
      </c>
      <c r="M2066" t="n">
        <v>0.294</v>
      </c>
    </row>
    <row r="2067" spans="1:13">
      <c r="A2067" s="1">
        <f>HYPERLINK("http://www.twitter.com/NathanBLawrence/status/966160079060897792", "966160079060897792")</f>
        <v/>
      </c>
      <c r="B2067" s="2" t="n">
        <v>43152.16535879629</v>
      </c>
      <c r="C2067" t="n">
        <v>0</v>
      </c>
      <c r="D2067" t="n">
        <v>0</v>
      </c>
      <c r="E2067" t="s">
        <v>2061</v>
      </c>
      <c r="F2067" t="s"/>
      <c r="G2067" t="s"/>
      <c r="H2067" t="s"/>
      <c r="I2067" t="s"/>
      <c r="J2067" t="n">
        <v>0</v>
      </c>
      <c r="K2067" t="n">
        <v>0</v>
      </c>
      <c r="L2067" t="n">
        <v>1</v>
      </c>
      <c r="M2067" t="n">
        <v>0</v>
      </c>
    </row>
    <row r="2068" spans="1:13">
      <c r="A2068" s="1">
        <f>HYPERLINK("http://www.twitter.com/NathanBLawrence/status/966157132956684288", "966157132956684288")</f>
        <v/>
      </c>
      <c r="B2068" s="2" t="n">
        <v>43152.15723379629</v>
      </c>
      <c r="C2068" t="n">
        <v>0</v>
      </c>
      <c r="D2068" t="n">
        <v>0</v>
      </c>
      <c r="E2068" t="s">
        <v>2062</v>
      </c>
      <c r="F2068" t="s"/>
      <c r="G2068" t="s"/>
      <c r="H2068" t="s"/>
      <c r="I2068" t="s"/>
      <c r="J2068" t="n">
        <v>0</v>
      </c>
      <c r="K2068" t="n">
        <v>0</v>
      </c>
      <c r="L2068" t="n">
        <v>1</v>
      </c>
      <c r="M2068" t="n">
        <v>0</v>
      </c>
    </row>
    <row r="2069" spans="1:13">
      <c r="A2069" s="1">
        <f>HYPERLINK("http://www.twitter.com/NathanBLawrence/status/966153652493832192", "966153652493832192")</f>
        <v/>
      </c>
      <c r="B2069" s="2" t="n">
        <v>43152.14762731481</v>
      </c>
      <c r="C2069" t="n">
        <v>0</v>
      </c>
      <c r="D2069" t="n">
        <v>0</v>
      </c>
      <c r="E2069" t="s">
        <v>2063</v>
      </c>
      <c r="F2069" t="s"/>
      <c r="G2069" t="s"/>
      <c r="H2069" t="s"/>
      <c r="I2069" t="s"/>
      <c r="J2069" t="n">
        <v>0</v>
      </c>
      <c r="K2069" t="n">
        <v>0</v>
      </c>
      <c r="L2069" t="n">
        <v>1</v>
      </c>
      <c r="M2069" t="n">
        <v>0</v>
      </c>
    </row>
    <row r="2070" spans="1:13">
      <c r="A2070" s="1">
        <f>HYPERLINK("http://www.twitter.com/NathanBLawrence/status/966152273129869312", "966152273129869312")</f>
        <v/>
      </c>
      <c r="B2070" s="2" t="n">
        <v>43152.14381944444</v>
      </c>
      <c r="C2070" t="n">
        <v>3</v>
      </c>
      <c r="D2070" t="n">
        <v>3</v>
      </c>
      <c r="E2070" t="s">
        <v>2064</v>
      </c>
      <c r="F2070" t="s"/>
      <c r="G2070" t="s"/>
      <c r="H2070" t="s"/>
      <c r="I2070" t="s"/>
      <c r="J2070" t="n">
        <v>0.2235</v>
      </c>
      <c r="K2070" t="n">
        <v>0</v>
      </c>
      <c r="L2070" t="n">
        <v>0.964</v>
      </c>
      <c r="M2070" t="n">
        <v>0.036</v>
      </c>
    </row>
    <row r="2071" spans="1:13">
      <c r="A2071" s="1">
        <f>HYPERLINK("http://www.twitter.com/NathanBLawrence/status/966146476077473792", "966146476077473792")</f>
        <v/>
      </c>
      <c r="B2071" s="2" t="n">
        <v>43152.12782407407</v>
      </c>
      <c r="C2071" t="n">
        <v>0</v>
      </c>
      <c r="D2071" t="n">
        <v>1136</v>
      </c>
      <c r="E2071" t="s">
        <v>2065</v>
      </c>
      <c r="F2071" t="s"/>
      <c r="G2071" t="s"/>
      <c r="H2071" t="s"/>
      <c r="I2071" t="s"/>
      <c r="J2071" t="n">
        <v>0</v>
      </c>
      <c r="K2071" t="n">
        <v>0</v>
      </c>
      <c r="L2071" t="n">
        <v>1</v>
      </c>
      <c r="M2071" t="n">
        <v>0</v>
      </c>
    </row>
    <row r="2072" spans="1:13">
      <c r="A2072" s="1">
        <f>HYPERLINK("http://www.twitter.com/NathanBLawrence/status/966101758488535041", "966101758488535041")</f>
        <v/>
      </c>
      <c r="B2072" s="2" t="n">
        <v>43152.00443287037</v>
      </c>
      <c r="C2072" t="n">
        <v>0</v>
      </c>
      <c r="D2072" t="n">
        <v>2</v>
      </c>
      <c r="E2072" t="s">
        <v>2066</v>
      </c>
      <c r="F2072" t="s"/>
      <c r="G2072" t="s"/>
      <c r="H2072" t="s"/>
      <c r="I2072" t="s"/>
      <c r="J2072" t="n">
        <v>0.5093</v>
      </c>
      <c r="K2072" t="n">
        <v>0</v>
      </c>
      <c r="L2072" t="n">
        <v>0.732</v>
      </c>
      <c r="M2072" t="n">
        <v>0.268</v>
      </c>
    </row>
    <row r="2073" spans="1:13">
      <c r="A2073" s="1">
        <f>HYPERLINK("http://www.twitter.com/NathanBLawrence/status/966042768626810881", "966042768626810881")</f>
        <v/>
      </c>
      <c r="B2073" s="2" t="n">
        <v>43151.84164351852</v>
      </c>
      <c r="C2073" t="n">
        <v>0</v>
      </c>
      <c r="D2073" t="n">
        <v>9643</v>
      </c>
      <c r="E2073" t="s">
        <v>2067</v>
      </c>
      <c r="F2073" t="s"/>
      <c r="G2073" t="s"/>
      <c r="H2073" t="s"/>
      <c r="I2073" t="s"/>
      <c r="J2073" t="n">
        <v>-0.4889</v>
      </c>
      <c r="K2073" t="n">
        <v>0.153</v>
      </c>
      <c r="L2073" t="n">
        <v>0.847</v>
      </c>
      <c r="M2073" t="n">
        <v>0</v>
      </c>
    </row>
    <row r="2074" spans="1:13">
      <c r="A2074" s="1">
        <f>HYPERLINK("http://www.twitter.com/NathanBLawrence/status/966035449314766848", "966035449314766848")</f>
        <v/>
      </c>
      <c r="B2074" s="2" t="n">
        <v>43151.82144675926</v>
      </c>
      <c r="C2074" t="n">
        <v>0</v>
      </c>
      <c r="D2074" t="n">
        <v>733</v>
      </c>
      <c r="E2074" t="s">
        <v>2068</v>
      </c>
      <c r="F2074">
        <f>HYPERLINK("http://pbs.twimg.com/media/DWaFS7TV4AADva0.jpg", "http://pbs.twimg.com/media/DWaFS7TV4AADva0.jpg")</f>
        <v/>
      </c>
      <c r="G2074" t="s"/>
      <c r="H2074" t="s"/>
      <c r="I2074" t="s"/>
      <c r="J2074" t="n">
        <v>0</v>
      </c>
      <c r="K2074" t="n">
        <v>0</v>
      </c>
      <c r="L2074" t="n">
        <v>1</v>
      </c>
      <c r="M2074" t="n">
        <v>0</v>
      </c>
    </row>
    <row r="2075" spans="1:13">
      <c r="A2075" s="1">
        <f>HYPERLINK("http://www.twitter.com/NathanBLawrence/status/966029547329253376", "966029547329253376")</f>
        <v/>
      </c>
      <c r="B2075" s="2" t="n">
        <v>43151.80516203704</v>
      </c>
      <c r="C2075" t="n">
        <v>6</v>
      </c>
      <c r="D2075" t="n">
        <v>5</v>
      </c>
      <c r="E2075" t="s">
        <v>2069</v>
      </c>
      <c r="F2075" t="s"/>
      <c r="G2075" t="s"/>
      <c r="H2075" t="s"/>
      <c r="I2075" t="s"/>
      <c r="J2075" t="n">
        <v>-0.6739000000000001</v>
      </c>
      <c r="K2075" t="n">
        <v>0.193</v>
      </c>
      <c r="L2075" t="n">
        <v>0.8070000000000001</v>
      </c>
      <c r="M2075" t="n">
        <v>0</v>
      </c>
    </row>
    <row r="2076" spans="1:13">
      <c r="A2076" s="1">
        <f>HYPERLINK("http://www.twitter.com/NathanBLawrence/status/966026543393886210", "966026543393886210")</f>
        <v/>
      </c>
      <c r="B2076" s="2" t="n">
        <v>43151.796875</v>
      </c>
      <c r="C2076" t="n">
        <v>0</v>
      </c>
      <c r="D2076" t="n">
        <v>12864</v>
      </c>
      <c r="E2076" t="s">
        <v>2070</v>
      </c>
      <c r="F2076" t="s"/>
      <c r="G2076" t="s"/>
      <c r="H2076" t="s"/>
      <c r="I2076" t="s"/>
      <c r="J2076" t="n">
        <v>-0.9201</v>
      </c>
      <c r="K2076" t="n">
        <v>0.466</v>
      </c>
      <c r="L2076" t="n">
        <v>0.534</v>
      </c>
      <c r="M2076" t="n">
        <v>0</v>
      </c>
    </row>
    <row r="2077" spans="1:13">
      <c r="A2077" s="1">
        <f>HYPERLINK("http://www.twitter.com/NathanBLawrence/status/966021855931981824", "966021855931981824")</f>
        <v/>
      </c>
      <c r="B2077" s="2" t="n">
        <v>43151.78393518519</v>
      </c>
      <c r="C2077" t="n">
        <v>0</v>
      </c>
      <c r="D2077" t="n">
        <v>803</v>
      </c>
      <c r="E2077" t="s">
        <v>2071</v>
      </c>
      <c r="F2077" t="s"/>
      <c r="G2077" t="s"/>
      <c r="H2077" t="s"/>
      <c r="I2077" t="s"/>
      <c r="J2077" t="n">
        <v>0</v>
      </c>
      <c r="K2077" t="n">
        <v>0</v>
      </c>
      <c r="L2077" t="n">
        <v>1</v>
      </c>
      <c r="M2077" t="n">
        <v>0</v>
      </c>
    </row>
    <row r="2078" spans="1:13">
      <c r="A2078" s="1">
        <f>HYPERLINK("http://www.twitter.com/NathanBLawrence/status/966020846816059392", "966020846816059392")</f>
        <v/>
      </c>
      <c r="B2078" s="2" t="n">
        <v>43151.78115740741</v>
      </c>
      <c r="C2078" t="n">
        <v>0</v>
      </c>
      <c r="D2078" t="n">
        <v>5</v>
      </c>
      <c r="E2078" t="s">
        <v>2072</v>
      </c>
      <c r="F2078" t="s"/>
      <c r="G2078" t="s"/>
      <c r="H2078" t="s"/>
      <c r="I2078" t="s"/>
      <c r="J2078" t="n">
        <v>0</v>
      </c>
      <c r="K2078" t="n">
        <v>0</v>
      </c>
      <c r="L2078" t="n">
        <v>1</v>
      </c>
      <c r="M2078" t="n">
        <v>0</v>
      </c>
    </row>
    <row r="2079" spans="1:13">
      <c r="A2079" s="1">
        <f>HYPERLINK("http://www.twitter.com/NathanBLawrence/status/966020826104463361", "966020826104463361")</f>
        <v/>
      </c>
      <c r="B2079" s="2" t="n">
        <v>43151.78109953704</v>
      </c>
      <c r="C2079" t="n">
        <v>0</v>
      </c>
      <c r="D2079" t="n">
        <v>1</v>
      </c>
      <c r="E2079" t="s">
        <v>2073</v>
      </c>
      <c r="F2079" t="s"/>
      <c r="G2079" t="s"/>
      <c r="H2079" t="s"/>
      <c r="I2079" t="s"/>
      <c r="J2079" t="n">
        <v>0</v>
      </c>
      <c r="K2079" t="n">
        <v>0</v>
      </c>
      <c r="L2079" t="n">
        <v>1</v>
      </c>
      <c r="M2079" t="n">
        <v>0</v>
      </c>
    </row>
    <row r="2080" spans="1:13">
      <c r="A2080" s="1">
        <f>HYPERLINK("http://www.twitter.com/NathanBLawrence/status/966020749088710658", "966020749088710658")</f>
        <v/>
      </c>
      <c r="B2080" s="2" t="n">
        <v>43151.78089120371</v>
      </c>
      <c r="C2080" t="n">
        <v>4</v>
      </c>
      <c r="D2080" t="n">
        <v>1</v>
      </c>
      <c r="E2080" t="s">
        <v>2074</v>
      </c>
      <c r="F2080" t="s"/>
      <c r="G2080" t="s"/>
      <c r="H2080" t="s"/>
      <c r="I2080" t="s"/>
      <c r="J2080" t="n">
        <v>0</v>
      </c>
      <c r="K2080" t="n">
        <v>0</v>
      </c>
      <c r="L2080" t="n">
        <v>1</v>
      </c>
      <c r="M2080" t="n">
        <v>0</v>
      </c>
    </row>
    <row r="2081" spans="1:13">
      <c r="A2081" s="1">
        <f>HYPERLINK("http://www.twitter.com/NathanBLawrence/status/966009797232484353", "966009797232484353")</f>
        <v/>
      </c>
      <c r="B2081" s="2" t="n">
        <v>43151.75065972222</v>
      </c>
      <c r="C2081" t="n">
        <v>0</v>
      </c>
      <c r="D2081" t="n">
        <v>737</v>
      </c>
      <c r="E2081" t="s">
        <v>2075</v>
      </c>
      <c r="F2081">
        <f>HYPERLINK("http://pbs.twimg.com/media/DWfp01NVwAI5ity.jpg", "http://pbs.twimg.com/media/DWfp01NVwAI5ity.jpg")</f>
        <v/>
      </c>
      <c r="G2081" t="s"/>
      <c r="H2081" t="s"/>
      <c r="I2081" t="s"/>
      <c r="J2081" t="n">
        <v>-0.1154</v>
      </c>
      <c r="K2081" t="n">
        <v>0.081</v>
      </c>
      <c r="L2081" t="n">
        <v>0.857</v>
      </c>
      <c r="M2081" t="n">
        <v>0.062</v>
      </c>
    </row>
    <row r="2082" spans="1:13">
      <c r="A2082" s="1">
        <f>HYPERLINK("http://www.twitter.com/NathanBLawrence/status/965998078271647746", "965998078271647746")</f>
        <v/>
      </c>
      <c r="B2082" s="2" t="n">
        <v>43151.71832175926</v>
      </c>
      <c r="C2082" t="n">
        <v>0</v>
      </c>
      <c r="D2082" t="n">
        <v>12</v>
      </c>
      <c r="E2082" t="s">
        <v>2076</v>
      </c>
      <c r="F2082">
        <f>HYPERLINK("http://pbs.twimg.com/media/DWXHdZvVAAATvRV.jpg", "http://pbs.twimg.com/media/DWXHdZvVAAATvRV.jpg")</f>
        <v/>
      </c>
      <c r="G2082" t="s"/>
      <c r="H2082" t="s"/>
      <c r="I2082" t="s"/>
      <c r="J2082" t="n">
        <v>-0.7959000000000001</v>
      </c>
      <c r="K2082" t="n">
        <v>0.252</v>
      </c>
      <c r="L2082" t="n">
        <v>0.748</v>
      </c>
      <c r="M2082" t="n">
        <v>0</v>
      </c>
    </row>
    <row r="2083" spans="1:13">
      <c r="A2083" s="1">
        <f>HYPERLINK("http://www.twitter.com/NathanBLawrence/status/965992202592772097", "965992202592772097")</f>
        <v/>
      </c>
      <c r="B2083" s="2" t="n">
        <v>43151.70211805555</v>
      </c>
      <c r="C2083" t="n">
        <v>2</v>
      </c>
      <c r="D2083" t="n">
        <v>0</v>
      </c>
      <c r="E2083" t="s">
        <v>2077</v>
      </c>
      <c r="F2083" t="s"/>
      <c r="G2083" t="s"/>
      <c r="H2083" t="s"/>
      <c r="I2083" t="s"/>
      <c r="J2083" t="n">
        <v>0.6027</v>
      </c>
      <c r="K2083" t="n">
        <v>0</v>
      </c>
      <c r="L2083" t="n">
        <v>0.5600000000000001</v>
      </c>
      <c r="M2083" t="n">
        <v>0.44</v>
      </c>
    </row>
    <row r="2084" spans="1:13">
      <c r="A2084" s="1">
        <f>HYPERLINK("http://www.twitter.com/NathanBLawrence/status/965880803136884736", "965880803136884736")</f>
        <v/>
      </c>
      <c r="B2084" s="2" t="n">
        <v>43151.39471064815</v>
      </c>
      <c r="C2084" t="n">
        <v>0</v>
      </c>
      <c r="D2084" t="n">
        <v>34</v>
      </c>
      <c r="E2084" t="s">
        <v>2078</v>
      </c>
      <c r="F2084" t="s"/>
      <c r="G2084" t="s"/>
      <c r="H2084" t="s"/>
      <c r="I2084" t="s"/>
      <c r="J2084" t="n">
        <v>0</v>
      </c>
      <c r="K2084" t="n">
        <v>0</v>
      </c>
      <c r="L2084" t="n">
        <v>1</v>
      </c>
      <c r="M2084" t="n">
        <v>0</v>
      </c>
    </row>
    <row r="2085" spans="1:13">
      <c r="A2085" s="1">
        <f>HYPERLINK("http://www.twitter.com/NathanBLawrence/status/965880699810205696", "965880699810205696")</f>
        <v/>
      </c>
      <c r="B2085" s="2" t="n">
        <v>43151.3944212963</v>
      </c>
      <c r="C2085" t="n">
        <v>0</v>
      </c>
      <c r="D2085" t="n">
        <v>25</v>
      </c>
      <c r="E2085" t="s">
        <v>2079</v>
      </c>
      <c r="F2085">
        <f>HYPERLINK("http://pbs.twimg.com/media/DWcGZDpX4AUZa8_.jpg", "http://pbs.twimg.com/media/DWcGZDpX4AUZa8_.jpg")</f>
        <v/>
      </c>
      <c r="G2085" t="s"/>
      <c r="H2085" t="s"/>
      <c r="I2085" t="s"/>
      <c r="J2085" t="n">
        <v>0</v>
      </c>
      <c r="K2085" t="n">
        <v>0</v>
      </c>
      <c r="L2085" t="n">
        <v>1</v>
      </c>
      <c r="M2085" t="n">
        <v>0</v>
      </c>
    </row>
    <row r="2086" spans="1:13">
      <c r="A2086" s="1">
        <f>HYPERLINK("http://www.twitter.com/NathanBLawrence/status/965835425897222146", "965835425897222146")</f>
        <v/>
      </c>
      <c r="B2086" s="2" t="n">
        <v>43151.26949074074</v>
      </c>
      <c r="C2086" t="n">
        <v>2</v>
      </c>
      <c r="D2086" t="n">
        <v>0</v>
      </c>
      <c r="E2086" t="s">
        <v>2080</v>
      </c>
      <c r="F2086" t="s"/>
      <c r="G2086" t="s"/>
      <c r="H2086" t="s"/>
      <c r="I2086" t="s"/>
      <c r="J2086" t="n">
        <v>0</v>
      </c>
      <c r="K2086" t="n">
        <v>0</v>
      </c>
      <c r="L2086" t="n">
        <v>1</v>
      </c>
      <c r="M2086" t="n">
        <v>0</v>
      </c>
    </row>
    <row r="2087" spans="1:13">
      <c r="A2087" s="1">
        <f>HYPERLINK("http://www.twitter.com/NathanBLawrence/status/965813685808762880", "965813685808762880")</f>
        <v/>
      </c>
      <c r="B2087" s="2" t="n">
        <v>43151.20950231481</v>
      </c>
      <c r="C2087" t="n">
        <v>0</v>
      </c>
      <c r="D2087" t="n">
        <v>0</v>
      </c>
      <c r="E2087" t="s">
        <v>2081</v>
      </c>
      <c r="F2087" t="s"/>
      <c r="G2087" t="s"/>
      <c r="H2087" t="s"/>
      <c r="I2087" t="s"/>
      <c r="J2087" t="n">
        <v>0.6369</v>
      </c>
      <c r="K2087" t="n">
        <v>0</v>
      </c>
      <c r="L2087" t="n">
        <v>0.776</v>
      </c>
      <c r="M2087" t="n">
        <v>0.224</v>
      </c>
    </row>
    <row r="2088" spans="1:13">
      <c r="A2088" s="1">
        <f>HYPERLINK("http://www.twitter.com/NathanBLawrence/status/965786345703661568", "965786345703661568")</f>
        <v/>
      </c>
      <c r="B2088" s="2" t="n">
        <v>43151.13405092592</v>
      </c>
      <c r="C2088" t="n">
        <v>0</v>
      </c>
      <c r="D2088" t="n">
        <v>344</v>
      </c>
      <c r="E2088" t="s">
        <v>2082</v>
      </c>
      <c r="F2088" t="s"/>
      <c r="G2088" t="s"/>
      <c r="H2088" t="s"/>
      <c r="I2088" t="s"/>
      <c r="J2088" t="n">
        <v>-0.4824</v>
      </c>
      <c r="K2088" t="n">
        <v>0.164</v>
      </c>
      <c r="L2088" t="n">
        <v>0.836</v>
      </c>
      <c r="M2088" t="n">
        <v>0</v>
      </c>
    </row>
    <row r="2089" spans="1:13">
      <c r="A2089" s="1">
        <f>HYPERLINK("http://www.twitter.com/NathanBLawrence/status/965771087765221377", "965771087765221377")</f>
        <v/>
      </c>
      <c r="B2089" s="2" t="n">
        <v>43151.09195601852</v>
      </c>
      <c r="C2089" t="n">
        <v>2</v>
      </c>
      <c r="D2089" t="n">
        <v>0</v>
      </c>
      <c r="E2089" t="s">
        <v>2083</v>
      </c>
      <c r="F2089" t="s"/>
      <c r="G2089" t="s"/>
      <c r="H2089" t="s"/>
      <c r="I2089" t="s"/>
      <c r="J2089" t="n">
        <v>0.3716</v>
      </c>
      <c r="K2089" t="n">
        <v>0</v>
      </c>
      <c r="L2089" t="n">
        <v>0.8120000000000001</v>
      </c>
      <c r="M2089" t="n">
        <v>0.188</v>
      </c>
    </row>
    <row r="2090" spans="1:13">
      <c r="A2090" s="1">
        <f>HYPERLINK("http://www.twitter.com/NathanBLawrence/status/965744407713599490", "965744407713599490")</f>
        <v/>
      </c>
      <c r="B2090" s="2" t="n">
        <v>43151.01833333333</v>
      </c>
      <c r="C2090" t="n">
        <v>0</v>
      </c>
      <c r="D2090" t="n">
        <v>0</v>
      </c>
      <c r="E2090" t="s">
        <v>2084</v>
      </c>
      <c r="F2090" t="s"/>
      <c r="G2090" t="s"/>
      <c r="H2090" t="s"/>
      <c r="I2090" t="s"/>
      <c r="J2090" t="n">
        <v>-0.7184</v>
      </c>
      <c r="K2090" t="n">
        <v>0.273</v>
      </c>
      <c r="L2090" t="n">
        <v>0.727</v>
      </c>
      <c r="M2090" t="n">
        <v>0</v>
      </c>
    </row>
    <row r="2091" spans="1:13">
      <c r="A2091" s="1">
        <f>HYPERLINK("http://www.twitter.com/NathanBLawrence/status/965724707633942530", "965724707633942530")</f>
        <v/>
      </c>
      <c r="B2091" s="2" t="n">
        <v>43150.96396990741</v>
      </c>
      <c r="C2091" t="n">
        <v>0</v>
      </c>
      <c r="D2091" t="n">
        <v>5</v>
      </c>
      <c r="E2091" t="s">
        <v>2085</v>
      </c>
      <c r="F2091">
        <f>HYPERLINK("http://pbs.twimg.com/media/DWW4_vMVMAA-qgy.jpg", "http://pbs.twimg.com/media/DWW4_vMVMAA-qgy.jpg")</f>
        <v/>
      </c>
      <c r="G2091" t="s"/>
      <c r="H2091" t="s"/>
      <c r="I2091" t="s"/>
      <c r="J2091" t="n">
        <v>0</v>
      </c>
      <c r="K2091" t="n">
        <v>0</v>
      </c>
      <c r="L2091" t="n">
        <v>1</v>
      </c>
      <c r="M2091" t="n">
        <v>0</v>
      </c>
    </row>
    <row r="2092" spans="1:13">
      <c r="A2092" s="1">
        <f>HYPERLINK("http://www.twitter.com/NathanBLawrence/status/965709174607876102", "965709174607876102")</f>
        <v/>
      </c>
      <c r="B2092" s="2" t="n">
        <v>43150.92109953704</v>
      </c>
      <c r="C2092" t="n">
        <v>3</v>
      </c>
      <c r="D2092" t="n">
        <v>2</v>
      </c>
      <c r="E2092" t="s">
        <v>2086</v>
      </c>
      <c r="F2092" t="s"/>
      <c r="G2092" t="s"/>
      <c r="H2092" t="s"/>
      <c r="I2092" t="s"/>
      <c r="J2092" t="n">
        <v>-0.3774</v>
      </c>
      <c r="K2092" t="n">
        <v>0.132</v>
      </c>
      <c r="L2092" t="n">
        <v>0.868</v>
      </c>
      <c r="M2092" t="n">
        <v>0</v>
      </c>
    </row>
    <row r="2093" spans="1:13">
      <c r="A2093" s="1">
        <f>HYPERLINK("http://www.twitter.com/NathanBLawrence/status/965700544206639106", "965700544206639106")</f>
        <v/>
      </c>
      <c r="B2093" s="2" t="n">
        <v>43150.89729166667</v>
      </c>
      <c r="C2093" t="n">
        <v>0</v>
      </c>
      <c r="D2093" t="n">
        <v>0</v>
      </c>
      <c r="E2093" t="s">
        <v>2087</v>
      </c>
      <c r="F2093">
        <f>HYPERLINK("http://pbs.twimg.com/media/DWbbgKPW4AAiIvO.jpg", "http://pbs.twimg.com/media/DWbbgKPW4AAiIvO.jpg")</f>
        <v/>
      </c>
      <c r="G2093" t="s"/>
      <c r="H2093" t="s"/>
      <c r="I2093" t="s"/>
      <c r="J2093" t="n">
        <v>-0.5826</v>
      </c>
      <c r="K2093" t="n">
        <v>0.43</v>
      </c>
      <c r="L2093" t="n">
        <v>0.57</v>
      </c>
      <c r="M2093" t="n">
        <v>0</v>
      </c>
    </row>
    <row r="2094" spans="1:13">
      <c r="A2094" s="1">
        <f>HYPERLINK("http://www.twitter.com/NathanBLawrence/status/965671581921042432", "965671581921042432")</f>
        <v/>
      </c>
      <c r="B2094" s="2" t="n">
        <v>43150.81737268518</v>
      </c>
      <c r="C2094" t="n">
        <v>99</v>
      </c>
      <c r="D2094" t="n">
        <v>129</v>
      </c>
      <c r="E2094" t="s">
        <v>2088</v>
      </c>
      <c r="F2094" t="s"/>
      <c r="G2094" t="s"/>
      <c r="H2094" t="s"/>
      <c r="I2094" t="s"/>
      <c r="J2094" t="n">
        <v>-0.8173</v>
      </c>
      <c r="K2094" t="n">
        <v>0.354</v>
      </c>
      <c r="L2094" t="n">
        <v>0.431</v>
      </c>
      <c r="M2094" t="n">
        <v>0.214</v>
      </c>
    </row>
    <row r="2095" spans="1:13">
      <c r="A2095" s="1">
        <f>HYPERLINK("http://www.twitter.com/NathanBLawrence/status/965655451911294977", "965655451911294977")</f>
        <v/>
      </c>
      <c r="B2095" s="2" t="n">
        <v>43150.7728587963</v>
      </c>
      <c r="C2095" t="n">
        <v>0</v>
      </c>
      <c r="D2095" t="n">
        <v>53</v>
      </c>
      <c r="E2095" t="s">
        <v>2089</v>
      </c>
      <c r="F2095">
        <f>HYPERLINK("http://pbs.twimg.com/media/DWOT_hkU0AITZ6z.jpg", "http://pbs.twimg.com/media/DWOT_hkU0AITZ6z.jpg")</f>
        <v/>
      </c>
      <c r="G2095" t="s"/>
      <c r="H2095" t="s"/>
      <c r="I2095" t="s"/>
      <c r="J2095" t="n">
        <v>0.3182</v>
      </c>
      <c r="K2095" t="n">
        <v>0</v>
      </c>
      <c r="L2095" t="n">
        <v>0.916</v>
      </c>
      <c r="M2095" t="n">
        <v>0.08400000000000001</v>
      </c>
    </row>
    <row r="2096" spans="1:13">
      <c r="A2096" s="1">
        <f>HYPERLINK("http://www.twitter.com/NathanBLawrence/status/965646714119041025", "965646714119041025")</f>
        <v/>
      </c>
      <c r="B2096" s="2" t="n">
        <v>43150.74875</v>
      </c>
      <c r="C2096" t="n">
        <v>3</v>
      </c>
      <c r="D2096" t="n">
        <v>0</v>
      </c>
      <c r="E2096" t="s">
        <v>2090</v>
      </c>
      <c r="F2096" t="s"/>
      <c r="G2096" t="s"/>
      <c r="H2096" t="s"/>
      <c r="I2096" t="s"/>
      <c r="J2096" t="n">
        <v>0</v>
      </c>
      <c r="K2096" t="n">
        <v>0</v>
      </c>
      <c r="L2096" t="n">
        <v>1</v>
      </c>
      <c r="M2096" t="n">
        <v>0</v>
      </c>
    </row>
    <row r="2097" spans="1:13">
      <c r="A2097" s="1">
        <f>HYPERLINK("http://www.twitter.com/NathanBLawrence/status/965645509003276289", "965645509003276289")</f>
        <v/>
      </c>
      <c r="B2097" s="2" t="n">
        <v>43150.74541666666</v>
      </c>
      <c r="C2097" t="n">
        <v>0</v>
      </c>
      <c r="D2097" t="n">
        <v>245</v>
      </c>
      <c r="E2097" t="s">
        <v>2091</v>
      </c>
      <c r="F2097" t="s"/>
      <c r="G2097" t="s"/>
      <c r="H2097" t="s"/>
      <c r="I2097" t="s"/>
      <c r="J2097" t="n">
        <v>0</v>
      </c>
      <c r="K2097" t="n">
        <v>0.162</v>
      </c>
      <c r="L2097" t="n">
        <v>0.714</v>
      </c>
      <c r="M2097" t="n">
        <v>0.124</v>
      </c>
    </row>
    <row r="2098" spans="1:13">
      <c r="A2098" s="1">
        <f>HYPERLINK("http://www.twitter.com/NathanBLawrence/status/965645342749405189", "965645342749405189")</f>
        <v/>
      </c>
      <c r="B2098" s="2" t="n">
        <v>43150.74496527778</v>
      </c>
      <c r="C2098" t="n">
        <v>0</v>
      </c>
      <c r="D2098" t="n">
        <v>143</v>
      </c>
      <c r="E2098" t="s">
        <v>2092</v>
      </c>
      <c r="F2098">
        <f>HYPERLINK("http://pbs.twimg.com/media/DWZ_g0TUQAANYT3.jpg", "http://pbs.twimg.com/media/DWZ_g0TUQAANYT3.jpg")</f>
        <v/>
      </c>
      <c r="G2098" t="s"/>
      <c r="H2098" t="s"/>
      <c r="I2098" t="s"/>
      <c r="J2098" t="n">
        <v>0.7776999999999999</v>
      </c>
      <c r="K2098" t="n">
        <v>0</v>
      </c>
      <c r="L2098" t="n">
        <v>0.737</v>
      </c>
      <c r="M2098" t="n">
        <v>0.263</v>
      </c>
    </row>
    <row r="2099" spans="1:13">
      <c r="A2099" s="1">
        <f>HYPERLINK("http://www.twitter.com/NathanBLawrence/status/965643125908819968", "965643125908819968")</f>
        <v/>
      </c>
      <c r="B2099" s="2" t="n">
        <v>43150.73884259259</v>
      </c>
      <c r="C2099" t="n">
        <v>0</v>
      </c>
      <c r="D2099" t="n">
        <v>2</v>
      </c>
      <c r="E2099" t="s">
        <v>2093</v>
      </c>
      <c r="F2099" t="s"/>
      <c r="G2099" t="s"/>
      <c r="H2099" t="s"/>
      <c r="I2099" t="s"/>
      <c r="J2099" t="n">
        <v>0.9364</v>
      </c>
      <c r="K2099" t="n">
        <v>0</v>
      </c>
      <c r="L2099" t="n">
        <v>0.529</v>
      </c>
      <c r="M2099" t="n">
        <v>0.471</v>
      </c>
    </row>
    <row r="2100" spans="1:13">
      <c r="A2100" s="1">
        <f>HYPERLINK("http://www.twitter.com/NathanBLawrence/status/965642751000924160", "965642751000924160")</f>
        <v/>
      </c>
      <c r="B2100" s="2" t="n">
        <v>43150.7378125</v>
      </c>
      <c r="C2100" t="n">
        <v>1</v>
      </c>
      <c r="D2100" t="n">
        <v>0</v>
      </c>
      <c r="E2100" t="s">
        <v>2094</v>
      </c>
      <c r="F2100" t="s"/>
      <c r="G2100" t="s"/>
      <c r="H2100" t="s"/>
      <c r="I2100" t="s"/>
      <c r="J2100" t="n">
        <v>0.7964</v>
      </c>
      <c r="K2100" t="n">
        <v>0</v>
      </c>
      <c r="L2100" t="n">
        <v>0.793</v>
      </c>
      <c r="M2100" t="n">
        <v>0.207</v>
      </c>
    </row>
    <row r="2101" spans="1:13">
      <c r="A2101" s="1">
        <f>HYPERLINK("http://www.twitter.com/NathanBLawrence/status/965632892348059650", "965632892348059650")</f>
        <v/>
      </c>
      <c r="B2101" s="2" t="n">
        <v>43150.71060185185</v>
      </c>
      <c r="C2101" t="n">
        <v>0</v>
      </c>
      <c r="D2101" t="n">
        <v>1</v>
      </c>
      <c r="E2101" t="s">
        <v>2095</v>
      </c>
      <c r="F2101">
        <f>HYPERLINK("http://pbs.twimg.com/media/DWadrsKVwAAdd6O.jpg", "http://pbs.twimg.com/media/DWadrsKVwAAdd6O.jpg")</f>
        <v/>
      </c>
      <c r="G2101" t="s"/>
      <c r="H2101" t="s"/>
      <c r="I2101" t="s"/>
      <c r="J2101" t="n">
        <v>0</v>
      </c>
      <c r="K2101" t="n">
        <v>0</v>
      </c>
      <c r="L2101" t="n">
        <v>1</v>
      </c>
      <c r="M2101" t="n">
        <v>0</v>
      </c>
    </row>
    <row r="2102" spans="1:13">
      <c r="A2102" s="1">
        <f>HYPERLINK("http://www.twitter.com/NathanBLawrence/status/965626177972047874", "965626177972047874")</f>
        <v/>
      </c>
      <c r="B2102" s="2" t="n">
        <v>43150.69207175926</v>
      </c>
      <c r="C2102" t="n">
        <v>3</v>
      </c>
      <c r="D2102" t="n">
        <v>0</v>
      </c>
      <c r="E2102" t="s">
        <v>2096</v>
      </c>
      <c r="F2102" t="s"/>
      <c r="G2102" t="s"/>
      <c r="H2102" t="s"/>
      <c r="I2102" t="s"/>
      <c r="J2102" t="n">
        <v>0</v>
      </c>
      <c r="K2102" t="n">
        <v>0</v>
      </c>
      <c r="L2102" t="n">
        <v>1</v>
      </c>
      <c r="M2102" t="n">
        <v>0</v>
      </c>
    </row>
    <row r="2103" spans="1:13">
      <c r="A2103" s="1">
        <f>HYPERLINK("http://www.twitter.com/NathanBLawrence/status/965623850141659136", "965623850141659136")</f>
        <v/>
      </c>
      <c r="B2103" s="2" t="n">
        <v>43150.68564814814</v>
      </c>
      <c r="C2103" t="n">
        <v>4</v>
      </c>
      <c r="D2103" t="n">
        <v>0</v>
      </c>
      <c r="E2103" t="s">
        <v>2097</v>
      </c>
      <c r="F2103" t="s"/>
      <c r="G2103" t="s"/>
      <c r="H2103" t="s"/>
      <c r="I2103" t="s"/>
      <c r="J2103" t="n">
        <v>0</v>
      </c>
      <c r="K2103" t="n">
        <v>0</v>
      </c>
      <c r="L2103" t="n">
        <v>1</v>
      </c>
      <c r="M2103" t="n">
        <v>0</v>
      </c>
    </row>
    <row r="2104" spans="1:13">
      <c r="A2104" s="1">
        <f>HYPERLINK("http://www.twitter.com/NathanBLawrence/status/965617454289506306", "965617454289506306")</f>
        <v/>
      </c>
      <c r="B2104" s="2" t="n">
        <v>43150.66800925926</v>
      </c>
      <c r="C2104" t="n">
        <v>0</v>
      </c>
      <c r="D2104" t="n">
        <v>31</v>
      </c>
      <c r="E2104" t="s">
        <v>2098</v>
      </c>
      <c r="F2104">
        <f>HYPERLINK("http://pbs.twimg.com/media/DWWOqEiUMAAsJWq.jpg", "http://pbs.twimg.com/media/DWWOqEiUMAAsJWq.jpg")</f>
        <v/>
      </c>
      <c r="G2104" t="s"/>
      <c r="H2104" t="s"/>
      <c r="I2104" t="s"/>
      <c r="J2104" t="n">
        <v>0.8807</v>
      </c>
      <c r="K2104" t="n">
        <v>0.108</v>
      </c>
      <c r="L2104" t="n">
        <v>0.503</v>
      </c>
      <c r="M2104" t="n">
        <v>0.389</v>
      </c>
    </row>
    <row r="2105" spans="1:13">
      <c r="A2105" s="1">
        <f>HYPERLINK("http://www.twitter.com/NathanBLawrence/status/965616990080716805", "965616990080716805")</f>
        <v/>
      </c>
      <c r="B2105" s="2" t="n">
        <v>43150.66672453703</v>
      </c>
      <c r="C2105" t="n">
        <v>2</v>
      </c>
      <c r="D2105" t="n">
        <v>0</v>
      </c>
      <c r="E2105" t="s">
        <v>2099</v>
      </c>
      <c r="F2105" t="s"/>
      <c r="G2105" t="s"/>
      <c r="H2105" t="s"/>
      <c r="I2105" t="s"/>
      <c r="J2105" t="n">
        <v>0</v>
      </c>
      <c r="K2105" t="n">
        <v>0</v>
      </c>
      <c r="L2105" t="n">
        <v>1</v>
      </c>
      <c r="M2105" t="n">
        <v>0</v>
      </c>
    </row>
    <row r="2106" spans="1:13">
      <c r="A2106" s="1">
        <f>HYPERLINK("http://www.twitter.com/NathanBLawrence/status/965615179735142400", "965615179735142400")</f>
        <v/>
      </c>
      <c r="B2106" s="2" t="n">
        <v>43150.66172453704</v>
      </c>
      <c r="C2106" t="n">
        <v>1</v>
      </c>
      <c r="D2106" t="n">
        <v>0</v>
      </c>
      <c r="E2106" t="s">
        <v>2100</v>
      </c>
      <c r="F2106" t="s"/>
      <c r="G2106" t="s"/>
      <c r="H2106" t="s"/>
      <c r="I2106" t="s"/>
      <c r="J2106" t="n">
        <v>0</v>
      </c>
      <c r="K2106" t="n">
        <v>0</v>
      </c>
      <c r="L2106" t="n">
        <v>1</v>
      </c>
      <c r="M2106" t="n">
        <v>0</v>
      </c>
    </row>
    <row r="2107" spans="1:13">
      <c r="A2107" s="1">
        <f>HYPERLINK("http://www.twitter.com/NathanBLawrence/status/965614504070533120", "965614504070533120")</f>
        <v/>
      </c>
      <c r="B2107" s="2" t="n">
        <v>43150.65986111111</v>
      </c>
      <c r="C2107" t="n">
        <v>0</v>
      </c>
      <c r="D2107" t="n">
        <v>0</v>
      </c>
      <c r="E2107" t="s">
        <v>2101</v>
      </c>
      <c r="F2107" t="s"/>
      <c r="G2107" t="s"/>
      <c r="H2107" t="s"/>
      <c r="I2107" t="s"/>
      <c r="J2107" t="n">
        <v>0</v>
      </c>
      <c r="K2107" t="n">
        <v>0</v>
      </c>
      <c r="L2107" t="n">
        <v>1</v>
      </c>
      <c r="M2107" t="n">
        <v>0</v>
      </c>
    </row>
    <row r="2108" spans="1:13">
      <c r="A2108" s="1">
        <f>HYPERLINK("http://www.twitter.com/NathanBLawrence/status/965614130957815808", "965614130957815808")</f>
        <v/>
      </c>
      <c r="B2108" s="2" t="n">
        <v>43150.65883101852</v>
      </c>
      <c r="C2108" t="n">
        <v>1</v>
      </c>
      <c r="D2108" t="n">
        <v>0</v>
      </c>
      <c r="E2108" t="s">
        <v>2102</v>
      </c>
      <c r="F2108" t="s"/>
      <c r="G2108" t="s"/>
      <c r="H2108" t="s"/>
      <c r="I2108" t="s"/>
      <c r="J2108" t="n">
        <v>0.1655</v>
      </c>
      <c r="K2108" t="n">
        <v>0</v>
      </c>
      <c r="L2108" t="n">
        <v>0.944</v>
      </c>
      <c r="M2108" t="n">
        <v>0.056</v>
      </c>
    </row>
    <row r="2109" spans="1:13">
      <c r="A2109" s="1">
        <f>HYPERLINK("http://www.twitter.com/NathanBLawrence/status/965612039963070466", "965612039963070466")</f>
        <v/>
      </c>
      <c r="B2109" s="2" t="n">
        <v>43150.65306712963</v>
      </c>
      <c r="C2109" t="n">
        <v>0</v>
      </c>
      <c r="D2109" t="n">
        <v>0</v>
      </c>
      <c r="E2109" t="s">
        <v>2103</v>
      </c>
      <c r="F2109" t="s"/>
      <c r="G2109" t="s"/>
      <c r="H2109" t="s"/>
      <c r="I2109" t="s"/>
      <c r="J2109" t="n">
        <v>0</v>
      </c>
      <c r="K2109" t="n">
        <v>0</v>
      </c>
      <c r="L2109" t="n">
        <v>1</v>
      </c>
      <c r="M2109" t="n">
        <v>0</v>
      </c>
    </row>
    <row r="2110" spans="1:13">
      <c r="A2110" s="1">
        <f>HYPERLINK("http://www.twitter.com/NathanBLawrence/status/965609591814975488", "965609591814975488")</f>
        <v/>
      </c>
      <c r="B2110" s="2" t="n">
        <v>43150.64630787037</v>
      </c>
      <c r="C2110" t="n">
        <v>0</v>
      </c>
      <c r="D2110" t="n">
        <v>10</v>
      </c>
      <c r="E2110" t="s">
        <v>2104</v>
      </c>
      <c r="F2110">
        <f>HYPERLINK("http://pbs.twimg.com/media/DWXOBN-XcAEDe8Z.jpg", "http://pbs.twimg.com/media/DWXOBN-XcAEDe8Z.jpg")</f>
        <v/>
      </c>
      <c r="G2110" t="s"/>
      <c r="H2110" t="s"/>
      <c r="I2110" t="s"/>
      <c r="J2110" t="n">
        <v>0.8169</v>
      </c>
      <c r="K2110" t="n">
        <v>0</v>
      </c>
      <c r="L2110" t="n">
        <v>0.706</v>
      </c>
      <c r="M2110" t="n">
        <v>0.294</v>
      </c>
    </row>
    <row r="2111" spans="1:13">
      <c r="A2111" s="1">
        <f>HYPERLINK("http://www.twitter.com/NathanBLawrence/status/965607057197019136", "965607057197019136")</f>
        <v/>
      </c>
      <c r="B2111" s="2" t="n">
        <v>43150.63931712963</v>
      </c>
      <c r="C2111" t="n">
        <v>0</v>
      </c>
      <c r="D2111" t="n">
        <v>1</v>
      </c>
      <c r="E2111" t="s">
        <v>2105</v>
      </c>
      <c r="F2111" t="s"/>
      <c r="G2111" t="s"/>
      <c r="H2111" t="s"/>
      <c r="I2111" t="s"/>
      <c r="J2111" t="n">
        <v>0</v>
      </c>
      <c r="K2111" t="n">
        <v>0</v>
      </c>
      <c r="L2111" t="n">
        <v>1</v>
      </c>
      <c r="M2111" t="n">
        <v>0</v>
      </c>
    </row>
    <row r="2112" spans="1:13">
      <c r="A2112" s="1">
        <f>HYPERLINK("http://www.twitter.com/NathanBLawrence/status/965606051256197120", "965606051256197120")</f>
        <v/>
      </c>
      <c r="B2112" s="2" t="n">
        <v>43150.63653935185</v>
      </c>
      <c r="C2112" t="n">
        <v>1</v>
      </c>
      <c r="D2112" t="n">
        <v>0</v>
      </c>
      <c r="E2112" t="s">
        <v>2106</v>
      </c>
      <c r="F2112" t="s"/>
      <c r="G2112" t="s"/>
      <c r="H2112" t="s"/>
      <c r="I2112" t="s"/>
      <c r="J2112" t="n">
        <v>0.7506</v>
      </c>
      <c r="K2112" t="n">
        <v>0</v>
      </c>
      <c r="L2112" t="n">
        <v>0.838</v>
      </c>
      <c r="M2112" t="n">
        <v>0.162</v>
      </c>
    </row>
    <row r="2113" spans="1:13">
      <c r="A2113" s="1">
        <f>HYPERLINK("http://www.twitter.com/NathanBLawrence/status/965460231965806597", "965460231965806597")</f>
        <v/>
      </c>
      <c r="B2113" s="2" t="n">
        <v>43150.23415509259</v>
      </c>
      <c r="C2113" t="n">
        <v>0</v>
      </c>
      <c r="D2113" t="n">
        <v>4447</v>
      </c>
      <c r="E2113" t="s">
        <v>2107</v>
      </c>
      <c r="F2113">
        <f>HYPERLINK("https://video.twimg.com/ext_tw_video/964563125172350976/pu/vid/512x640/4xksaNtdxszcFKvS.mp4", "https://video.twimg.com/ext_tw_video/964563125172350976/pu/vid/512x640/4xksaNtdxszcFKvS.mp4")</f>
        <v/>
      </c>
      <c r="G2113" t="s"/>
      <c r="H2113" t="s"/>
      <c r="I2113" t="s"/>
      <c r="J2113" t="n">
        <v>-0.25</v>
      </c>
      <c r="K2113" t="n">
        <v>0.08699999999999999</v>
      </c>
      <c r="L2113" t="n">
        <v>0.913</v>
      </c>
      <c r="M2113" t="n">
        <v>0</v>
      </c>
    </row>
    <row r="2114" spans="1:13">
      <c r="A2114" s="1">
        <f>HYPERLINK("http://www.twitter.com/NathanBLawrence/status/965449843266158592", "965449843266158592")</f>
        <v/>
      </c>
      <c r="B2114" s="2" t="n">
        <v>43150.20548611111</v>
      </c>
      <c r="C2114" t="n">
        <v>2</v>
      </c>
      <c r="D2114" t="n">
        <v>0</v>
      </c>
      <c r="E2114" t="s">
        <v>2108</v>
      </c>
      <c r="F2114" t="s"/>
      <c r="G2114" t="s"/>
      <c r="H2114" t="s"/>
      <c r="I2114" t="s"/>
      <c r="J2114" t="n">
        <v>0.6983</v>
      </c>
      <c r="K2114" t="n">
        <v>0</v>
      </c>
      <c r="L2114" t="n">
        <v>0.829</v>
      </c>
      <c r="M2114" t="n">
        <v>0.171</v>
      </c>
    </row>
    <row r="2115" spans="1:13">
      <c r="A2115" s="1">
        <f>HYPERLINK("http://www.twitter.com/NathanBLawrence/status/965430835326410753", "965430835326410753")</f>
        <v/>
      </c>
      <c r="B2115" s="2" t="n">
        <v>43150.1530324074</v>
      </c>
      <c r="C2115" t="n">
        <v>1</v>
      </c>
      <c r="D2115" t="n">
        <v>0</v>
      </c>
      <c r="E2115" t="s">
        <v>2109</v>
      </c>
      <c r="F2115" t="s"/>
      <c r="G2115" t="s"/>
      <c r="H2115" t="s"/>
      <c r="I2115" t="s"/>
      <c r="J2115" t="n">
        <v>0.4404</v>
      </c>
      <c r="K2115" t="n">
        <v>0</v>
      </c>
      <c r="L2115" t="n">
        <v>0.408</v>
      </c>
      <c r="M2115" t="n">
        <v>0.592</v>
      </c>
    </row>
    <row r="2116" spans="1:13">
      <c r="A2116" s="1">
        <f>HYPERLINK("http://www.twitter.com/NathanBLawrence/status/965422748326662144", "965422748326662144")</f>
        <v/>
      </c>
      <c r="B2116" s="2" t="n">
        <v>43150.13071759259</v>
      </c>
      <c r="C2116" t="n">
        <v>2</v>
      </c>
      <c r="D2116" t="n">
        <v>0</v>
      </c>
      <c r="E2116" t="s">
        <v>2110</v>
      </c>
      <c r="F2116" t="s"/>
      <c r="G2116" t="s"/>
      <c r="H2116" t="s"/>
      <c r="I2116" t="s"/>
      <c r="J2116" t="n">
        <v>0.2732</v>
      </c>
      <c r="K2116" t="n">
        <v>0</v>
      </c>
      <c r="L2116" t="n">
        <v>0.84</v>
      </c>
      <c r="M2116" t="n">
        <v>0.16</v>
      </c>
    </row>
    <row r="2117" spans="1:13">
      <c r="A2117" s="1">
        <f>HYPERLINK("http://www.twitter.com/NathanBLawrence/status/965419151908130817", "965419151908130817")</f>
        <v/>
      </c>
      <c r="B2117" s="2" t="n">
        <v>43150.12079861111</v>
      </c>
      <c r="C2117" t="n">
        <v>1</v>
      </c>
      <c r="D2117" t="n">
        <v>0</v>
      </c>
      <c r="E2117" t="s">
        <v>2111</v>
      </c>
      <c r="F2117" t="s"/>
      <c r="G2117" t="s"/>
      <c r="H2117" t="s"/>
      <c r="I2117" t="s"/>
      <c r="J2117" t="n">
        <v>0</v>
      </c>
      <c r="K2117" t="n">
        <v>0</v>
      </c>
      <c r="L2117" t="n">
        <v>1</v>
      </c>
      <c r="M2117" t="n">
        <v>0</v>
      </c>
    </row>
    <row r="2118" spans="1:13">
      <c r="A2118" s="1">
        <f>HYPERLINK("http://www.twitter.com/NathanBLawrence/status/965413303941062656", "965413303941062656")</f>
        <v/>
      </c>
      <c r="B2118" s="2" t="n">
        <v>43150.10465277778</v>
      </c>
      <c r="C2118" t="n">
        <v>47</v>
      </c>
      <c r="D2118" t="n">
        <v>56</v>
      </c>
      <c r="E2118" t="s">
        <v>2112</v>
      </c>
      <c r="F2118" t="s"/>
      <c r="G2118" t="s"/>
      <c r="H2118" t="s"/>
      <c r="I2118" t="s"/>
      <c r="J2118" t="n">
        <v>0.8091</v>
      </c>
      <c r="K2118" t="n">
        <v>0.047</v>
      </c>
      <c r="L2118" t="n">
        <v>0.749</v>
      </c>
      <c r="M2118" t="n">
        <v>0.204</v>
      </c>
    </row>
    <row r="2119" spans="1:13">
      <c r="A2119" s="1">
        <f>HYPERLINK("http://www.twitter.com/NathanBLawrence/status/965404222966640641", "965404222966640641")</f>
        <v/>
      </c>
      <c r="B2119" s="2" t="n">
        <v>43150.07959490741</v>
      </c>
      <c r="C2119" t="n">
        <v>14</v>
      </c>
      <c r="D2119" t="n">
        <v>10</v>
      </c>
      <c r="E2119" t="s">
        <v>2113</v>
      </c>
      <c r="F2119">
        <f>HYPERLINK("http://pbs.twimg.com/media/DWXOBN-XcAEDe8Z.jpg", "http://pbs.twimg.com/media/DWXOBN-XcAEDe8Z.jpg")</f>
        <v/>
      </c>
      <c r="G2119" t="s"/>
      <c r="H2119" t="s"/>
      <c r="I2119" t="s"/>
      <c r="J2119" t="n">
        <v>0.8904</v>
      </c>
      <c r="K2119" t="n">
        <v>0.047</v>
      </c>
      <c r="L2119" t="n">
        <v>0.639</v>
      </c>
      <c r="M2119" t="n">
        <v>0.315</v>
      </c>
    </row>
    <row r="2120" spans="1:13">
      <c r="A2120" s="1">
        <f>HYPERLINK("http://www.twitter.com/NathanBLawrence/status/965400646001287168", "965400646001287168")</f>
        <v/>
      </c>
      <c r="B2120" s="2" t="n">
        <v>43150.06972222222</v>
      </c>
      <c r="C2120" t="n">
        <v>6</v>
      </c>
      <c r="D2120" t="n">
        <v>0</v>
      </c>
      <c r="E2120" t="s">
        <v>2114</v>
      </c>
      <c r="F2120" t="s"/>
      <c r="G2120" t="s"/>
      <c r="H2120" t="s"/>
      <c r="I2120" t="s"/>
      <c r="J2120" t="n">
        <v>0</v>
      </c>
      <c r="K2120" t="n">
        <v>0</v>
      </c>
      <c r="L2120" t="n">
        <v>1</v>
      </c>
      <c r="M2120" t="n">
        <v>0</v>
      </c>
    </row>
    <row r="2121" spans="1:13">
      <c r="A2121" s="1">
        <f>HYPERLINK("http://www.twitter.com/NathanBLawrence/status/965379128823287810", "965379128823287810")</f>
        <v/>
      </c>
      <c r="B2121" s="2" t="n">
        <v>43150.01034722223</v>
      </c>
      <c r="C2121" t="n">
        <v>0</v>
      </c>
      <c r="D2121" t="n">
        <v>152</v>
      </c>
      <c r="E2121" t="s">
        <v>2115</v>
      </c>
      <c r="F2121">
        <f>HYPERLINK("http://pbs.twimg.com/media/DWV9Fw0XUAAOzxD.jpg", "http://pbs.twimg.com/media/DWV9Fw0XUAAOzxD.jpg")</f>
        <v/>
      </c>
      <c r="G2121" t="s"/>
      <c r="H2121" t="s"/>
      <c r="I2121" t="s"/>
      <c r="J2121" t="n">
        <v>0</v>
      </c>
      <c r="K2121" t="n">
        <v>0</v>
      </c>
      <c r="L2121" t="n">
        <v>1</v>
      </c>
      <c r="M2121" t="n">
        <v>0</v>
      </c>
    </row>
    <row r="2122" spans="1:13">
      <c r="A2122" s="1">
        <f>HYPERLINK("http://www.twitter.com/NathanBLawrence/status/965378168487018496", "965378168487018496")</f>
        <v/>
      </c>
      <c r="B2122" s="2" t="n">
        <v>43150.00769675926</v>
      </c>
      <c r="C2122" t="n">
        <v>0</v>
      </c>
      <c r="D2122" t="n">
        <v>6472</v>
      </c>
      <c r="E2122" t="s">
        <v>2116</v>
      </c>
      <c r="F2122" t="s"/>
      <c r="G2122" t="s"/>
      <c r="H2122" t="s"/>
      <c r="I2122" t="s"/>
      <c r="J2122" t="n">
        <v>-0.6597</v>
      </c>
      <c r="K2122" t="n">
        <v>0.196</v>
      </c>
      <c r="L2122" t="n">
        <v>0.804</v>
      </c>
      <c r="M2122" t="n">
        <v>0</v>
      </c>
    </row>
    <row r="2123" spans="1:13">
      <c r="A2123" s="1">
        <f>HYPERLINK("http://www.twitter.com/NathanBLawrence/status/965260846309003265", "965260846309003265")</f>
        <v/>
      </c>
      <c r="B2123" s="2" t="n">
        <v>43149.68395833333</v>
      </c>
      <c r="C2123" t="n">
        <v>0</v>
      </c>
      <c r="D2123" t="n">
        <v>282</v>
      </c>
      <c r="E2123" t="s">
        <v>2117</v>
      </c>
      <c r="F2123">
        <f>HYPERLINK("http://pbs.twimg.com/media/DWUqq4RU8AAfmf7.jpg", "http://pbs.twimg.com/media/DWUqq4RU8AAfmf7.jpg")</f>
        <v/>
      </c>
      <c r="G2123" t="s"/>
      <c r="H2123" t="s"/>
      <c r="I2123" t="s"/>
      <c r="J2123" t="n">
        <v>0.5423</v>
      </c>
      <c r="K2123" t="n">
        <v>0</v>
      </c>
      <c r="L2123" t="n">
        <v>0.788</v>
      </c>
      <c r="M2123" t="n">
        <v>0.212</v>
      </c>
    </row>
    <row r="2124" spans="1:13">
      <c r="A2124" s="1">
        <f>HYPERLINK("http://www.twitter.com/NathanBLawrence/status/965257316089188354", "965257316089188354")</f>
        <v/>
      </c>
      <c r="B2124" s="2" t="n">
        <v>43149.67421296296</v>
      </c>
      <c r="C2124" t="n">
        <v>0</v>
      </c>
      <c r="D2124" t="n">
        <v>1102</v>
      </c>
      <c r="E2124" t="s">
        <v>2118</v>
      </c>
      <c r="F2124">
        <f>HYPERLINK("http://pbs.twimg.com/media/DWRfJvcUMAAy2sy.jpg", "http://pbs.twimg.com/media/DWRfJvcUMAAy2sy.jpg")</f>
        <v/>
      </c>
      <c r="G2124" t="s"/>
      <c r="H2124" t="s"/>
      <c r="I2124" t="s"/>
      <c r="J2124" t="n">
        <v>0.4215</v>
      </c>
      <c r="K2124" t="n">
        <v>0</v>
      </c>
      <c r="L2124" t="n">
        <v>0.641</v>
      </c>
      <c r="M2124" t="n">
        <v>0.359</v>
      </c>
    </row>
    <row r="2125" spans="1:13">
      <c r="A2125" s="1">
        <f>HYPERLINK("http://www.twitter.com/NathanBLawrence/status/965254991123447808", "965254991123447808")</f>
        <v/>
      </c>
      <c r="B2125" s="2" t="n">
        <v>43149.66780092593</v>
      </c>
      <c r="C2125" t="n">
        <v>0</v>
      </c>
      <c r="D2125" t="n">
        <v>8</v>
      </c>
      <c r="E2125" t="s">
        <v>2119</v>
      </c>
      <c r="F2125" t="s"/>
      <c r="G2125" t="s"/>
      <c r="H2125" t="s"/>
      <c r="I2125" t="s"/>
      <c r="J2125" t="n">
        <v>0.7371</v>
      </c>
      <c r="K2125" t="n">
        <v>0</v>
      </c>
      <c r="L2125" t="n">
        <v>0.784</v>
      </c>
      <c r="M2125" t="n">
        <v>0.216</v>
      </c>
    </row>
    <row r="2126" spans="1:13">
      <c r="A2126" s="1">
        <f>HYPERLINK("http://www.twitter.com/NathanBLawrence/status/965254744452292608", "965254744452292608")</f>
        <v/>
      </c>
      <c r="B2126" s="2" t="n">
        <v>43149.66711805556</v>
      </c>
      <c r="C2126" t="n">
        <v>0</v>
      </c>
      <c r="D2126" t="n">
        <v>521</v>
      </c>
      <c r="E2126" t="s">
        <v>2120</v>
      </c>
      <c r="F2126">
        <f>HYPERLINK("http://pbs.twimg.com/media/DWVAUQFXUAAMfAj.jpg", "http://pbs.twimg.com/media/DWVAUQFXUAAMfAj.jpg")</f>
        <v/>
      </c>
      <c r="G2126" t="s"/>
      <c r="H2126" t="s"/>
      <c r="I2126" t="s"/>
      <c r="J2126" t="n">
        <v>0</v>
      </c>
      <c r="K2126" t="n">
        <v>0</v>
      </c>
      <c r="L2126" t="n">
        <v>1</v>
      </c>
      <c r="M2126" t="n">
        <v>0</v>
      </c>
    </row>
    <row r="2127" spans="1:13">
      <c r="A2127" s="1">
        <f>HYPERLINK("http://www.twitter.com/NathanBLawrence/status/965254543922683904", "965254543922683904")</f>
        <v/>
      </c>
      <c r="B2127" s="2" t="n">
        <v>43149.6665625</v>
      </c>
      <c r="C2127" t="n">
        <v>0</v>
      </c>
      <c r="D2127" t="n">
        <v>1323</v>
      </c>
      <c r="E2127" t="s">
        <v>2121</v>
      </c>
      <c r="F2127">
        <f>HYPERLINK("http://pbs.twimg.com/media/DWS-wrOW4AAoXTz.jpg", "http://pbs.twimg.com/media/DWS-wrOW4AAoXTz.jpg")</f>
        <v/>
      </c>
      <c r="G2127" t="s"/>
      <c r="H2127" t="s"/>
      <c r="I2127" t="s"/>
      <c r="J2127" t="n">
        <v>0.4707</v>
      </c>
      <c r="K2127" t="n">
        <v>0.08599999999999999</v>
      </c>
      <c r="L2127" t="n">
        <v>0.718</v>
      </c>
      <c r="M2127" t="n">
        <v>0.196</v>
      </c>
    </row>
    <row r="2128" spans="1:13">
      <c r="A2128" s="1">
        <f>HYPERLINK("http://www.twitter.com/NathanBLawrence/status/965254218981494784", "965254218981494784")</f>
        <v/>
      </c>
      <c r="B2128" s="2" t="n">
        <v>43149.66567129629</v>
      </c>
      <c r="C2128" t="n">
        <v>0</v>
      </c>
      <c r="D2128" t="n">
        <v>16921</v>
      </c>
      <c r="E2128" t="s">
        <v>2122</v>
      </c>
      <c r="F2128">
        <f>HYPERLINK("https://video.twimg.com/ext_tw_video/964959438456180738/pu/vid/1280x720/lBVNN573ORgCxA3Z.mp4", "https://video.twimg.com/ext_tw_video/964959438456180738/pu/vid/1280x720/lBVNN573ORgCxA3Z.mp4")</f>
        <v/>
      </c>
      <c r="G2128" t="s"/>
      <c r="H2128" t="s"/>
      <c r="I2128" t="s"/>
      <c r="J2128" t="n">
        <v>0.5233</v>
      </c>
      <c r="K2128" t="n">
        <v>0</v>
      </c>
      <c r="L2128" t="n">
        <v>0.861</v>
      </c>
      <c r="M2128" t="n">
        <v>0.139</v>
      </c>
    </row>
    <row r="2129" spans="1:13">
      <c r="A2129" s="1">
        <f>HYPERLINK("http://www.twitter.com/NathanBLawrence/status/965245953526640641", "965245953526640641")</f>
        <v/>
      </c>
      <c r="B2129" s="2" t="n">
        <v>43149.64285879629</v>
      </c>
      <c r="C2129" t="n">
        <v>0</v>
      </c>
      <c r="D2129" t="n">
        <v>31226</v>
      </c>
      <c r="E2129" t="s">
        <v>2123</v>
      </c>
      <c r="F2129" t="s"/>
      <c r="G2129" t="s"/>
      <c r="H2129" t="s"/>
      <c r="I2129" t="s"/>
      <c r="J2129" t="n">
        <v>0</v>
      </c>
      <c r="K2129" t="n">
        <v>0</v>
      </c>
      <c r="L2129" t="n">
        <v>1</v>
      </c>
      <c r="M2129" t="n">
        <v>0</v>
      </c>
    </row>
    <row r="2130" spans="1:13">
      <c r="A2130" s="1">
        <f>HYPERLINK("http://www.twitter.com/NathanBLawrence/status/965245662286761984", "965245662286761984")</f>
        <v/>
      </c>
      <c r="B2130" s="2" t="n">
        <v>43149.64204861111</v>
      </c>
      <c r="C2130" t="n">
        <v>0</v>
      </c>
      <c r="D2130" t="n">
        <v>32426</v>
      </c>
      <c r="E2130" t="s">
        <v>2124</v>
      </c>
      <c r="F2130" t="s"/>
      <c r="G2130" t="s"/>
      <c r="H2130" t="s"/>
      <c r="I2130" t="s"/>
      <c r="J2130" t="n">
        <v>-0.7783</v>
      </c>
      <c r="K2130" t="n">
        <v>0.278</v>
      </c>
      <c r="L2130" t="n">
        <v>0.656</v>
      </c>
      <c r="M2130" t="n">
        <v>0.066</v>
      </c>
    </row>
    <row r="2131" spans="1:13">
      <c r="A2131" s="1">
        <f>HYPERLINK("http://www.twitter.com/NathanBLawrence/status/965244538511134720", "965244538511134720")</f>
        <v/>
      </c>
      <c r="B2131" s="2" t="n">
        <v>43149.63895833334</v>
      </c>
      <c r="C2131" t="n">
        <v>0</v>
      </c>
      <c r="D2131" t="n">
        <v>877</v>
      </c>
      <c r="E2131" t="s">
        <v>2125</v>
      </c>
      <c r="F2131">
        <f>HYPERLINK("http://pbs.twimg.com/media/DWPaT9rVoAAausS.jpg", "http://pbs.twimg.com/media/DWPaT9rVoAAausS.jpg")</f>
        <v/>
      </c>
      <c r="G2131" t="s"/>
      <c r="H2131" t="s"/>
      <c r="I2131" t="s"/>
      <c r="J2131" t="n">
        <v>0</v>
      </c>
      <c r="K2131" t="n">
        <v>0</v>
      </c>
      <c r="L2131" t="n">
        <v>1</v>
      </c>
      <c r="M2131" t="n">
        <v>0</v>
      </c>
    </row>
    <row r="2132" spans="1:13">
      <c r="A2132" s="1">
        <f>HYPERLINK("http://www.twitter.com/NathanBLawrence/status/965234668252647425", "965234668252647425")</f>
        <v/>
      </c>
      <c r="B2132" s="2" t="n">
        <v>43149.61171296296</v>
      </c>
      <c r="C2132" t="n">
        <v>0</v>
      </c>
      <c r="D2132" t="n">
        <v>3</v>
      </c>
      <c r="E2132" t="s">
        <v>2126</v>
      </c>
      <c r="F2132">
        <f>HYPERLINK("http://pbs.twimg.com/media/DWQT9dNU0AAbxaY.jpg", "http://pbs.twimg.com/media/DWQT9dNU0AAbxaY.jpg")</f>
        <v/>
      </c>
      <c r="G2132" t="s"/>
      <c r="H2132" t="s"/>
      <c r="I2132" t="s"/>
      <c r="J2132" t="n">
        <v>0</v>
      </c>
      <c r="K2132" t="n">
        <v>0</v>
      </c>
      <c r="L2132" t="n">
        <v>1</v>
      </c>
      <c r="M2132" t="n">
        <v>0</v>
      </c>
    </row>
    <row r="2133" spans="1:13">
      <c r="A2133" s="1">
        <f>HYPERLINK("http://www.twitter.com/NathanBLawrence/status/965229228911415297", "965229228911415297")</f>
        <v/>
      </c>
      <c r="B2133" s="2" t="n">
        <v>43149.59670138889</v>
      </c>
      <c r="C2133" t="n">
        <v>0</v>
      </c>
      <c r="D2133" t="n">
        <v>23689</v>
      </c>
      <c r="E2133" t="s">
        <v>2127</v>
      </c>
      <c r="F2133">
        <f>HYPERLINK("https://video.twimg.com/ext_tw_video/957209756464119808/pu/vid/720x720/cwF-c304Gsu1Tuhd.mp4", "https://video.twimg.com/ext_tw_video/957209756464119808/pu/vid/720x720/cwF-c304Gsu1Tuhd.mp4")</f>
        <v/>
      </c>
      <c r="G2133" t="s"/>
      <c r="H2133" t="s"/>
      <c r="I2133" t="s"/>
      <c r="J2133" t="n">
        <v>-0.3612</v>
      </c>
      <c r="K2133" t="n">
        <v>0.128</v>
      </c>
      <c r="L2133" t="n">
        <v>0.872</v>
      </c>
      <c r="M2133" t="n">
        <v>0</v>
      </c>
    </row>
    <row r="2134" spans="1:13">
      <c r="A2134" s="1">
        <f>HYPERLINK("http://www.twitter.com/NathanBLawrence/status/965226376210067457", "965226376210067457")</f>
        <v/>
      </c>
      <c r="B2134" s="2" t="n">
        <v>43149.58883101852</v>
      </c>
      <c r="C2134" t="n">
        <v>0</v>
      </c>
      <c r="D2134" t="n">
        <v>1821</v>
      </c>
      <c r="E2134" t="s">
        <v>2128</v>
      </c>
      <c r="F2134" t="s"/>
      <c r="G2134" t="s"/>
      <c r="H2134" t="s"/>
      <c r="I2134" t="s"/>
      <c r="J2134" t="n">
        <v>0.8764999999999999</v>
      </c>
      <c r="K2134" t="n">
        <v>0</v>
      </c>
      <c r="L2134" t="n">
        <v>0.6860000000000001</v>
      </c>
      <c r="M2134" t="n">
        <v>0.314</v>
      </c>
    </row>
    <row r="2135" spans="1:13">
      <c r="A2135" s="1">
        <f>HYPERLINK("http://www.twitter.com/NathanBLawrence/status/965226229833064449", "965226229833064449")</f>
        <v/>
      </c>
      <c r="B2135" s="2" t="n">
        <v>43149.58842592593</v>
      </c>
      <c r="C2135" t="n">
        <v>0</v>
      </c>
      <c r="D2135" t="n">
        <v>12</v>
      </c>
      <c r="E2135" t="s">
        <v>2129</v>
      </c>
      <c r="F2135">
        <f>HYPERLINK("http://pbs.twimg.com/media/DWUPNd8VQAA3R_i.jpg", "http://pbs.twimg.com/media/DWUPNd8VQAA3R_i.jpg")</f>
        <v/>
      </c>
      <c r="G2135" t="s"/>
      <c r="H2135" t="s"/>
      <c r="I2135" t="s"/>
      <c r="J2135" t="n">
        <v>0</v>
      </c>
      <c r="K2135" t="n">
        <v>0</v>
      </c>
      <c r="L2135" t="n">
        <v>1</v>
      </c>
      <c r="M2135" t="n">
        <v>0</v>
      </c>
    </row>
    <row r="2136" spans="1:13">
      <c r="A2136" s="1">
        <f>HYPERLINK("http://www.twitter.com/NathanBLawrence/status/965225162043019264", "965225162043019264")</f>
        <v/>
      </c>
      <c r="B2136" s="2" t="n">
        <v>43149.58548611111</v>
      </c>
      <c r="C2136" t="n">
        <v>0</v>
      </c>
      <c r="D2136" t="n">
        <v>3556</v>
      </c>
      <c r="E2136" t="s">
        <v>2130</v>
      </c>
      <c r="F2136" t="s"/>
      <c r="G2136" t="s"/>
      <c r="H2136" t="s"/>
      <c r="I2136" t="s"/>
      <c r="J2136" t="n">
        <v>-0.7147</v>
      </c>
      <c r="K2136" t="n">
        <v>0.293</v>
      </c>
      <c r="L2136" t="n">
        <v>0.602</v>
      </c>
      <c r="M2136" t="n">
        <v>0.105</v>
      </c>
    </row>
    <row r="2137" spans="1:13">
      <c r="A2137" s="1">
        <f>HYPERLINK("http://www.twitter.com/NathanBLawrence/status/965041448868630528", "965041448868630528")</f>
        <v/>
      </c>
      <c r="B2137" s="2" t="n">
        <v>43149.07853009259</v>
      </c>
      <c r="C2137" t="n">
        <v>0</v>
      </c>
      <c r="D2137" t="n">
        <v>7708</v>
      </c>
      <c r="E2137" t="s">
        <v>2131</v>
      </c>
      <c r="F2137">
        <f>HYPERLINK("https://video.twimg.com/ext_tw_video/964964887108599808/pu/vid/640x360/BLw8j3FqVRJk1X9j.mp4", "https://video.twimg.com/ext_tw_video/964964887108599808/pu/vid/640x360/BLw8j3FqVRJk1X9j.mp4")</f>
        <v/>
      </c>
      <c r="G2137" t="s"/>
      <c r="H2137" t="s"/>
      <c r="I2137" t="s"/>
      <c r="J2137" t="n">
        <v>-0.2878</v>
      </c>
      <c r="K2137" t="n">
        <v>0.08599999999999999</v>
      </c>
      <c r="L2137" t="n">
        <v>0.914</v>
      </c>
      <c r="M2137" t="n">
        <v>0</v>
      </c>
    </row>
    <row r="2138" spans="1:13">
      <c r="A2138" s="1">
        <f>HYPERLINK("http://www.twitter.com/NathanBLawrence/status/965040908789075969", "965040908789075969")</f>
        <v/>
      </c>
      <c r="B2138" s="2" t="n">
        <v>43149.07703703704</v>
      </c>
      <c r="C2138" t="n">
        <v>0</v>
      </c>
      <c r="D2138" t="n">
        <v>8</v>
      </c>
      <c r="E2138" t="s">
        <v>2132</v>
      </c>
      <c r="F2138">
        <f>HYPERLINK("http://pbs.twimg.com/media/DWRkDjLVAAAw7h1.jpg", "http://pbs.twimg.com/media/DWRkDjLVAAAw7h1.jpg")</f>
        <v/>
      </c>
      <c r="G2138" t="s"/>
      <c r="H2138" t="s"/>
      <c r="I2138" t="s"/>
      <c r="J2138" t="n">
        <v>0</v>
      </c>
      <c r="K2138" t="n">
        <v>0</v>
      </c>
      <c r="L2138" t="n">
        <v>1</v>
      </c>
      <c r="M2138" t="n">
        <v>0</v>
      </c>
    </row>
    <row r="2139" spans="1:13">
      <c r="A2139" s="1">
        <f>HYPERLINK("http://www.twitter.com/NathanBLawrence/status/965040832045821953", "965040832045821953")</f>
        <v/>
      </c>
      <c r="B2139" s="2" t="n">
        <v>43149.07682870371</v>
      </c>
      <c r="C2139" t="n">
        <v>0</v>
      </c>
      <c r="D2139" t="n">
        <v>10</v>
      </c>
      <c r="E2139" t="s">
        <v>2133</v>
      </c>
      <c r="F2139">
        <f>HYPERLINK("http://pbs.twimg.com/media/DWRmyJdUMAEceHr.jpg", "http://pbs.twimg.com/media/DWRmyJdUMAEceHr.jpg")</f>
        <v/>
      </c>
      <c r="G2139" t="s"/>
      <c r="H2139" t="s"/>
      <c r="I2139" t="s"/>
      <c r="J2139" t="n">
        <v>0</v>
      </c>
      <c r="K2139" t="n">
        <v>0</v>
      </c>
      <c r="L2139" t="n">
        <v>1</v>
      </c>
      <c r="M2139" t="n">
        <v>0</v>
      </c>
    </row>
    <row r="2140" spans="1:13">
      <c r="A2140" s="1">
        <f>HYPERLINK("http://www.twitter.com/NathanBLawrence/status/964968274801954817", "964968274801954817")</f>
        <v/>
      </c>
      <c r="B2140" s="2" t="n">
        <v>43148.87660879629</v>
      </c>
      <c r="C2140" t="n">
        <v>0</v>
      </c>
      <c r="D2140" t="n">
        <v>4</v>
      </c>
      <c r="E2140" t="s">
        <v>2134</v>
      </c>
      <c r="F2140">
        <f>HYPERLINK("http://pbs.twimg.com/media/DWIY8JQVwAERqsJ.jpg", "http://pbs.twimg.com/media/DWIY8JQVwAERqsJ.jpg")</f>
        <v/>
      </c>
      <c r="G2140" t="s"/>
      <c r="H2140" t="s"/>
      <c r="I2140" t="s"/>
      <c r="J2140" t="n">
        <v>0</v>
      </c>
      <c r="K2140" t="n">
        <v>0</v>
      </c>
      <c r="L2140" t="n">
        <v>1</v>
      </c>
      <c r="M2140" t="n">
        <v>0</v>
      </c>
    </row>
    <row r="2141" spans="1:13">
      <c r="A2141" s="1">
        <f>HYPERLINK("http://www.twitter.com/NathanBLawrence/status/964967971880931329", "964967971880931329")</f>
        <v/>
      </c>
      <c r="B2141" s="2" t="n">
        <v>43148.87577546296</v>
      </c>
      <c r="C2141" t="n">
        <v>0</v>
      </c>
      <c r="D2141" t="n">
        <v>6</v>
      </c>
      <c r="E2141" t="s">
        <v>2135</v>
      </c>
      <c r="F2141">
        <f>HYPERLINK("http://pbs.twimg.com/media/DWIYujoU0AAz0ks.jpg", "http://pbs.twimg.com/media/DWIYujoU0AAz0ks.jpg")</f>
        <v/>
      </c>
      <c r="G2141" t="s"/>
      <c r="H2141" t="s"/>
      <c r="I2141" t="s"/>
      <c r="J2141" t="n">
        <v>0</v>
      </c>
      <c r="K2141" t="n">
        <v>0</v>
      </c>
      <c r="L2141" t="n">
        <v>1</v>
      </c>
      <c r="M2141" t="n">
        <v>0</v>
      </c>
    </row>
    <row r="2142" spans="1:13">
      <c r="A2142" s="1">
        <f>HYPERLINK("http://www.twitter.com/NathanBLawrence/status/964966236319821825", "964966236319821825")</f>
        <v/>
      </c>
      <c r="B2142" s="2" t="n">
        <v>43148.8709837963</v>
      </c>
      <c r="C2142" t="n">
        <v>0</v>
      </c>
      <c r="D2142" t="n">
        <v>1000</v>
      </c>
      <c r="E2142" t="s">
        <v>2136</v>
      </c>
      <c r="F2142">
        <f>HYPERLINK("http://pbs.twimg.com/media/DT9lr1JVMAABrzA.jpg", "http://pbs.twimg.com/media/DT9lr1JVMAABrzA.jpg")</f>
        <v/>
      </c>
      <c r="G2142" t="s"/>
      <c r="H2142" t="s"/>
      <c r="I2142" t="s"/>
      <c r="J2142" t="n">
        <v>0.5106000000000001</v>
      </c>
      <c r="K2142" t="n">
        <v>0</v>
      </c>
      <c r="L2142" t="n">
        <v>0.602</v>
      </c>
      <c r="M2142" t="n">
        <v>0.398</v>
      </c>
    </row>
    <row r="2143" spans="1:13">
      <c r="A2143" s="1">
        <f>HYPERLINK("http://www.twitter.com/NathanBLawrence/status/964903033267216384", "964903033267216384")</f>
        <v/>
      </c>
      <c r="B2143" s="2" t="n">
        <v>43148.69657407407</v>
      </c>
      <c r="C2143" t="n">
        <v>0</v>
      </c>
      <c r="D2143" t="n">
        <v>4</v>
      </c>
      <c r="E2143" t="s">
        <v>2137</v>
      </c>
      <c r="F2143" t="s"/>
      <c r="G2143" t="s"/>
      <c r="H2143" t="s"/>
      <c r="I2143" t="s"/>
      <c r="J2143" t="n">
        <v>0.0772</v>
      </c>
      <c r="K2143" t="n">
        <v>0</v>
      </c>
      <c r="L2143" t="n">
        <v>0.9419999999999999</v>
      </c>
      <c r="M2143" t="n">
        <v>0.058</v>
      </c>
    </row>
    <row r="2144" spans="1:13">
      <c r="A2144" s="1">
        <f>HYPERLINK("http://www.twitter.com/NathanBLawrence/status/964901818173132800", "964901818173132800")</f>
        <v/>
      </c>
      <c r="B2144" s="2" t="n">
        <v>43148.69322916667</v>
      </c>
      <c r="C2144" t="n">
        <v>0</v>
      </c>
      <c r="D2144" t="n">
        <v>2640</v>
      </c>
      <c r="E2144" t="s">
        <v>2138</v>
      </c>
      <c r="F2144" t="s"/>
      <c r="G2144" t="s"/>
      <c r="H2144" t="s"/>
      <c r="I2144" t="s"/>
      <c r="J2144" t="n">
        <v>-0.7845</v>
      </c>
      <c r="K2144" t="n">
        <v>0.345</v>
      </c>
      <c r="L2144" t="n">
        <v>0.655</v>
      </c>
      <c r="M2144" t="n">
        <v>0</v>
      </c>
    </row>
    <row r="2145" spans="1:13">
      <c r="A2145" s="1">
        <f>HYPERLINK("http://www.twitter.com/NathanBLawrence/status/964883645554135040", "964883645554135040")</f>
        <v/>
      </c>
      <c r="B2145" s="2" t="n">
        <v>43148.6430787037</v>
      </c>
      <c r="C2145" t="n">
        <v>0</v>
      </c>
      <c r="D2145" t="n">
        <v>1376</v>
      </c>
      <c r="E2145" t="s">
        <v>2139</v>
      </c>
      <c r="F2145" t="s"/>
      <c r="G2145" t="s"/>
      <c r="H2145" t="s"/>
      <c r="I2145" t="s"/>
      <c r="J2145" t="n">
        <v>-0.5574</v>
      </c>
      <c r="K2145" t="n">
        <v>0.141</v>
      </c>
      <c r="L2145" t="n">
        <v>0.859</v>
      </c>
      <c r="M2145" t="n">
        <v>0</v>
      </c>
    </row>
    <row r="2146" spans="1:13">
      <c r="A2146" s="1">
        <f>HYPERLINK("http://www.twitter.com/NathanBLawrence/status/964883428809281536", "964883428809281536")</f>
        <v/>
      </c>
      <c r="B2146" s="2" t="n">
        <v>43148.64247685186</v>
      </c>
      <c r="C2146" t="n">
        <v>0</v>
      </c>
      <c r="D2146" t="n">
        <v>72</v>
      </c>
      <c r="E2146" t="s">
        <v>2140</v>
      </c>
      <c r="F2146">
        <f>HYPERLINK("http://pbs.twimg.com/media/DWPyxCbVoAINFyk.jpg", "http://pbs.twimg.com/media/DWPyxCbVoAINFyk.jpg")</f>
        <v/>
      </c>
      <c r="G2146" t="s"/>
      <c r="H2146" t="s"/>
      <c r="I2146" t="s"/>
      <c r="J2146" t="n">
        <v>-0.658</v>
      </c>
      <c r="K2146" t="n">
        <v>0.32</v>
      </c>
      <c r="L2146" t="n">
        <v>0.497</v>
      </c>
      <c r="M2146" t="n">
        <v>0.183</v>
      </c>
    </row>
    <row r="2147" spans="1:13">
      <c r="A2147" s="1">
        <f>HYPERLINK("http://www.twitter.com/NathanBLawrence/status/964873443144556544", "964873443144556544")</f>
        <v/>
      </c>
      <c r="B2147" s="2" t="n">
        <v>43148.61491898148</v>
      </c>
      <c r="C2147" t="n">
        <v>0</v>
      </c>
      <c r="D2147" t="n">
        <v>2634</v>
      </c>
      <c r="E2147" t="s">
        <v>2141</v>
      </c>
      <c r="F2147">
        <f>HYPERLINK("http://pbs.twimg.com/media/DWJpD4jX4AAhAvb.jpg", "http://pbs.twimg.com/media/DWJpD4jX4AAhAvb.jpg")</f>
        <v/>
      </c>
      <c r="G2147" t="s"/>
      <c r="H2147" t="s"/>
      <c r="I2147" t="s"/>
      <c r="J2147" t="n">
        <v>-0.5106000000000001</v>
      </c>
      <c r="K2147" t="n">
        <v>0.136</v>
      </c>
      <c r="L2147" t="n">
        <v>0.864</v>
      </c>
      <c r="M2147" t="n">
        <v>0</v>
      </c>
    </row>
    <row r="2148" spans="1:13">
      <c r="A2148" s="1">
        <f>HYPERLINK("http://www.twitter.com/NathanBLawrence/status/964873079674626048", "964873079674626048")</f>
        <v/>
      </c>
      <c r="B2148" s="2" t="n">
        <v>43148.61392361111</v>
      </c>
      <c r="C2148" t="n">
        <v>0</v>
      </c>
      <c r="D2148" t="n">
        <v>2693</v>
      </c>
      <c r="E2148" t="s">
        <v>2142</v>
      </c>
      <c r="F2148" t="s"/>
      <c r="G2148" t="s"/>
      <c r="H2148" t="s"/>
      <c r="I2148" t="s"/>
      <c r="J2148" t="n">
        <v>0.4939</v>
      </c>
      <c r="K2148" t="n">
        <v>0</v>
      </c>
      <c r="L2148" t="n">
        <v>0.862</v>
      </c>
      <c r="M2148" t="n">
        <v>0.138</v>
      </c>
    </row>
    <row r="2149" spans="1:13">
      <c r="A2149" s="1">
        <f>HYPERLINK("http://www.twitter.com/NathanBLawrence/status/964872939328942080", "964872939328942080")</f>
        <v/>
      </c>
      <c r="B2149" s="2" t="n">
        <v>43148.6135300926</v>
      </c>
      <c r="C2149" t="n">
        <v>0</v>
      </c>
      <c r="D2149" t="n">
        <v>1075</v>
      </c>
      <c r="E2149" t="s">
        <v>2143</v>
      </c>
      <c r="F2149" t="s"/>
      <c r="G2149" t="s"/>
      <c r="H2149" t="s"/>
      <c r="I2149" t="s"/>
      <c r="J2149" t="n">
        <v>0.4019</v>
      </c>
      <c r="K2149" t="n">
        <v>0</v>
      </c>
      <c r="L2149" t="n">
        <v>0.886</v>
      </c>
      <c r="M2149" t="n">
        <v>0.114</v>
      </c>
    </row>
    <row r="2150" spans="1:13">
      <c r="A2150" s="1">
        <f>HYPERLINK("http://www.twitter.com/NathanBLawrence/status/964871852463214592", "964871852463214592")</f>
        <v/>
      </c>
      <c r="B2150" s="2" t="n">
        <v>43148.61053240741</v>
      </c>
      <c r="C2150" t="n">
        <v>0</v>
      </c>
      <c r="D2150" t="n">
        <v>960</v>
      </c>
      <c r="E2150" t="s">
        <v>2144</v>
      </c>
      <c r="F2150" t="s"/>
      <c r="G2150" t="s"/>
      <c r="H2150" t="s"/>
      <c r="I2150" t="s"/>
      <c r="J2150" t="n">
        <v>-0.7824</v>
      </c>
      <c r="K2150" t="n">
        <v>0.3</v>
      </c>
      <c r="L2150" t="n">
        <v>0.7</v>
      </c>
      <c r="M2150" t="n">
        <v>0</v>
      </c>
    </row>
    <row r="2151" spans="1:13">
      <c r="A2151" s="1">
        <f>HYPERLINK("http://www.twitter.com/NathanBLawrence/status/964724525177982976", "964724525177982976")</f>
        <v/>
      </c>
      <c r="B2151" s="2" t="n">
        <v>43148.20399305555</v>
      </c>
      <c r="C2151" t="n">
        <v>0</v>
      </c>
      <c r="D2151" t="n">
        <v>1452</v>
      </c>
      <c r="E2151" t="s">
        <v>2145</v>
      </c>
      <c r="F2151">
        <f>HYPERLINK("http://pbs.twimg.com/media/DWMfwi6V4AAdJ5X.jpg", "http://pbs.twimg.com/media/DWMfwi6V4AAdJ5X.jpg")</f>
        <v/>
      </c>
      <c r="G2151" t="s"/>
      <c r="H2151" t="s"/>
      <c r="I2151" t="s"/>
      <c r="J2151" t="n">
        <v>0</v>
      </c>
      <c r="K2151" t="n">
        <v>0</v>
      </c>
      <c r="L2151" t="n">
        <v>1</v>
      </c>
      <c r="M2151" t="n">
        <v>0</v>
      </c>
    </row>
    <row r="2152" spans="1:13">
      <c r="A2152" s="1">
        <f>HYPERLINK("http://www.twitter.com/NathanBLawrence/status/964693443837652992", "964693443837652992")</f>
        <v/>
      </c>
      <c r="B2152" s="2" t="n">
        <v>43148.11821759259</v>
      </c>
      <c r="C2152" t="n">
        <v>0</v>
      </c>
      <c r="D2152" t="n">
        <v>3214</v>
      </c>
      <c r="E2152" t="s">
        <v>2146</v>
      </c>
      <c r="F2152">
        <f>HYPERLINK("http://pbs.twimg.com/media/DWK3WAcXkAEXsWM.jpg", "http://pbs.twimg.com/media/DWK3WAcXkAEXsWM.jpg")</f>
        <v/>
      </c>
      <c r="G2152" t="s"/>
      <c r="H2152" t="s"/>
      <c r="I2152" t="s"/>
      <c r="J2152" t="n">
        <v>-0.5574</v>
      </c>
      <c r="K2152" t="n">
        <v>0.258</v>
      </c>
      <c r="L2152" t="n">
        <v>0.636</v>
      </c>
      <c r="M2152" t="n">
        <v>0.106</v>
      </c>
    </row>
    <row r="2153" spans="1:13">
      <c r="A2153" s="1">
        <f>HYPERLINK("http://www.twitter.com/NathanBLawrence/status/964692671913709568", "964692671913709568")</f>
        <v/>
      </c>
      <c r="B2153" s="2" t="n">
        <v>43148.11608796296</v>
      </c>
      <c r="C2153" t="n">
        <v>0</v>
      </c>
      <c r="D2153" t="n">
        <v>1354</v>
      </c>
      <c r="E2153" t="s">
        <v>2147</v>
      </c>
      <c r="F2153" t="s"/>
      <c r="G2153" t="s"/>
      <c r="H2153" t="s"/>
      <c r="I2153" t="s"/>
      <c r="J2153" t="n">
        <v>-0.7944</v>
      </c>
      <c r="K2153" t="n">
        <v>0.271</v>
      </c>
      <c r="L2153" t="n">
        <v>0.729</v>
      </c>
      <c r="M2153" t="n">
        <v>0</v>
      </c>
    </row>
    <row r="2154" spans="1:13">
      <c r="A2154" s="1">
        <f>HYPERLINK("http://www.twitter.com/NathanBLawrence/status/964605674725494784", "964605674725494784")</f>
        <v/>
      </c>
      <c r="B2154" s="2" t="n">
        <v>43147.87603009259</v>
      </c>
      <c r="C2154" t="n">
        <v>0</v>
      </c>
      <c r="D2154" t="n">
        <v>9</v>
      </c>
      <c r="E2154" t="s">
        <v>2148</v>
      </c>
      <c r="F2154" t="s"/>
      <c r="G2154" t="s"/>
      <c r="H2154" t="s"/>
      <c r="I2154" t="s"/>
      <c r="J2154" t="n">
        <v>0.2302</v>
      </c>
      <c r="K2154" t="n">
        <v>0.172</v>
      </c>
      <c r="L2154" t="n">
        <v>0.659</v>
      </c>
      <c r="M2154" t="n">
        <v>0.169</v>
      </c>
    </row>
    <row r="2155" spans="1:13">
      <c r="A2155" s="1">
        <f>HYPERLINK("http://www.twitter.com/NathanBLawrence/status/964605370441392128", "964605370441392128")</f>
        <v/>
      </c>
      <c r="B2155" s="2" t="n">
        <v>43147.87518518518</v>
      </c>
      <c r="C2155" t="n">
        <v>0</v>
      </c>
      <c r="D2155" t="n">
        <v>3660</v>
      </c>
      <c r="E2155" t="s">
        <v>2149</v>
      </c>
      <c r="F2155" t="s"/>
      <c r="G2155" t="s"/>
      <c r="H2155" t="s"/>
      <c r="I2155" t="s"/>
      <c r="J2155" t="n">
        <v>-0.7297</v>
      </c>
      <c r="K2155" t="n">
        <v>0.244</v>
      </c>
      <c r="L2155" t="n">
        <v>0.756</v>
      </c>
      <c r="M2155" t="n">
        <v>0</v>
      </c>
    </row>
    <row r="2156" spans="1:13">
      <c r="A2156" s="1">
        <f>HYPERLINK("http://www.twitter.com/NathanBLawrence/status/964599441817784322", "964599441817784322")</f>
        <v/>
      </c>
      <c r="B2156" s="2" t="n">
        <v>43147.85881944445</v>
      </c>
      <c r="C2156" t="n">
        <v>6</v>
      </c>
      <c r="D2156" t="n">
        <v>9</v>
      </c>
      <c r="E2156" t="s">
        <v>2150</v>
      </c>
      <c r="F2156" t="s"/>
      <c r="G2156" t="s"/>
      <c r="H2156" t="s"/>
      <c r="I2156" t="s"/>
      <c r="J2156" t="n">
        <v>0.2302</v>
      </c>
      <c r="K2156" t="n">
        <v>0.094</v>
      </c>
      <c r="L2156" t="n">
        <v>0.8129999999999999</v>
      </c>
      <c r="M2156" t="n">
        <v>0.093</v>
      </c>
    </row>
    <row r="2157" spans="1:13">
      <c r="A2157" s="1">
        <f>HYPERLINK("http://www.twitter.com/NathanBLawrence/status/964576994506739712", "964576994506739712")</f>
        <v/>
      </c>
      <c r="B2157" s="2" t="n">
        <v>43147.79688657408</v>
      </c>
      <c r="C2157" t="n">
        <v>0</v>
      </c>
      <c r="D2157" t="n">
        <v>1</v>
      </c>
      <c r="E2157" t="s">
        <v>2151</v>
      </c>
      <c r="F2157" t="s"/>
      <c r="G2157" t="s"/>
      <c r="H2157" t="s"/>
      <c r="I2157" t="s"/>
      <c r="J2157" t="n">
        <v>0.7778</v>
      </c>
      <c r="K2157" t="n">
        <v>0</v>
      </c>
      <c r="L2157" t="n">
        <v>0.714</v>
      </c>
      <c r="M2157" t="n">
        <v>0.286</v>
      </c>
    </row>
    <row r="2158" spans="1:13">
      <c r="A2158" s="1">
        <f>HYPERLINK("http://www.twitter.com/NathanBLawrence/status/964574652226994176", "964574652226994176")</f>
        <v/>
      </c>
      <c r="B2158" s="2" t="n">
        <v>43147.79041666666</v>
      </c>
      <c r="C2158" t="n">
        <v>0</v>
      </c>
      <c r="D2158" t="n">
        <v>3</v>
      </c>
      <c r="E2158" t="s">
        <v>2152</v>
      </c>
      <c r="F2158" t="s"/>
      <c r="G2158" t="s"/>
      <c r="H2158" t="s"/>
      <c r="I2158" t="s"/>
      <c r="J2158" t="n">
        <v>-0.9056999999999999</v>
      </c>
      <c r="K2158" t="n">
        <v>0.339</v>
      </c>
      <c r="L2158" t="n">
        <v>0.661</v>
      </c>
      <c r="M2158" t="n">
        <v>0</v>
      </c>
    </row>
    <row r="2159" spans="1:13">
      <c r="A2159" s="1">
        <f>HYPERLINK("http://www.twitter.com/NathanBLawrence/status/964574536367792135", "964574536367792135")</f>
        <v/>
      </c>
      <c r="B2159" s="2" t="n">
        <v>43147.79010416667</v>
      </c>
      <c r="C2159" t="n">
        <v>0</v>
      </c>
      <c r="D2159" t="n">
        <v>21</v>
      </c>
      <c r="E2159" t="s">
        <v>2153</v>
      </c>
      <c r="F2159">
        <f>HYPERLINK("http://pbs.twimg.com/media/DWHPtWhX0AEdLqy.jpg", "http://pbs.twimg.com/media/DWHPtWhX0AEdLqy.jpg")</f>
        <v/>
      </c>
      <c r="G2159" t="s"/>
      <c r="H2159" t="s"/>
      <c r="I2159" t="s"/>
      <c r="J2159" t="n">
        <v>0</v>
      </c>
      <c r="K2159" t="n">
        <v>0</v>
      </c>
      <c r="L2159" t="n">
        <v>1</v>
      </c>
      <c r="M2159" t="n">
        <v>0</v>
      </c>
    </row>
    <row r="2160" spans="1:13">
      <c r="A2160" s="1">
        <f>HYPERLINK("http://www.twitter.com/NathanBLawrence/status/964569928102793217", "964569928102793217")</f>
        <v/>
      </c>
      <c r="B2160" s="2" t="n">
        <v>43147.77738425926</v>
      </c>
      <c r="C2160" t="n">
        <v>0</v>
      </c>
      <c r="D2160" t="n">
        <v>74</v>
      </c>
      <c r="E2160" t="s">
        <v>2154</v>
      </c>
      <c r="F2160" t="s"/>
      <c r="G2160" t="s"/>
      <c r="H2160" t="s"/>
      <c r="I2160" t="s"/>
      <c r="J2160" t="n">
        <v>-0.6249</v>
      </c>
      <c r="K2160" t="n">
        <v>0.338</v>
      </c>
      <c r="L2160" t="n">
        <v>0.662</v>
      </c>
      <c r="M2160" t="n">
        <v>0</v>
      </c>
    </row>
    <row r="2161" spans="1:13">
      <c r="A2161" s="1">
        <f>HYPERLINK("http://www.twitter.com/NathanBLawrence/status/964567642211278848", "964567642211278848")</f>
        <v/>
      </c>
      <c r="B2161" s="2" t="n">
        <v>43147.77107638889</v>
      </c>
      <c r="C2161" t="n">
        <v>0</v>
      </c>
      <c r="D2161" t="n">
        <v>1</v>
      </c>
      <c r="E2161" t="s">
        <v>2155</v>
      </c>
      <c r="F2161" t="s"/>
      <c r="G2161" t="s"/>
      <c r="H2161" t="s"/>
      <c r="I2161" t="s"/>
      <c r="J2161" t="n">
        <v>0</v>
      </c>
      <c r="K2161" t="n">
        <v>0</v>
      </c>
      <c r="L2161" t="n">
        <v>1</v>
      </c>
      <c r="M2161" t="n">
        <v>0</v>
      </c>
    </row>
    <row r="2162" spans="1:13">
      <c r="A2162" s="1">
        <f>HYPERLINK("http://www.twitter.com/NathanBLawrence/status/964517993291055110", "964517993291055110")</f>
        <v/>
      </c>
      <c r="B2162" s="2" t="n">
        <v>43147.63407407407</v>
      </c>
      <c r="C2162" t="n">
        <v>0</v>
      </c>
      <c r="D2162" t="n">
        <v>1</v>
      </c>
      <c r="E2162" t="s">
        <v>2156</v>
      </c>
      <c r="F2162">
        <f>HYPERLINK("http://pbs.twimg.com/media/DWKkea9VoAAPw_D.jpg", "http://pbs.twimg.com/media/DWKkea9VoAAPw_D.jpg")</f>
        <v/>
      </c>
      <c r="G2162" t="s"/>
      <c r="H2162" t="s"/>
      <c r="I2162" t="s"/>
      <c r="J2162" t="n">
        <v>-0.34</v>
      </c>
      <c r="K2162" t="n">
        <v>0.194</v>
      </c>
      <c r="L2162" t="n">
        <v>0.806</v>
      </c>
      <c r="M2162" t="n">
        <v>0</v>
      </c>
    </row>
    <row r="2163" spans="1:13">
      <c r="A2163" s="1">
        <f>HYPERLINK("http://www.twitter.com/NathanBLawrence/status/964515933594292234", "964515933594292234")</f>
        <v/>
      </c>
      <c r="B2163" s="2" t="n">
        <v>43147.6283912037</v>
      </c>
      <c r="C2163" t="n">
        <v>0</v>
      </c>
      <c r="D2163" t="n">
        <v>396</v>
      </c>
      <c r="E2163" t="s">
        <v>2157</v>
      </c>
      <c r="F2163">
        <f>HYPERLINK("http://pbs.twimg.com/media/DWKPye0V4AIEyuv.jpg", "http://pbs.twimg.com/media/DWKPye0V4AIEyuv.jpg")</f>
        <v/>
      </c>
      <c r="G2163" t="s"/>
      <c r="H2163" t="s"/>
      <c r="I2163" t="s"/>
      <c r="J2163" t="n">
        <v>-0.4939</v>
      </c>
      <c r="K2163" t="n">
        <v>0.144</v>
      </c>
      <c r="L2163" t="n">
        <v>0.856</v>
      </c>
      <c r="M2163" t="n">
        <v>0</v>
      </c>
    </row>
    <row r="2164" spans="1:13">
      <c r="A2164" s="1">
        <f>HYPERLINK("http://www.twitter.com/NathanBLawrence/status/964515724097196038", "964515724097196038")</f>
        <v/>
      </c>
      <c r="B2164" s="2" t="n">
        <v>43147.6278125</v>
      </c>
      <c r="C2164" t="n">
        <v>0</v>
      </c>
      <c r="D2164" t="n">
        <v>5988</v>
      </c>
      <c r="E2164" t="s">
        <v>2158</v>
      </c>
      <c r="F2164">
        <f>HYPERLINK("https://video.twimg.com/ext_tw_video/963574220792905728/pu/vid/640x360/0003GVq1tkfrhWIw.mp4", "https://video.twimg.com/ext_tw_video/963574220792905728/pu/vid/640x360/0003GVq1tkfrhWIw.mp4")</f>
        <v/>
      </c>
      <c r="G2164" t="s"/>
      <c r="H2164" t="s"/>
      <c r="I2164" t="s"/>
      <c r="J2164" t="n">
        <v>0.7177</v>
      </c>
      <c r="K2164" t="n">
        <v>0</v>
      </c>
      <c r="L2164" t="n">
        <v>0.786</v>
      </c>
      <c r="M2164" t="n">
        <v>0.214</v>
      </c>
    </row>
    <row r="2165" spans="1:13">
      <c r="A2165" s="1">
        <f>HYPERLINK("http://www.twitter.com/NathanBLawrence/status/964515037623865344", "964515037623865344")</f>
        <v/>
      </c>
      <c r="B2165" s="2" t="n">
        <v>43147.62591435185</v>
      </c>
      <c r="C2165" t="n">
        <v>0</v>
      </c>
      <c r="D2165" t="n">
        <v>407</v>
      </c>
      <c r="E2165" t="s">
        <v>2159</v>
      </c>
      <c r="F2165">
        <f>HYPERLINK("http://pbs.twimg.com/media/DWGIgMWVMAAgYqz.jpg", "http://pbs.twimg.com/media/DWGIgMWVMAAgYqz.jpg")</f>
        <v/>
      </c>
      <c r="G2165" t="s"/>
      <c r="H2165" t="s"/>
      <c r="I2165" t="s"/>
      <c r="J2165" t="n">
        <v>0.34</v>
      </c>
      <c r="K2165" t="n">
        <v>0</v>
      </c>
      <c r="L2165" t="n">
        <v>0.893</v>
      </c>
      <c r="M2165" t="n">
        <v>0.107</v>
      </c>
    </row>
    <row r="2166" spans="1:13">
      <c r="A2166" s="1">
        <f>HYPERLINK("http://www.twitter.com/NathanBLawrence/status/964510429711159296", "964510429711159296")</f>
        <v/>
      </c>
      <c r="B2166" s="2" t="n">
        <v>43147.61319444444</v>
      </c>
      <c r="C2166" t="n">
        <v>0</v>
      </c>
      <c r="D2166" t="n">
        <v>2525</v>
      </c>
      <c r="E2166" t="s">
        <v>2160</v>
      </c>
      <c r="F2166">
        <f>HYPERLINK("http://pbs.twimg.com/media/DWFlPySVoAAmkV_.jpg", "http://pbs.twimg.com/media/DWFlPySVoAAmkV_.jpg")</f>
        <v/>
      </c>
      <c r="G2166" t="s"/>
      <c r="H2166" t="s"/>
      <c r="I2166" t="s"/>
      <c r="J2166" t="n">
        <v>0.3182</v>
      </c>
      <c r="K2166" t="n">
        <v>0.089</v>
      </c>
      <c r="L2166" t="n">
        <v>0.738</v>
      </c>
      <c r="M2166" t="n">
        <v>0.173</v>
      </c>
    </row>
    <row r="2167" spans="1:13">
      <c r="A2167" s="1">
        <f>HYPERLINK("http://www.twitter.com/NathanBLawrence/status/964497460252078080", "964497460252078080")</f>
        <v/>
      </c>
      <c r="B2167" s="2" t="n">
        <v>43147.57740740741</v>
      </c>
      <c r="C2167" t="n">
        <v>0</v>
      </c>
      <c r="D2167" t="n">
        <v>384</v>
      </c>
      <c r="E2167" t="s">
        <v>2161</v>
      </c>
      <c r="F2167" t="s"/>
      <c r="G2167" t="s"/>
      <c r="H2167" t="s"/>
      <c r="I2167" t="s"/>
      <c r="J2167" t="n">
        <v>-0.0534</v>
      </c>
      <c r="K2167" t="n">
        <v>0.05</v>
      </c>
      <c r="L2167" t="n">
        <v>0.95</v>
      </c>
      <c r="M2167" t="n">
        <v>0</v>
      </c>
    </row>
    <row r="2168" spans="1:13">
      <c r="A2168" s="1">
        <f>HYPERLINK("http://www.twitter.com/NathanBLawrence/status/964444265471463424", "964444265471463424")</f>
        <v/>
      </c>
      <c r="B2168" s="2" t="n">
        <v>43147.430625</v>
      </c>
      <c r="C2168" t="n">
        <v>0</v>
      </c>
      <c r="D2168" t="n">
        <v>23</v>
      </c>
      <c r="E2168" t="s">
        <v>2162</v>
      </c>
      <c r="F2168" t="s"/>
      <c r="G2168" t="s"/>
      <c r="H2168" t="s"/>
      <c r="I2168" t="s"/>
      <c r="J2168" t="n">
        <v>0</v>
      </c>
      <c r="K2168" t="n">
        <v>0</v>
      </c>
      <c r="L2168" t="n">
        <v>1</v>
      </c>
      <c r="M2168" t="n">
        <v>0</v>
      </c>
    </row>
    <row r="2169" spans="1:13">
      <c r="A2169" s="1">
        <f>HYPERLINK("http://www.twitter.com/NathanBLawrence/status/964434427689320449", "964434427689320449")</f>
        <v/>
      </c>
      <c r="B2169" s="2" t="n">
        <v>43147.40347222222</v>
      </c>
      <c r="C2169" t="n">
        <v>0</v>
      </c>
      <c r="D2169" t="n">
        <v>2</v>
      </c>
      <c r="E2169" t="s">
        <v>2163</v>
      </c>
      <c r="F2169">
        <f>HYPERLINK("http://pbs.twimg.com/media/DWJOxIoVwAEgKiB.jpg", "http://pbs.twimg.com/media/DWJOxIoVwAEgKiB.jpg")</f>
        <v/>
      </c>
      <c r="G2169" t="s"/>
      <c r="H2169" t="s"/>
      <c r="I2169" t="s"/>
      <c r="J2169" t="n">
        <v>0.6369</v>
      </c>
      <c r="K2169" t="n">
        <v>0</v>
      </c>
      <c r="L2169" t="n">
        <v>0.488</v>
      </c>
      <c r="M2169" t="n">
        <v>0.512</v>
      </c>
    </row>
    <row r="2170" spans="1:13">
      <c r="A2170" s="1">
        <f>HYPERLINK("http://www.twitter.com/NathanBLawrence/status/964426795494748160", "964426795494748160")</f>
        <v/>
      </c>
      <c r="B2170" s="2" t="n">
        <v>43147.38240740741</v>
      </c>
      <c r="C2170" t="n">
        <v>0</v>
      </c>
      <c r="D2170" t="n">
        <v>25</v>
      </c>
      <c r="E2170" t="s">
        <v>2164</v>
      </c>
      <c r="F2170" t="s"/>
      <c r="G2170" t="s"/>
      <c r="H2170" t="s"/>
      <c r="I2170" t="s"/>
      <c r="J2170" t="n">
        <v>0</v>
      </c>
      <c r="K2170" t="n">
        <v>0</v>
      </c>
      <c r="L2170" t="n">
        <v>1</v>
      </c>
      <c r="M2170" t="n">
        <v>0</v>
      </c>
    </row>
    <row r="2171" spans="1:13">
      <c r="A2171" s="1">
        <f>HYPERLINK("http://www.twitter.com/NathanBLawrence/status/964420303131615234", "964420303131615234")</f>
        <v/>
      </c>
      <c r="B2171" s="2" t="n">
        <v>43147.36449074074</v>
      </c>
      <c r="C2171" t="n">
        <v>0</v>
      </c>
      <c r="D2171" t="n">
        <v>381</v>
      </c>
      <c r="E2171" t="s">
        <v>2165</v>
      </c>
      <c r="F2171">
        <f>HYPERLINK("https://video.twimg.com/ext_tw_video/964272330909261824/pu/vid/480x480/XFedw7aXDaov4smo.mp4", "https://video.twimg.com/ext_tw_video/964272330909261824/pu/vid/480x480/XFedw7aXDaov4smo.mp4")</f>
        <v/>
      </c>
      <c r="G2171" t="s"/>
      <c r="H2171" t="s"/>
      <c r="I2171" t="s"/>
      <c r="J2171" t="n">
        <v>0.6739000000000001</v>
      </c>
      <c r="K2171" t="n">
        <v>0</v>
      </c>
      <c r="L2171" t="n">
        <v>0.469</v>
      </c>
      <c r="M2171" t="n">
        <v>0.531</v>
      </c>
    </row>
    <row r="2172" spans="1:13">
      <c r="A2172" s="1">
        <f>HYPERLINK("http://www.twitter.com/NathanBLawrence/status/964307510139211781", "964307510139211781")</f>
        <v/>
      </c>
      <c r="B2172" s="2" t="n">
        <v>43147.05325231481</v>
      </c>
      <c r="C2172" t="n">
        <v>0</v>
      </c>
      <c r="D2172" t="n">
        <v>10492</v>
      </c>
      <c r="E2172" t="s">
        <v>2166</v>
      </c>
      <c r="F2172" t="s"/>
      <c r="G2172" t="s"/>
      <c r="H2172" t="s"/>
      <c r="I2172" t="s"/>
      <c r="J2172" t="n">
        <v>0</v>
      </c>
      <c r="K2172" t="n">
        <v>0</v>
      </c>
      <c r="L2172" t="n">
        <v>1</v>
      </c>
      <c r="M2172" t="n">
        <v>0</v>
      </c>
    </row>
    <row r="2173" spans="1:13">
      <c r="A2173" s="1">
        <f>HYPERLINK("http://www.twitter.com/NathanBLawrence/status/964300342631518208", "964300342631518208")</f>
        <v/>
      </c>
      <c r="B2173" s="2" t="n">
        <v>43147.03347222223</v>
      </c>
      <c r="C2173" t="n">
        <v>0</v>
      </c>
      <c r="D2173" t="n">
        <v>17</v>
      </c>
      <c r="E2173" t="s">
        <v>2167</v>
      </c>
      <c r="F2173">
        <f>HYPERLINK("http://pbs.twimg.com/media/DU4dXlUXkAAObsA.jpg", "http://pbs.twimg.com/media/DU4dXlUXkAAObsA.jpg")</f>
        <v/>
      </c>
      <c r="G2173" t="s"/>
      <c r="H2173" t="s"/>
      <c r="I2173" t="s"/>
      <c r="J2173" t="n">
        <v>0</v>
      </c>
      <c r="K2173" t="n">
        <v>0</v>
      </c>
      <c r="L2173" t="n">
        <v>1</v>
      </c>
      <c r="M2173" t="n">
        <v>0</v>
      </c>
    </row>
    <row r="2174" spans="1:13">
      <c r="A2174" s="1">
        <f>HYPERLINK("http://www.twitter.com/NathanBLawrence/status/964263838622388224", "964263838622388224")</f>
        <v/>
      </c>
      <c r="B2174" s="2" t="n">
        <v>43146.93273148148</v>
      </c>
      <c r="C2174" t="n">
        <v>0</v>
      </c>
      <c r="D2174" t="n">
        <v>25</v>
      </c>
      <c r="E2174" t="s">
        <v>2168</v>
      </c>
      <c r="F2174">
        <f>HYPERLINK("http://pbs.twimg.com/media/DWGi3hOVMAEaRNS.jpg", "http://pbs.twimg.com/media/DWGi3hOVMAEaRNS.jpg")</f>
        <v/>
      </c>
      <c r="G2174" t="s"/>
      <c r="H2174" t="s"/>
      <c r="I2174" t="s"/>
      <c r="J2174" t="n">
        <v>0</v>
      </c>
      <c r="K2174" t="n">
        <v>0</v>
      </c>
      <c r="L2174" t="n">
        <v>1</v>
      </c>
      <c r="M2174" t="n">
        <v>0</v>
      </c>
    </row>
    <row r="2175" spans="1:13">
      <c r="A2175" s="1">
        <f>HYPERLINK("http://www.twitter.com/NathanBLawrence/status/964263488511270913", "964263488511270913")</f>
        <v/>
      </c>
      <c r="B2175" s="2" t="n">
        <v>43146.93177083333</v>
      </c>
      <c r="C2175" t="n">
        <v>0</v>
      </c>
      <c r="D2175" t="n">
        <v>779</v>
      </c>
      <c r="E2175" t="s">
        <v>2169</v>
      </c>
      <c r="F2175">
        <f>HYPERLINK("http://pbs.twimg.com/media/DWGyUsQU8AA5LlA.jpg", "http://pbs.twimg.com/media/DWGyUsQU8AA5LlA.jpg")</f>
        <v/>
      </c>
      <c r="G2175" t="s"/>
      <c r="H2175" t="s"/>
      <c r="I2175" t="s"/>
      <c r="J2175" t="n">
        <v>-0.3612</v>
      </c>
      <c r="K2175" t="n">
        <v>0.199</v>
      </c>
      <c r="L2175" t="n">
        <v>0.705</v>
      </c>
      <c r="M2175" t="n">
        <v>0.095</v>
      </c>
    </row>
    <row r="2176" spans="1:13">
      <c r="A2176" s="1">
        <f>HYPERLINK("http://www.twitter.com/NathanBLawrence/status/964202063130431488", "964202063130431488")</f>
        <v/>
      </c>
      <c r="B2176" s="2" t="n">
        <v>43146.76226851852</v>
      </c>
      <c r="C2176" t="n">
        <v>0</v>
      </c>
      <c r="D2176" t="n">
        <v>1888</v>
      </c>
      <c r="E2176" t="s">
        <v>2170</v>
      </c>
      <c r="F2176" t="s"/>
      <c r="G2176" t="s"/>
      <c r="H2176" t="s"/>
      <c r="I2176" t="s"/>
      <c r="J2176" t="n">
        <v>0</v>
      </c>
      <c r="K2176" t="n">
        <v>0</v>
      </c>
      <c r="L2176" t="n">
        <v>1</v>
      </c>
      <c r="M2176" t="n">
        <v>0</v>
      </c>
    </row>
    <row r="2177" spans="1:13">
      <c r="A2177" s="1">
        <f>HYPERLINK("http://www.twitter.com/NathanBLawrence/status/964201885438758912", "964201885438758912")</f>
        <v/>
      </c>
      <c r="B2177" s="2" t="n">
        <v>43146.7617824074</v>
      </c>
      <c r="C2177" t="n">
        <v>0</v>
      </c>
      <c r="D2177" t="n">
        <v>6840</v>
      </c>
      <c r="E2177" t="s">
        <v>2171</v>
      </c>
      <c r="F2177" t="s"/>
      <c r="G2177" t="s"/>
      <c r="H2177" t="s"/>
      <c r="I2177" t="s"/>
      <c r="J2177" t="n">
        <v>0</v>
      </c>
      <c r="K2177" t="n">
        <v>0</v>
      </c>
      <c r="L2177" t="n">
        <v>1</v>
      </c>
      <c r="M2177" t="n">
        <v>0</v>
      </c>
    </row>
    <row r="2178" spans="1:13">
      <c r="A2178" s="1">
        <f>HYPERLINK("http://www.twitter.com/NathanBLawrence/status/964194465169772545", "964194465169772545")</f>
        <v/>
      </c>
      <c r="B2178" s="2" t="n">
        <v>43146.74130787037</v>
      </c>
      <c r="C2178" t="n">
        <v>0</v>
      </c>
      <c r="D2178" t="n">
        <v>19419</v>
      </c>
      <c r="E2178" t="s">
        <v>2172</v>
      </c>
      <c r="F2178">
        <f>HYPERLINK("https://video.twimg.com/amplify_video/964186262801473536/vid/1280x720/17staT_KO_Ol_9WI.mp4", "https://video.twimg.com/amplify_video/964186262801473536/vid/1280x720/17staT_KO_Ol_9WI.mp4")</f>
        <v/>
      </c>
      <c r="G2178" t="s"/>
      <c r="H2178" t="s"/>
      <c r="I2178" t="s"/>
      <c r="J2178" t="n">
        <v>-0.3818</v>
      </c>
      <c r="K2178" t="n">
        <v>0.156</v>
      </c>
      <c r="L2178" t="n">
        <v>0.745</v>
      </c>
      <c r="M2178" t="n">
        <v>0.099</v>
      </c>
    </row>
    <row r="2179" spans="1:13">
      <c r="A2179" s="1">
        <f>HYPERLINK("http://www.twitter.com/NathanBLawrence/status/964194146905939968", "964194146905939968")</f>
        <v/>
      </c>
      <c r="B2179" s="2" t="n">
        <v>43146.74042824074</v>
      </c>
      <c r="C2179" t="n">
        <v>0</v>
      </c>
      <c r="D2179" t="n">
        <v>179</v>
      </c>
      <c r="E2179" t="s">
        <v>2173</v>
      </c>
      <c r="F2179">
        <f>HYPERLINK("http://pbs.twimg.com/media/DWF-DQnX0AAuAWq.jpg", "http://pbs.twimg.com/media/DWF-DQnX0AAuAWq.jpg")</f>
        <v/>
      </c>
      <c r="G2179" t="s"/>
      <c r="H2179" t="s"/>
      <c r="I2179" t="s"/>
      <c r="J2179" t="n">
        <v>0</v>
      </c>
      <c r="K2179" t="n">
        <v>0</v>
      </c>
      <c r="L2179" t="n">
        <v>1</v>
      </c>
      <c r="M2179" t="n">
        <v>0</v>
      </c>
    </row>
    <row r="2180" spans="1:13">
      <c r="A2180" s="1">
        <f>HYPERLINK("http://www.twitter.com/NathanBLawrence/status/963964123947126784", "963964123947126784")</f>
        <v/>
      </c>
      <c r="B2180" s="2" t="n">
        <v>43146.10568287037</v>
      </c>
      <c r="C2180" t="n">
        <v>0</v>
      </c>
      <c r="D2180" t="n">
        <v>77</v>
      </c>
      <c r="E2180" t="s">
        <v>2174</v>
      </c>
      <c r="F2180" t="s"/>
      <c r="G2180" t="s"/>
      <c r="H2180" t="s"/>
      <c r="I2180" t="s"/>
      <c r="J2180" t="n">
        <v>0.5266999999999999</v>
      </c>
      <c r="K2180" t="n">
        <v>0.101</v>
      </c>
      <c r="L2180" t="n">
        <v>0.642</v>
      </c>
      <c r="M2180" t="n">
        <v>0.257</v>
      </c>
    </row>
    <row r="2181" spans="1:13">
      <c r="A2181" s="1">
        <f>HYPERLINK("http://www.twitter.com/NathanBLawrence/status/963961889838510080", "963961889838510080")</f>
        <v/>
      </c>
      <c r="B2181" s="2" t="n">
        <v>43146.09951388889</v>
      </c>
      <c r="C2181" t="n">
        <v>0</v>
      </c>
      <c r="D2181" t="n">
        <v>493</v>
      </c>
      <c r="E2181" t="s">
        <v>2175</v>
      </c>
      <c r="F2181">
        <f>HYPERLINK("http://pbs.twimg.com/media/DWClkmDW4AAsIaY.jpg", "http://pbs.twimg.com/media/DWClkmDW4AAsIaY.jpg")</f>
        <v/>
      </c>
      <c r="G2181" t="s"/>
      <c r="H2181" t="s"/>
      <c r="I2181" t="s"/>
      <c r="J2181" t="n">
        <v>0.7391</v>
      </c>
      <c r="K2181" t="n">
        <v>0.139</v>
      </c>
      <c r="L2181" t="n">
        <v>0.53</v>
      </c>
      <c r="M2181" t="n">
        <v>0.331</v>
      </c>
    </row>
    <row r="2182" spans="1:13">
      <c r="A2182" s="1">
        <f>HYPERLINK("http://www.twitter.com/NathanBLawrence/status/963927463578537984", "963927463578537984")</f>
        <v/>
      </c>
      <c r="B2182" s="2" t="n">
        <v>43146.00451388889</v>
      </c>
      <c r="C2182" t="n">
        <v>0</v>
      </c>
      <c r="D2182" t="n">
        <v>9</v>
      </c>
      <c r="E2182" t="s">
        <v>2176</v>
      </c>
      <c r="F2182" t="s"/>
      <c r="G2182" t="s"/>
      <c r="H2182" t="s"/>
      <c r="I2182" t="s"/>
      <c r="J2182" t="n">
        <v>0.6696</v>
      </c>
      <c r="K2182" t="n">
        <v>0</v>
      </c>
      <c r="L2182" t="n">
        <v>0.522</v>
      </c>
      <c r="M2182" t="n">
        <v>0.478</v>
      </c>
    </row>
    <row r="2183" spans="1:13">
      <c r="A2183" s="1">
        <f>HYPERLINK("http://www.twitter.com/NathanBLawrence/status/963917185512075266", "963917185512075266")</f>
        <v/>
      </c>
      <c r="B2183" s="2" t="n">
        <v>43145.97615740741</v>
      </c>
      <c r="C2183" t="n">
        <v>4</v>
      </c>
      <c r="D2183" t="n">
        <v>2</v>
      </c>
      <c r="E2183" t="s">
        <v>2177</v>
      </c>
      <c r="F2183" t="s"/>
      <c r="G2183" t="s"/>
      <c r="H2183" t="s"/>
      <c r="I2183" t="s"/>
      <c r="J2183" t="n">
        <v>-0.2006</v>
      </c>
      <c r="K2183" t="n">
        <v>0.046</v>
      </c>
      <c r="L2183" t="n">
        <v>0.954</v>
      </c>
      <c r="M2183" t="n">
        <v>0</v>
      </c>
    </row>
    <row r="2184" spans="1:13">
      <c r="A2184" s="1">
        <f>HYPERLINK("http://www.twitter.com/NathanBLawrence/status/963910958564413440", "963910958564413440")</f>
        <v/>
      </c>
      <c r="B2184" s="2" t="n">
        <v>43145.95896990741</v>
      </c>
      <c r="C2184" t="n">
        <v>0</v>
      </c>
      <c r="D2184" t="n">
        <v>0</v>
      </c>
      <c r="E2184" t="s">
        <v>2178</v>
      </c>
      <c r="F2184" t="s"/>
      <c r="G2184" t="s"/>
      <c r="H2184" t="s"/>
      <c r="I2184" t="s"/>
      <c r="J2184" t="n">
        <v>-0.296</v>
      </c>
      <c r="K2184" t="n">
        <v>0.196</v>
      </c>
      <c r="L2184" t="n">
        <v>0.804</v>
      </c>
      <c r="M2184" t="n">
        <v>0</v>
      </c>
    </row>
    <row r="2185" spans="1:13">
      <c r="A2185" s="1">
        <f>HYPERLINK("http://www.twitter.com/NathanBLawrence/status/963910507630604290", "963910507630604290")</f>
        <v/>
      </c>
      <c r="B2185" s="2" t="n">
        <v>43145.95773148148</v>
      </c>
      <c r="C2185" t="n">
        <v>0</v>
      </c>
      <c r="D2185" t="n">
        <v>0</v>
      </c>
      <c r="E2185" t="s">
        <v>2179</v>
      </c>
      <c r="F2185" t="s"/>
      <c r="G2185" t="s"/>
      <c r="H2185" t="s"/>
      <c r="I2185" t="s"/>
      <c r="J2185" t="n">
        <v>-0.5081</v>
      </c>
      <c r="K2185" t="n">
        <v>0.091</v>
      </c>
      <c r="L2185" t="n">
        <v>0.909</v>
      </c>
      <c r="M2185" t="n">
        <v>0</v>
      </c>
    </row>
    <row r="2186" spans="1:13">
      <c r="A2186" s="1">
        <f>HYPERLINK("http://www.twitter.com/NathanBLawrence/status/963903235252727808", "963903235252727808")</f>
        <v/>
      </c>
      <c r="B2186" s="2" t="n">
        <v>43145.93766203704</v>
      </c>
      <c r="C2186" t="n">
        <v>0</v>
      </c>
      <c r="D2186" t="n">
        <v>492</v>
      </c>
      <c r="E2186" t="s">
        <v>2180</v>
      </c>
      <c r="F2186">
        <f>HYPERLINK("http://pbs.twimg.com/media/DWB4QbmVMAAs1nx.jpg", "http://pbs.twimg.com/media/DWB4QbmVMAAs1nx.jpg")</f>
        <v/>
      </c>
      <c r="G2186" t="s"/>
      <c r="H2186" t="s"/>
      <c r="I2186" t="s"/>
      <c r="J2186" t="n">
        <v>0</v>
      </c>
      <c r="K2186" t="n">
        <v>0</v>
      </c>
      <c r="L2186" t="n">
        <v>1</v>
      </c>
      <c r="M2186" t="n">
        <v>0</v>
      </c>
    </row>
    <row r="2187" spans="1:13">
      <c r="A2187" s="1">
        <f>HYPERLINK("http://www.twitter.com/NathanBLawrence/status/963896108236918784", "963896108236918784")</f>
        <v/>
      </c>
      <c r="B2187" s="2" t="n">
        <v>43145.91799768519</v>
      </c>
      <c r="C2187" t="n">
        <v>9</v>
      </c>
      <c r="D2187" t="n">
        <v>10</v>
      </c>
      <c r="E2187" t="s">
        <v>2181</v>
      </c>
      <c r="F2187" t="s"/>
      <c r="G2187" t="s"/>
      <c r="H2187" t="s"/>
      <c r="I2187" t="s"/>
      <c r="J2187" t="n">
        <v>0</v>
      </c>
      <c r="K2187" t="n">
        <v>0</v>
      </c>
      <c r="L2187" t="n">
        <v>1</v>
      </c>
      <c r="M2187" t="n">
        <v>0</v>
      </c>
    </row>
    <row r="2188" spans="1:13">
      <c r="A2188" s="1">
        <f>HYPERLINK("http://www.twitter.com/NathanBLawrence/status/963895775309660160", "963895775309660160")</f>
        <v/>
      </c>
      <c r="B2188" s="2" t="n">
        <v>43145.91707175926</v>
      </c>
      <c r="C2188" t="n">
        <v>0</v>
      </c>
      <c r="D2188" t="n">
        <v>0</v>
      </c>
      <c r="E2188" t="s">
        <v>2182</v>
      </c>
      <c r="F2188" t="s"/>
      <c r="G2188" t="s"/>
      <c r="H2188" t="s"/>
      <c r="I2188" t="s"/>
      <c r="J2188" t="n">
        <v>0</v>
      </c>
      <c r="K2188" t="n">
        <v>0</v>
      </c>
      <c r="L2188" t="n">
        <v>1</v>
      </c>
      <c r="M2188" t="n">
        <v>0</v>
      </c>
    </row>
    <row r="2189" spans="1:13">
      <c r="A2189" s="1">
        <f>HYPERLINK("http://www.twitter.com/NathanBLawrence/status/963831800320659458", "963831800320659458")</f>
        <v/>
      </c>
      <c r="B2189" s="2" t="n">
        <v>43145.74053240741</v>
      </c>
      <c r="C2189" t="n">
        <v>4</v>
      </c>
      <c r="D2189" t="n">
        <v>0</v>
      </c>
      <c r="E2189" t="s">
        <v>2183</v>
      </c>
      <c r="F2189" t="s"/>
      <c r="G2189" t="s"/>
      <c r="H2189" t="s"/>
      <c r="I2189" t="s"/>
      <c r="J2189" t="n">
        <v>0</v>
      </c>
      <c r="K2189" t="n">
        <v>0</v>
      </c>
      <c r="L2189" t="n">
        <v>1</v>
      </c>
      <c r="M2189" t="n">
        <v>0</v>
      </c>
    </row>
    <row r="2190" spans="1:13">
      <c r="A2190" s="1">
        <f>HYPERLINK("http://www.twitter.com/NathanBLawrence/status/963831050635022337", "963831050635022337")</f>
        <v/>
      </c>
      <c r="B2190" s="2" t="n">
        <v>43145.73847222222</v>
      </c>
      <c r="C2190" t="n">
        <v>0</v>
      </c>
      <c r="D2190" t="n">
        <v>2</v>
      </c>
      <c r="E2190" t="s">
        <v>2184</v>
      </c>
      <c r="F2190" t="s"/>
      <c r="G2190" t="s"/>
      <c r="H2190" t="s"/>
      <c r="I2190" t="s"/>
      <c r="J2190" t="n">
        <v>-0.6392</v>
      </c>
      <c r="K2190" t="n">
        <v>0.265</v>
      </c>
      <c r="L2190" t="n">
        <v>0.639</v>
      </c>
      <c r="M2190" t="n">
        <v>0.096</v>
      </c>
    </row>
    <row r="2191" spans="1:13">
      <c r="A2191" s="1">
        <f>HYPERLINK("http://www.twitter.com/NathanBLawrence/status/963830812092391426", "963830812092391426")</f>
        <v/>
      </c>
      <c r="B2191" s="2" t="n">
        <v>43145.7378125</v>
      </c>
      <c r="C2191" t="n">
        <v>0</v>
      </c>
      <c r="D2191" t="n">
        <v>0</v>
      </c>
      <c r="E2191" t="s">
        <v>2183</v>
      </c>
      <c r="F2191" t="s"/>
      <c r="G2191" t="s"/>
      <c r="H2191" t="s"/>
      <c r="I2191" t="s"/>
      <c r="J2191" t="n">
        <v>0</v>
      </c>
      <c r="K2191" t="n">
        <v>0</v>
      </c>
      <c r="L2191" t="n">
        <v>1</v>
      </c>
      <c r="M2191" t="n">
        <v>0</v>
      </c>
    </row>
    <row r="2192" spans="1:13">
      <c r="A2192" s="1">
        <f>HYPERLINK("http://www.twitter.com/NathanBLawrence/status/963825267931303936", "963825267931303936")</f>
        <v/>
      </c>
      <c r="B2192" s="2" t="n">
        <v>43145.72251157407</v>
      </c>
      <c r="C2192" t="n">
        <v>0</v>
      </c>
      <c r="D2192" t="n">
        <v>243</v>
      </c>
      <c r="E2192" t="s">
        <v>2185</v>
      </c>
      <c r="F2192">
        <f>HYPERLINK("http://pbs.twimg.com/media/DV__gDSU8AA-6yn.jpg", "http://pbs.twimg.com/media/DV__gDSU8AA-6yn.jpg")</f>
        <v/>
      </c>
      <c r="G2192" t="s"/>
      <c r="H2192" t="s"/>
      <c r="I2192" t="s"/>
      <c r="J2192" t="n">
        <v>0.743</v>
      </c>
      <c r="K2192" t="n">
        <v>0.191</v>
      </c>
      <c r="L2192" t="n">
        <v>0.477</v>
      </c>
      <c r="M2192" t="n">
        <v>0.332</v>
      </c>
    </row>
    <row r="2193" spans="1:13">
      <c r="A2193" s="1">
        <f>HYPERLINK("http://www.twitter.com/NathanBLawrence/status/963804606613598208", "963804606613598208")</f>
        <v/>
      </c>
      <c r="B2193" s="2" t="n">
        <v>43145.66549768519</v>
      </c>
      <c r="C2193" t="n">
        <v>0</v>
      </c>
      <c r="D2193" t="n">
        <v>356</v>
      </c>
      <c r="E2193" t="s">
        <v>2186</v>
      </c>
      <c r="F2193">
        <f>HYPERLINK("http://pbs.twimg.com/media/DWAa1oXXcAUsN0A.jpg", "http://pbs.twimg.com/media/DWAa1oXXcAUsN0A.jpg")</f>
        <v/>
      </c>
      <c r="G2193" t="s"/>
      <c r="H2193" t="s"/>
      <c r="I2193" t="s"/>
      <c r="J2193" t="n">
        <v>0.4404</v>
      </c>
      <c r="K2193" t="n">
        <v>0</v>
      </c>
      <c r="L2193" t="n">
        <v>0.8179999999999999</v>
      </c>
      <c r="M2193" t="n">
        <v>0.182</v>
      </c>
    </row>
    <row r="2194" spans="1:13">
      <c r="A2194" s="1">
        <f>HYPERLINK("http://www.twitter.com/NathanBLawrence/status/963804004202532864", "963804004202532864")</f>
        <v/>
      </c>
      <c r="B2194" s="2" t="n">
        <v>43145.66383101852</v>
      </c>
      <c r="C2194" t="n">
        <v>0</v>
      </c>
      <c r="D2194" t="n">
        <v>5</v>
      </c>
      <c r="E2194" t="s">
        <v>2187</v>
      </c>
      <c r="F2194" t="s"/>
      <c r="G2194" t="s"/>
      <c r="H2194" t="s"/>
      <c r="I2194" t="s"/>
      <c r="J2194" t="n">
        <v>-0.8824</v>
      </c>
      <c r="K2194" t="n">
        <v>0.377</v>
      </c>
      <c r="L2194" t="n">
        <v>0.506</v>
      </c>
      <c r="M2194" t="n">
        <v>0.117</v>
      </c>
    </row>
    <row r="2195" spans="1:13">
      <c r="A2195" s="1">
        <f>HYPERLINK("http://www.twitter.com/NathanBLawrence/status/963803460389961728", "963803460389961728")</f>
        <v/>
      </c>
      <c r="B2195" s="2" t="n">
        <v>43145.66233796296</v>
      </c>
      <c r="C2195" t="n">
        <v>9</v>
      </c>
      <c r="D2195" t="n">
        <v>5</v>
      </c>
      <c r="E2195" t="s">
        <v>2188</v>
      </c>
      <c r="F2195" t="s"/>
      <c r="G2195" t="s"/>
      <c r="H2195" t="s"/>
      <c r="I2195" t="s"/>
      <c r="J2195" t="n">
        <v>-0.8899</v>
      </c>
      <c r="K2195" t="n">
        <v>0.25</v>
      </c>
      <c r="L2195" t="n">
        <v>0.674</v>
      </c>
      <c r="M2195" t="n">
        <v>0.076</v>
      </c>
    </row>
    <row r="2196" spans="1:13">
      <c r="A2196" s="1">
        <f>HYPERLINK("http://www.twitter.com/NathanBLawrence/status/963595566201622528", "963595566201622528")</f>
        <v/>
      </c>
      <c r="B2196" s="2" t="n">
        <v>43145.08865740741</v>
      </c>
      <c r="C2196" t="n">
        <v>0</v>
      </c>
      <c r="D2196" t="n">
        <v>351</v>
      </c>
      <c r="E2196" t="s">
        <v>2189</v>
      </c>
      <c r="F2196">
        <f>HYPERLINK("http://pbs.twimg.com/media/DV7-dEnW4AE4sHD.jpg", "http://pbs.twimg.com/media/DV7-dEnW4AE4sHD.jpg")</f>
        <v/>
      </c>
      <c r="G2196">
        <f>HYPERLINK("http://pbs.twimg.com/media/DV7-dEoW4AYhef3.jpg", "http://pbs.twimg.com/media/DV7-dEoW4AYhef3.jpg")</f>
        <v/>
      </c>
      <c r="H2196" t="s"/>
      <c r="I2196" t="s"/>
      <c r="J2196" t="n">
        <v>-0.4184</v>
      </c>
      <c r="K2196" t="n">
        <v>0.112</v>
      </c>
      <c r="L2196" t="n">
        <v>0.888</v>
      </c>
      <c r="M2196" t="n">
        <v>0</v>
      </c>
    </row>
    <row r="2197" spans="1:13">
      <c r="A2197" s="1">
        <f>HYPERLINK("http://www.twitter.com/NathanBLawrence/status/963555301529194497", "963555301529194497")</f>
        <v/>
      </c>
      <c r="B2197" s="2" t="n">
        <v>43144.97754629629</v>
      </c>
      <c r="C2197" t="n">
        <v>0</v>
      </c>
      <c r="D2197" t="n">
        <v>47</v>
      </c>
      <c r="E2197" t="s">
        <v>2190</v>
      </c>
      <c r="F2197">
        <f>HYPERLINK("http://pbs.twimg.com/media/DV02jETWsAAg3bU.jpg", "http://pbs.twimg.com/media/DV02jETWsAAg3bU.jpg")</f>
        <v/>
      </c>
      <c r="G2197" t="s"/>
      <c r="H2197" t="s"/>
      <c r="I2197" t="s"/>
      <c r="J2197" t="n">
        <v>0</v>
      </c>
      <c r="K2197" t="n">
        <v>0</v>
      </c>
      <c r="L2197" t="n">
        <v>1</v>
      </c>
      <c r="M2197" t="n">
        <v>0</v>
      </c>
    </row>
    <row r="2198" spans="1:13">
      <c r="A2198" s="1">
        <f>HYPERLINK("http://www.twitter.com/NathanBLawrence/status/963510445284917250", "963510445284917250")</f>
        <v/>
      </c>
      <c r="B2198" s="2" t="n">
        <v>43144.85376157407</v>
      </c>
      <c r="C2198" t="n">
        <v>0</v>
      </c>
      <c r="D2198" t="n">
        <v>323</v>
      </c>
      <c r="E2198" t="s">
        <v>2191</v>
      </c>
      <c r="F2198">
        <f>HYPERLINK("http://pbs.twimg.com/media/DV8Bg_AU8AETiPb.jpg", "http://pbs.twimg.com/media/DV8Bg_AU8AETiPb.jpg")</f>
        <v/>
      </c>
      <c r="G2198" t="s"/>
      <c r="H2198" t="s"/>
      <c r="I2198" t="s"/>
      <c r="J2198" t="n">
        <v>0.0258</v>
      </c>
      <c r="K2198" t="n">
        <v>0.173</v>
      </c>
      <c r="L2198" t="n">
        <v>0.649</v>
      </c>
      <c r="M2198" t="n">
        <v>0.177</v>
      </c>
    </row>
    <row r="2199" spans="1:13">
      <c r="A2199" s="1">
        <f>HYPERLINK("http://www.twitter.com/NathanBLawrence/status/963510334286974976", "963510334286974976")</f>
        <v/>
      </c>
      <c r="B2199" s="2" t="n">
        <v>43144.85346064815</v>
      </c>
      <c r="C2199" t="n">
        <v>0</v>
      </c>
      <c r="D2199" t="n">
        <v>31</v>
      </c>
      <c r="E2199" t="s">
        <v>2192</v>
      </c>
      <c r="F2199">
        <f>HYPERLINK("http://pbs.twimg.com/media/DV8LpuYWsAEkxIg.jpg", "http://pbs.twimg.com/media/DV8LpuYWsAEkxIg.jpg")</f>
        <v/>
      </c>
      <c r="G2199" t="s"/>
      <c r="H2199" t="s"/>
      <c r="I2199" t="s"/>
      <c r="J2199" t="n">
        <v>0.296</v>
      </c>
      <c r="K2199" t="n">
        <v>0</v>
      </c>
      <c r="L2199" t="n">
        <v>0.901</v>
      </c>
      <c r="M2199" t="n">
        <v>0.099</v>
      </c>
    </row>
    <row r="2200" spans="1:13">
      <c r="A2200" s="1">
        <f>HYPERLINK("http://www.twitter.com/NathanBLawrence/status/963508902800379906", "963508902800379906")</f>
        <v/>
      </c>
      <c r="B2200" s="2" t="n">
        <v>43144.84951388889</v>
      </c>
      <c r="C2200" t="n">
        <v>0</v>
      </c>
      <c r="D2200" t="n">
        <v>964</v>
      </c>
      <c r="E2200" t="s">
        <v>2193</v>
      </c>
      <c r="F2200">
        <f>HYPERLINK("http://pbs.twimg.com/media/DV8NHSoWsAAaiFh.jpg", "http://pbs.twimg.com/media/DV8NHSoWsAAaiFh.jpg")</f>
        <v/>
      </c>
      <c r="G2200" t="s"/>
      <c r="H2200" t="s"/>
      <c r="I2200" t="s"/>
      <c r="J2200" t="n">
        <v>0.6369</v>
      </c>
      <c r="K2200" t="n">
        <v>0</v>
      </c>
      <c r="L2200" t="n">
        <v>0.741</v>
      </c>
      <c r="M2200" t="n">
        <v>0.259</v>
      </c>
    </row>
    <row r="2201" spans="1:13">
      <c r="A2201" s="1">
        <f>HYPERLINK("http://www.twitter.com/NathanBLawrence/status/963503382303559681", "963503382303559681")</f>
        <v/>
      </c>
      <c r="B2201" s="2" t="n">
        <v>43144.83428240741</v>
      </c>
      <c r="C2201" t="n">
        <v>1</v>
      </c>
      <c r="D2201" t="n">
        <v>0</v>
      </c>
      <c r="E2201" t="s">
        <v>2194</v>
      </c>
      <c r="F2201" t="s"/>
      <c r="G2201" t="s"/>
      <c r="H2201" t="s"/>
      <c r="I2201" t="s"/>
      <c r="J2201" t="n">
        <v>-0.1852</v>
      </c>
      <c r="K2201" t="n">
        <v>0.147</v>
      </c>
      <c r="L2201" t="n">
        <v>0.676</v>
      </c>
      <c r="M2201" t="n">
        <v>0.177</v>
      </c>
    </row>
    <row r="2202" spans="1:13">
      <c r="A2202" s="1">
        <f>HYPERLINK("http://www.twitter.com/NathanBLawrence/status/963496104774922240", "963496104774922240")</f>
        <v/>
      </c>
      <c r="B2202" s="2" t="n">
        <v>43144.81418981482</v>
      </c>
      <c r="C2202" t="n">
        <v>0</v>
      </c>
      <c r="D2202" t="n">
        <v>7777</v>
      </c>
      <c r="E2202" t="s">
        <v>2195</v>
      </c>
      <c r="F2202">
        <f>HYPERLINK("http://pbs.twimg.com/media/C85zx8ZUwAAPaiZ.jpg", "http://pbs.twimg.com/media/C85zx8ZUwAAPaiZ.jpg")</f>
        <v/>
      </c>
      <c r="G2202" t="s"/>
      <c r="H2202" t="s"/>
      <c r="I2202" t="s"/>
      <c r="J2202" t="n">
        <v>0.754</v>
      </c>
      <c r="K2202" t="n">
        <v>0</v>
      </c>
      <c r="L2202" t="n">
        <v>0.765</v>
      </c>
      <c r="M2202" t="n">
        <v>0.235</v>
      </c>
    </row>
    <row r="2203" spans="1:13">
      <c r="A2203" s="1">
        <f>HYPERLINK("http://www.twitter.com/NathanBLawrence/status/963467182985416704", "963467182985416704")</f>
        <v/>
      </c>
      <c r="B2203" s="2" t="n">
        <v>43144.73438657408</v>
      </c>
      <c r="C2203" t="n">
        <v>0</v>
      </c>
      <c r="D2203" t="n">
        <v>41</v>
      </c>
      <c r="E2203" t="s">
        <v>2196</v>
      </c>
      <c r="F2203">
        <f>HYPERLINK("http://pbs.twimg.com/media/DUK03GeWsAAAQuz.jpg", "http://pbs.twimg.com/media/DUK03GeWsAAAQuz.jpg")</f>
        <v/>
      </c>
      <c r="G2203" t="s"/>
      <c r="H2203" t="s"/>
      <c r="I2203" t="s"/>
      <c r="J2203" t="n">
        <v>0</v>
      </c>
      <c r="K2203" t="n">
        <v>0</v>
      </c>
      <c r="L2203" t="n">
        <v>1</v>
      </c>
      <c r="M2203" t="n">
        <v>0</v>
      </c>
    </row>
    <row r="2204" spans="1:13">
      <c r="A2204" s="1">
        <f>HYPERLINK("http://www.twitter.com/NathanBLawrence/status/963418511338098688", "963418511338098688")</f>
        <v/>
      </c>
      <c r="B2204" s="2" t="n">
        <v>43144.60008101852</v>
      </c>
      <c r="C2204" t="n">
        <v>0</v>
      </c>
      <c r="D2204" t="n">
        <v>45</v>
      </c>
      <c r="E2204" t="s">
        <v>2197</v>
      </c>
      <c r="F2204" t="s"/>
      <c r="G2204" t="s"/>
      <c r="H2204" t="s"/>
      <c r="I2204" t="s"/>
      <c r="J2204" t="n">
        <v>-0.296</v>
      </c>
      <c r="K2204" t="n">
        <v>0.099</v>
      </c>
      <c r="L2204" t="n">
        <v>0.901</v>
      </c>
      <c r="M2204" t="n">
        <v>0</v>
      </c>
    </row>
    <row r="2205" spans="1:13">
      <c r="A2205" s="1">
        <f>HYPERLINK("http://www.twitter.com/NathanBLawrence/status/963416412776796161", "963416412776796161")</f>
        <v/>
      </c>
      <c r="B2205" s="2" t="n">
        <v>43144.59428240741</v>
      </c>
      <c r="C2205" t="n">
        <v>0</v>
      </c>
      <c r="D2205" t="n">
        <v>60</v>
      </c>
      <c r="E2205" t="s">
        <v>2198</v>
      </c>
      <c r="F2205">
        <f>HYPERLINK("http://pbs.twimg.com/media/DV61pGyX0AI96WK.jpg", "http://pbs.twimg.com/media/DV61pGyX0AI96WK.jpg")</f>
        <v/>
      </c>
      <c r="G2205" t="s"/>
      <c r="H2205" t="s"/>
      <c r="I2205" t="s"/>
      <c r="J2205" t="n">
        <v>0.7003</v>
      </c>
      <c r="K2205" t="n">
        <v>0</v>
      </c>
      <c r="L2205" t="n">
        <v>0.784</v>
      </c>
      <c r="M2205" t="n">
        <v>0.216</v>
      </c>
    </row>
    <row r="2206" spans="1:13">
      <c r="A2206" s="1">
        <f>HYPERLINK("http://www.twitter.com/NathanBLawrence/status/963391635605393408", "963391635605393408")</f>
        <v/>
      </c>
      <c r="B2206" s="2" t="n">
        <v>43144.52591435185</v>
      </c>
      <c r="C2206" t="n">
        <v>0</v>
      </c>
      <c r="D2206" t="n">
        <v>70</v>
      </c>
      <c r="E2206" t="s">
        <v>2199</v>
      </c>
      <c r="F2206" t="s"/>
      <c r="G2206" t="s"/>
      <c r="H2206" t="s"/>
      <c r="I2206" t="s"/>
      <c r="J2206" t="n">
        <v>-0.3182</v>
      </c>
      <c r="K2206" t="n">
        <v>0.119</v>
      </c>
      <c r="L2206" t="n">
        <v>0.881</v>
      </c>
      <c r="M2206" t="n">
        <v>0</v>
      </c>
    </row>
    <row r="2207" spans="1:13">
      <c r="A2207" s="1">
        <f>HYPERLINK("http://www.twitter.com/NathanBLawrence/status/963387521030873090", "963387521030873090")</f>
        <v/>
      </c>
      <c r="B2207" s="2" t="n">
        <v>43144.51456018518</v>
      </c>
      <c r="C2207" t="n">
        <v>0</v>
      </c>
      <c r="D2207" t="n">
        <v>9063</v>
      </c>
      <c r="E2207" t="s">
        <v>2200</v>
      </c>
      <c r="F2207" t="s"/>
      <c r="G2207" t="s"/>
      <c r="H2207" t="s"/>
      <c r="I2207" t="s"/>
      <c r="J2207" t="n">
        <v>0.8658</v>
      </c>
      <c r="K2207" t="n">
        <v>0</v>
      </c>
      <c r="L2207" t="n">
        <v>0.65</v>
      </c>
      <c r="M2207" t="n">
        <v>0.35</v>
      </c>
    </row>
    <row r="2208" spans="1:13">
      <c r="A2208" s="1">
        <f>HYPERLINK("http://www.twitter.com/NathanBLawrence/status/963386863795998722", "963386863795998722")</f>
        <v/>
      </c>
      <c r="B2208" s="2" t="n">
        <v>43144.51274305556</v>
      </c>
      <c r="C2208" t="n">
        <v>3</v>
      </c>
      <c r="D2208" t="n">
        <v>3</v>
      </c>
      <c r="E2208" t="s">
        <v>2201</v>
      </c>
      <c r="F2208" t="s"/>
      <c r="G2208" t="s"/>
      <c r="H2208" t="s"/>
      <c r="I2208" t="s"/>
      <c r="J2208" t="n">
        <v>0</v>
      </c>
      <c r="K2208" t="n">
        <v>0</v>
      </c>
      <c r="L2208" t="n">
        <v>1</v>
      </c>
      <c r="M2208" t="n">
        <v>0</v>
      </c>
    </row>
    <row r="2209" spans="1:13">
      <c r="A2209" s="1">
        <f>HYPERLINK("http://www.twitter.com/NathanBLawrence/status/963386698930556930", "963386698930556930")</f>
        <v/>
      </c>
      <c r="B2209" s="2" t="n">
        <v>43144.51229166667</v>
      </c>
      <c r="C2209" t="n">
        <v>0</v>
      </c>
      <c r="D2209" t="n">
        <v>603</v>
      </c>
      <c r="E2209" t="s">
        <v>2202</v>
      </c>
      <c r="F2209" t="s"/>
      <c r="G2209" t="s"/>
      <c r="H2209" t="s"/>
      <c r="I2209" t="s"/>
      <c r="J2209" t="n">
        <v>0.2732</v>
      </c>
      <c r="K2209" t="n">
        <v>0.095</v>
      </c>
      <c r="L2209" t="n">
        <v>0.758</v>
      </c>
      <c r="M2209" t="n">
        <v>0.147</v>
      </c>
    </row>
    <row r="2210" spans="1:13">
      <c r="A2210" s="1">
        <f>HYPERLINK("http://www.twitter.com/NathanBLawrence/status/963386608140595200", "963386608140595200")</f>
        <v/>
      </c>
      <c r="B2210" s="2" t="n">
        <v>43144.51203703704</v>
      </c>
      <c r="C2210" t="n">
        <v>0</v>
      </c>
      <c r="D2210" t="n">
        <v>9</v>
      </c>
      <c r="E2210" t="s">
        <v>2203</v>
      </c>
      <c r="F2210">
        <f>HYPERLINK("http://pbs.twimg.com/media/DV2EMUtVQAAfYDV.jpg", "http://pbs.twimg.com/media/DV2EMUtVQAAfYDV.jpg")</f>
        <v/>
      </c>
      <c r="G2210" t="s"/>
      <c r="H2210" t="s"/>
      <c r="I2210" t="s"/>
      <c r="J2210" t="n">
        <v>0</v>
      </c>
      <c r="K2210" t="n">
        <v>0</v>
      </c>
      <c r="L2210" t="n">
        <v>1</v>
      </c>
      <c r="M2210" t="n">
        <v>0</v>
      </c>
    </row>
    <row r="2211" spans="1:13">
      <c r="A2211" s="1">
        <f>HYPERLINK("http://www.twitter.com/NathanBLawrence/status/963386250416795649", "963386250416795649")</f>
        <v/>
      </c>
      <c r="B2211" s="2" t="n">
        <v>43144.51105324074</v>
      </c>
      <c r="C2211" t="n">
        <v>0</v>
      </c>
      <c r="D2211" t="n">
        <v>5655</v>
      </c>
      <c r="E2211" t="s">
        <v>2204</v>
      </c>
      <c r="F2211">
        <f>HYPERLINK("https://video.twimg.com/ext_tw_video/838606303467548673/pu/vid/240x240/yFilBkm3M0G_tco5.mp4", "https://video.twimg.com/ext_tw_video/838606303467548673/pu/vid/240x240/yFilBkm3M0G_tco5.mp4")</f>
        <v/>
      </c>
      <c r="G2211" t="s"/>
      <c r="H2211" t="s"/>
      <c r="I2211" t="s"/>
      <c r="J2211" t="n">
        <v>0</v>
      </c>
      <c r="K2211" t="n">
        <v>0</v>
      </c>
      <c r="L2211" t="n">
        <v>1</v>
      </c>
      <c r="M2211" t="n">
        <v>0</v>
      </c>
    </row>
    <row r="2212" spans="1:13">
      <c r="A2212" s="1">
        <f>HYPERLINK("http://www.twitter.com/NathanBLawrence/status/963380361995718656", "963380361995718656")</f>
        <v/>
      </c>
      <c r="B2212" s="2" t="n">
        <v>43144.49480324074</v>
      </c>
      <c r="C2212" t="n">
        <v>1</v>
      </c>
      <c r="D2212" t="n">
        <v>0</v>
      </c>
      <c r="E2212" t="s">
        <v>2205</v>
      </c>
      <c r="F2212" t="s"/>
      <c r="G2212" t="s"/>
      <c r="H2212" t="s"/>
      <c r="I2212" t="s"/>
      <c r="J2212" t="n">
        <v>0</v>
      </c>
      <c r="K2212" t="n">
        <v>0</v>
      </c>
      <c r="L2212" t="n">
        <v>1</v>
      </c>
      <c r="M2212" t="n">
        <v>0</v>
      </c>
    </row>
    <row r="2213" spans="1:13">
      <c r="A2213" s="1">
        <f>HYPERLINK("http://www.twitter.com/NathanBLawrence/status/963379816501215232", "963379816501215232")</f>
        <v/>
      </c>
      <c r="B2213" s="2" t="n">
        <v>43144.49329861111</v>
      </c>
      <c r="C2213" t="n">
        <v>9</v>
      </c>
      <c r="D2213" t="n">
        <v>8</v>
      </c>
      <c r="E2213" t="s">
        <v>2206</v>
      </c>
      <c r="F2213" t="s"/>
      <c r="G2213" t="s"/>
      <c r="H2213" t="s"/>
      <c r="I2213" t="s"/>
      <c r="J2213" t="n">
        <v>0.1797</v>
      </c>
      <c r="K2213" t="n">
        <v>0.216</v>
      </c>
      <c r="L2213" t="n">
        <v>0.601</v>
      </c>
      <c r="M2213" t="n">
        <v>0.183</v>
      </c>
    </row>
    <row r="2214" spans="1:13">
      <c r="A2214" s="1">
        <f>HYPERLINK("http://www.twitter.com/NathanBLawrence/status/963266653889990657", "963266653889990657")</f>
        <v/>
      </c>
      <c r="B2214" s="2" t="n">
        <v>43144.18103009259</v>
      </c>
      <c r="C2214" t="n">
        <v>0</v>
      </c>
      <c r="D2214" t="n">
        <v>133</v>
      </c>
      <c r="E2214" t="s">
        <v>2207</v>
      </c>
      <c r="F2214">
        <f>HYPERLINK("http://pbs.twimg.com/media/DV4ykq-VMAAZ_ZM.jpg", "http://pbs.twimg.com/media/DV4ykq-VMAAZ_ZM.jpg")</f>
        <v/>
      </c>
      <c r="G2214" t="s"/>
      <c r="H2214" t="s"/>
      <c r="I2214" t="s"/>
      <c r="J2214" t="n">
        <v>-0.2755</v>
      </c>
      <c r="K2214" t="n">
        <v>0.1</v>
      </c>
      <c r="L2214" t="n">
        <v>0.9</v>
      </c>
      <c r="M2214" t="n">
        <v>0</v>
      </c>
    </row>
    <row r="2215" spans="1:13">
      <c r="A2215" s="1">
        <f>HYPERLINK("http://www.twitter.com/NathanBLawrence/status/963265981433950208", "963265981433950208")</f>
        <v/>
      </c>
      <c r="B2215" s="2" t="n">
        <v>43144.17917824074</v>
      </c>
      <c r="C2215" t="n">
        <v>0</v>
      </c>
      <c r="D2215" t="n">
        <v>2963</v>
      </c>
      <c r="E2215" t="s">
        <v>2208</v>
      </c>
      <c r="F2215">
        <f>HYPERLINK("http://pbs.twimg.com/media/DV2TDKqV4AA8ooi.jpg", "http://pbs.twimg.com/media/DV2TDKqV4AA8ooi.jpg")</f>
        <v/>
      </c>
      <c r="G2215" t="s"/>
      <c r="H2215" t="s"/>
      <c r="I2215" t="s"/>
      <c r="J2215" t="n">
        <v>0.6369</v>
      </c>
      <c r="K2215" t="n">
        <v>0</v>
      </c>
      <c r="L2215" t="n">
        <v>0.756</v>
      </c>
      <c r="M2215" t="n">
        <v>0.244</v>
      </c>
    </row>
    <row r="2216" spans="1:13">
      <c r="A2216" s="1">
        <f>HYPERLINK("http://www.twitter.com/NathanBLawrence/status/963259113798021120", "963259113798021120")</f>
        <v/>
      </c>
      <c r="B2216" s="2" t="n">
        <v>43144.1602199074</v>
      </c>
      <c r="C2216" t="n">
        <v>0</v>
      </c>
      <c r="D2216" t="n">
        <v>8239</v>
      </c>
      <c r="E2216" t="s">
        <v>2209</v>
      </c>
      <c r="F2216">
        <f>HYPERLINK("http://pbs.twimg.com/media/DV3OmjJW0AAsyvM.jpg", "http://pbs.twimg.com/media/DV3OmjJW0AAsyvM.jpg")</f>
        <v/>
      </c>
      <c r="G2216">
        <f>HYPERLINK("http://pbs.twimg.com/media/DV3OorwVQAAsdBG.jpg", "http://pbs.twimg.com/media/DV3OorwVQAAsdBG.jpg")</f>
        <v/>
      </c>
      <c r="H2216">
        <f>HYPERLINK("http://pbs.twimg.com/media/DV3OqGHUQAARxYs.jpg", "http://pbs.twimg.com/media/DV3OqGHUQAARxYs.jpg")</f>
        <v/>
      </c>
      <c r="I2216" t="s"/>
      <c r="J2216" t="n">
        <v>0</v>
      </c>
      <c r="K2216" t="n">
        <v>0</v>
      </c>
      <c r="L2216" t="n">
        <v>1</v>
      </c>
      <c r="M2216" t="n">
        <v>0</v>
      </c>
    </row>
    <row r="2217" spans="1:13">
      <c r="A2217" s="1">
        <f>HYPERLINK("http://www.twitter.com/NathanBLawrence/status/963230373332307968", "963230373332307968")</f>
        <v/>
      </c>
      <c r="B2217" s="2" t="n">
        <v>43144.08091435185</v>
      </c>
      <c r="C2217" t="n">
        <v>0</v>
      </c>
      <c r="D2217" t="n">
        <v>110</v>
      </c>
      <c r="E2217" t="s">
        <v>2210</v>
      </c>
      <c r="F2217">
        <f>HYPERLINK("http://pbs.twimg.com/media/DV4NhDDUQAAW_Kp.jpg", "http://pbs.twimg.com/media/DV4NhDDUQAAW_Kp.jpg")</f>
        <v/>
      </c>
      <c r="G2217" t="s"/>
      <c r="H2217" t="s"/>
      <c r="I2217" t="s"/>
      <c r="J2217" t="n">
        <v>0.1759</v>
      </c>
      <c r="K2217" t="n">
        <v>0.17</v>
      </c>
      <c r="L2217" t="n">
        <v>0.601</v>
      </c>
      <c r="M2217" t="n">
        <v>0.229</v>
      </c>
    </row>
    <row r="2218" spans="1:13">
      <c r="A2218" s="1">
        <f>HYPERLINK("http://www.twitter.com/NathanBLawrence/status/963209809569943552", "963209809569943552")</f>
        <v/>
      </c>
      <c r="B2218" s="2" t="n">
        <v>43144.02416666667</v>
      </c>
      <c r="C2218" t="n">
        <v>0</v>
      </c>
      <c r="D2218" t="n">
        <v>71</v>
      </c>
      <c r="E2218" t="s">
        <v>2211</v>
      </c>
      <c r="F2218" t="s"/>
      <c r="G2218" t="s"/>
      <c r="H2218" t="s"/>
      <c r="I2218" t="s"/>
      <c r="J2218" t="n">
        <v>0</v>
      </c>
      <c r="K2218" t="n">
        <v>0</v>
      </c>
      <c r="L2218" t="n">
        <v>1</v>
      </c>
      <c r="M2218" t="n">
        <v>0</v>
      </c>
    </row>
    <row r="2219" spans="1:13">
      <c r="A2219" s="1">
        <f>HYPERLINK("http://www.twitter.com/NathanBLawrence/status/963209470091423745", "963209470091423745")</f>
        <v/>
      </c>
      <c r="B2219" s="2" t="n">
        <v>43144.02322916667</v>
      </c>
      <c r="C2219" t="n">
        <v>0</v>
      </c>
      <c r="D2219" t="n">
        <v>546</v>
      </c>
      <c r="E2219" t="s">
        <v>2212</v>
      </c>
      <c r="F2219">
        <f>HYPERLINK("http://pbs.twimg.com/media/DV36KqIU0AAzzEN.jpg", "http://pbs.twimg.com/media/DV36KqIU0AAzzEN.jpg")</f>
        <v/>
      </c>
      <c r="G2219" t="s"/>
      <c r="H2219" t="s"/>
      <c r="I2219" t="s"/>
      <c r="J2219" t="n">
        <v>0.6766</v>
      </c>
      <c r="K2219" t="n">
        <v>0</v>
      </c>
      <c r="L2219" t="n">
        <v>0.725</v>
      </c>
      <c r="M2219" t="n">
        <v>0.275</v>
      </c>
    </row>
    <row r="2220" spans="1:13">
      <c r="A2220" s="1">
        <f>HYPERLINK("http://www.twitter.com/NathanBLawrence/status/963188738716299266", "963188738716299266")</f>
        <v/>
      </c>
      <c r="B2220" s="2" t="n">
        <v>43143.96603009259</v>
      </c>
      <c r="C2220" t="n">
        <v>59</v>
      </c>
      <c r="D2220" t="n">
        <v>29</v>
      </c>
      <c r="E2220" t="s">
        <v>2213</v>
      </c>
      <c r="F2220">
        <f>HYPERLINK("http://pbs.twimg.com/media/DV3vDRaU0AEv_Fe.jpg", "http://pbs.twimg.com/media/DV3vDRaU0AEv_Fe.jpg")</f>
        <v/>
      </c>
      <c r="G2220" t="s"/>
      <c r="H2220" t="s"/>
      <c r="I2220" t="s"/>
      <c r="J2220" t="n">
        <v>-0.4767</v>
      </c>
      <c r="K2220" t="n">
        <v>0.119</v>
      </c>
      <c r="L2220" t="n">
        <v>0.881</v>
      </c>
      <c r="M2220" t="n">
        <v>0</v>
      </c>
    </row>
    <row r="2221" spans="1:13">
      <c r="A2221" s="1">
        <f>HYPERLINK("http://www.twitter.com/NathanBLawrence/status/963175247502544905", "963175247502544905")</f>
        <v/>
      </c>
      <c r="B2221" s="2" t="n">
        <v>43143.9287962963</v>
      </c>
      <c r="C2221" t="n">
        <v>0</v>
      </c>
      <c r="D2221" t="n">
        <v>305</v>
      </c>
      <c r="E2221" t="s">
        <v>2214</v>
      </c>
      <c r="F2221" t="s"/>
      <c r="G2221" t="s"/>
      <c r="H2221" t="s"/>
      <c r="I2221" t="s"/>
      <c r="J2221" t="n">
        <v>0.5106000000000001</v>
      </c>
      <c r="K2221" t="n">
        <v>0.105</v>
      </c>
      <c r="L2221" t="n">
        <v>0.608</v>
      </c>
      <c r="M2221" t="n">
        <v>0.287</v>
      </c>
    </row>
    <row r="2222" spans="1:13">
      <c r="A2222" s="1">
        <f>HYPERLINK("http://www.twitter.com/NathanBLawrence/status/963159324313956352", "963159324313956352")</f>
        <v/>
      </c>
      <c r="B2222" s="2" t="n">
        <v>43143.88486111111</v>
      </c>
      <c r="C2222" t="n">
        <v>0</v>
      </c>
      <c r="D2222" t="n">
        <v>27</v>
      </c>
      <c r="E2222" t="s">
        <v>2215</v>
      </c>
      <c r="F2222" t="s"/>
      <c r="G2222" t="s"/>
      <c r="H2222" t="s"/>
      <c r="I2222" t="s"/>
      <c r="J2222" t="n">
        <v>0.0772</v>
      </c>
      <c r="K2222" t="n">
        <v>0.099</v>
      </c>
      <c r="L2222" t="n">
        <v>0.788</v>
      </c>
      <c r="M2222" t="n">
        <v>0.113</v>
      </c>
    </row>
    <row r="2223" spans="1:13">
      <c r="A2223" s="1">
        <f>HYPERLINK("http://www.twitter.com/NathanBLawrence/status/963158633163915264", "963158633163915264")</f>
        <v/>
      </c>
      <c r="B2223" s="2" t="n">
        <v>43143.88295138889</v>
      </c>
      <c r="C2223" t="n">
        <v>0</v>
      </c>
      <c r="D2223" t="n">
        <v>2014</v>
      </c>
      <c r="E2223" t="s">
        <v>2216</v>
      </c>
      <c r="F2223">
        <f>HYPERLINK("http://pbs.twimg.com/media/DV3GuxMVoAAMvSd.jpg", "http://pbs.twimg.com/media/DV3GuxMVoAAMvSd.jpg")</f>
        <v/>
      </c>
      <c r="G2223" t="s"/>
      <c r="H2223" t="s"/>
      <c r="I2223" t="s"/>
      <c r="J2223" t="n">
        <v>0.0644</v>
      </c>
      <c r="K2223" t="n">
        <v>0.06</v>
      </c>
      <c r="L2223" t="n">
        <v>0.87</v>
      </c>
      <c r="M2223" t="n">
        <v>0.07000000000000001</v>
      </c>
    </row>
    <row r="2224" spans="1:13">
      <c r="A2224" s="1">
        <f>HYPERLINK("http://www.twitter.com/NathanBLawrence/status/963158164752379904", "963158164752379904")</f>
        <v/>
      </c>
      <c r="B2224" s="2" t="n">
        <v>43143.88165509259</v>
      </c>
      <c r="C2224" t="n">
        <v>0</v>
      </c>
      <c r="D2224" t="n">
        <v>50</v>
      </c>
      <c r="E2224" t="s">
        <v>2217</v>
      </c>
      <c r="F2224">
        <f>HYPERLINK("http://pbs.twimg.com/media/DQIu66CUQAA9SYr.jpg", "http://pbs.twimg.com/media/DQIu66CUQAA9SYr.jpg")</f>
        <v/>
      </c>
      <c r="G2224" t="s"/>
      <c r="H2224" t="s"/>
      <c r="I2224" t="s"/>
      <c r="J2224" t="n">
        <v>0</v>
      </c>
      <c r="K2224" t="n">
        <v>0</v>
      </c>
      <c r="L2224" t="n">
        <v>1</v>
      </c>
      <c r="M2224" t="n">
        <v>0</v>
      </c>
    </row>
    <row r="2225" spans="1:13">
      <c r="A2225" s="1">
        <f>HYPERLINK("http://www.twitter.com/NathanBLawrence/status/963157917259231232", "963157917259231232")</f>
        <v/>
      </c>
      <c r="B2225" s="2" t="n">
        <v>43143.88097222222</v>
      </c>
      <c r="C2225" t="n">
        <v>0</v>
      </c>
      <c r="D2225" t="n">
        <v>157</v>
      </c>
      <c r="E2225" t="s">
        <v>2218</v>
      </c>
      <c r="F2225">
        <f>HYPERLINK("http://pbs.twimg.com/media/DQIwttpVAAAUHY6.jpg", "http://pbs.twimg.com/media/DQIwttpVAAAUHY6.jpg")</f>
        <v/>
      </c>
      <c r="G2225" t="s"/>
      <c r="H2225" t="s"/>
      <c r="I2225" t="s"/>
      <c r="J2225" t="n">
        <v>0</v>
      </c>
      <c r="K2225" t="n">
        <v>0</v>
      </c>
      <c r="L2225" t="n">
        <v>1</v>
      </c>
      <c r="M2225" t="n">
        <v>0</v>
      </c>
    </row>
    <row r="2226" spans="1:13">
      <c r="A2226" s="1">
        <f>HYPERLINK("http://www.twitter.com/NathanBLawrence/status/963118607864647681", "963118607864647681")</f>
        <v/>
      </c>
      <c r="B2226" s="2" t="n">
        <v>43143.7725</v>
      </c>
      <c r="C2226" t="n">
        <v>0</v>
      </c>
      <c r="D2226" t="n">
        <v>393</v>
      </c>
      <c r="E2226" t="s">
        <v>2219</v>
      </c>
      <c r="F2226" t="s"/>
      <c r="G2226" t="s"/>
      <c r="H2226" t="s"/>
      <c r="I2226" t="s"/>
      <c r="J2226" t="n">
        <v>0.2732</v>
      </c>
      <c r="K2226" t="n">
        <v>0.08599999999999999</v>
      </c>
      <c r="L2226" t="n">
        <v>0.784</v>
      </c>
      <c r="M2226" t="n">
        <v>0.129</v>
      </c>
    </row>
    <row r="2227" spans="1:13">
      <c r="A2227" s="1">
        <f>HYPERLINK("http://www.twitter.com/NathanBLawrence/status/963115703992770560", "963115703992770560")</f>
        <v/>
      </c>
      <c r="B2227" s="2" t="n">
        <v>43143.76449074074</v>
      </c>
      <c r="C2227" t="n">
        <v>0</v>
      </c>
      <c r="D2227" t="n">
        <v>197</v>
      </c>
      <c r="E2227" t="s">
        <v>2220</v>
      </c>
      <c r="F2227" t="s"/>
      <c r="G2227" t="s"/>
      <c r="H2227" t="s"/>
      <c r="I2227" t="s"/>
      <c r="J2227" t="n">
        <v>0.7378</v>
      </c>
      <c r="K2227" t="n">
        <v>0</v>
      </c>
      <c r="L2227" t="n">
        <v>0.762</v>
      </c>
      <c r="M2227" t="n">
        <v>0.238</v>
      </c>
    </row>
    <row r="2228" spans="1:13">
      <c r="A2228" s="1">
        <f>HYPERLINK("http://www.twitter.com/NathanBLawrence/status/963097979065454592", "963097979065454592")</f>
        <v/>
      </c>
      <c r="B2228" s="2" t="n">
        <v>43143.7155787037</v>
      </c>
      <c r="C2228" t="n">
        <v>0</v>
      </c>
      <c r="D2228" t="n">
        <v>138</v>
      </c>
      <c r="E2228" t="s">
        <v>2221</v>
      </c>
      <c r="F2228">
        <f>HYPERLINK("http://pbs.twimg.com/media/DVyanQmU8AE3G-S.jpg", "http://pbs.twimg.com/media/DVyanQmU8AE3G-S.jpg")</f>
        <v/>
      </c>
      <c r="G2228" t="s"/>
      <c r="H2228" t="s"/>
      <c r="I2228" t="s"/>
      <c r="J2228" t="n">
        <v>0.3182</v>
      </c>
      <c r="K2228" t="n">
        <v>0</v>
      </c>
      <c r="L2228" t="n">
        <v>0.905</v>
      </c>
      <c r="M2228" t="n">
        <v>0.095</v>
      </c>
    </row>
    <row r="2229" spans="1:13">
      <c r="A2229" s="1">
        <f>HYPERLINK("http://www.twitter.com/NathanBLawrence/status/963082477479890946", "963082477479890946")</f>
        <v/>
      </c>
      <c r="B2229" s="2" t="n">
        <v>43143.67280092592</v>
      </c>
      <c r="C2229" t="n">
        <v>0</v>
      </c>
      <c r="D2229" t="n">
        <v>2520</v>
      </c>
      <c r="E2229" t="s">
        <v>2222</v>
      </c>
      <c r="F2229">
        <f>HYPERLINK("https://video.twimg.com/ext_tw_video/962762054397554690/pu/vid/540x360/dvRSoAT2mswHnPlU.mp4", "https://video.twimg.com/ext_tw_video/962762054397554690/pu/vid/540x360/dvRSoAT2mswHnPlU.mp4")</f>
        <v/>
      </c>
      <c r="G2229" t="s"/>
      <c r="H2229" t="s"/>
      <c r="I2229" t="s"/>
      <c r="J2229" t="n">
        <v>0.729</v>
      </c>
      <c r="K2229" t="n">
        <v>0</v>
      </c>
      <c r="L2229" t="n">
        <v>0.662</v>
      </c>
      <c r="M2229" t="n">
        <v>0.338</v>
      </c>
    </row>
    <row r="2230" spans="1:13">
      <c r="A2230" s="1">
        <f>HYPERLINK("http://www.twitter.com/NathanBLawrence/status/963070971396743171", "963070971396743171")</f>
        <v/>
      </c>
      <c r="B2230" s="2" t="n">
        <v>43143.64105324074</v>
      </c>
      <c r="C2230" t="n">
        <v>0</v>
      </c>
      <c r="D2230" t="n">
        <v>1</v>
      </c>
      <c r="E2230" t="s">
        <v>2223</v>
      </c>
      <c r="F2230">
        <f>HYPERLINK("http://pbs.twimg.com/media/DUoVW6dVMAEPTpH.jpg", "http://pbs.twimg.com/media/DUoVW6dVMAEPTpH.jpg")</f>
        <v/>
      </c>
      <c r="G2230" t="s"/>
      <c r="H2230" t="s"/>
      <c r="I2230" t="s"/>
      <c r="J2230" t="n">
        <v>0</v>
      </c>
      <c r="K2230" t="n">
        <v>0</v>
      </c>
      <c r="L2230" t="n">
        <v>1</v>
      </c>
      <c r="M2230" t="n">
        <v>0</v>
      </c>
    </row>
    <row r="2231" spans="1:13">
      <c r="A2231" s="1">
        <f>HYPERLINK("http://www.twitter.com/NathanBLawrence/status/963065952274468864", "963065952274468864")</f>
        <v/>
      </c>
      <c r="B2231" s="2" t="n">
        <v>43143.62719907407</v>
      </c>
      <c r="C2231" t="n">
        <v>123</v>
      </c>
      <c r="D2231" t="n">
        <v>71</v>
      </c>
      <c r="E2231" t="s">
        <v>2224</v>
      </c>
      <c r="F2231" t="s"/>
      <c r="G2231" t="s"/>
      <c r="H2231" t="s"/>
      <c r="I2231" t="s"/>
      <c r="J2231" t="n">
        <v>0.874</v>
      </c>
      <c r="K2231" t="n">
        <v>0</v>
      </c>
      <c r="L2231" t="n">
        <v>0.783</v>
      </c>
      <c r="M2231" t="n">
        <v>0.217</v>
      </c>
    </row>
    <row r="2232" spans="1:13">
      <c r="A2232" s="1">
        <f>HYPERLINK("http://www.twitter.com/NathanBLawrence/status/963026519160483840", "963026519160483840")</f>
        <v/>
      </c>
      <c r="B2232" s="2" t="n">
        <v>43143.51837962963</v>
      </c>
      <c r="C2232" t="n">
        <v>0</v>
      </c>
      <c r="D2232" t="n">
        <v>91</v>
      </c>
      <c r="E2232" t="s">
        <v>2225</v>
      </c>
      <c r="F2232">
        <f>HYPERLINK("http://pbs.twimg.com/media/DV0F3f7X0AY0VBG.jpg", "http://pbs.twimg.com/media/DV0F3f7X0AY0VBG.jpg")</f>
        <v/>
      </c>
      <c r="G2232" t="s"/>
      <c r="H2232" t="s"/>
      <c r="I2232" t="s"/>
      <c r="J2232" t="n">
        <v>0</v>
      </c>
      <c r="K2232" t="n">
        <v>0</v>
      </c>
      <c r="L2232" t="n">
        <v>1</v>
      </c>
      <c r="M2232" t="n">
        <v>0</v>
      </c>
    </row>
    <row r="2233" spans="1:13">
      <c r="A2233" s="1">
        <f>HYPERLINK("http://www.twitter.com/NathanBLawrence/status/962888527326466048", "962888527326466048")</f>
        <v/>
      </c>
      <c r="B2233" s="2" t="n">
        <v>43143.13760416667</v>
      </c>
      <c r="C2233" t="n">
        <v>0</v>
      </c>
      <c r="D2233" t="n">
        <v>1101</v>
      </c>
      <c r="E2233" t="s">
        <v>2226</v>
      </c>
      <c r="F2233">
        <f>HYPERLINK("http://pbs.twimg.com/media/DVyPhiiXkAAFYaO.jpg", "http://pbs.twimg.com/media/DVyPhiiXkAAFYaO.jpg")</f>
        <v/>
      </c>
      <c r="G2233" t="s"/>
      <c r="H2233" t="s"/>
      <c r="I2233" t="s"/>
      <c r="J2233" t="n">
        <v>-0.4588</v>
      </c>
      <c r="K2233" t="n">
        <v>0.228</v>
      </c>
      <c r="L2233" t="n">
        <v>0.644</v>
      </c>
      <c r="M2233" t="n">
        <v>0.129</v>
      </c>
    </row>
    <row r="2234" spans="1:13">
      <c r="A2234" s="1">
        <f>HYPERLINK("http://www.twitter.com/NathanBLawrence/status/962888032394403841", "962888032394403841")</f>
        <v/>
      </c>
      <c r="B2234" s="2" t="n">
        <v>43143.13623842593</v>
      </c>
      <c r="C2234" t="n">
        <v>0</v>
      </c>
      <c r="D2234" t="n">
        <v>17921</v>
      </c>
      <c r="E2234" t="s">
        <v>2227</v>
      </c>
      <c r="F2234">
        <f>HYPERLINK("http://pbs.twimg.com/media/DVuapHqUMAAHFTj.jpg", "http://pbs.twimg.com/media/DVuapHqUMAAHFTj.jpg")</f>
        <v/>
      </c>
      <c r="G2234" t="s"/>
      <c r="H2234" t="s"/>
      <c r="I2234" t="s"/>
      <c r="J2234" t="n">
        <v>0.5106000000000001</v>
      </c>
      <c r="K2234" t="n">
        <v>0</v>
      </c>
      <c r="L2234" t="n">
        <v>0.879</v>
      </c>
      <c r="M2234" t="n">
        <v>0.121</v>
      </c>
    </row>
    <row r="2235" spans="1:13">
      <c r="A2235" s="1">
        <f>HYPERLINK("http://www.twitter.com/NathanBLawrence/status/962867939916513281", "962867939916513281")</f>
        <v/>
      </c>
      <c r="B2235" s="2" t="n">
        <v>43143.08078703703</v>
      </c>
      <c r="C2235" t="n">
        <v>0</v>
      </c>
      <c r="D2235" t="n">
        <v>0</v>
      </c>
      <c r="E2235" t="s">
        <v>2228</v>
      </c>
      <c r="F2235" t="s"/>
      <c r="G2235" t="s"/>
      <c r="H2235" t="s"/>
      <c r="I2235" t="s"/>
      <c r="J2235" t="n">
        <v>0</v>
      </c>
      <c r="K2235" t="n">
        <v>0</v>
      </c>
      <c r="L2235" t="n">
        <v>1</v>
      </c>
      <c r="M2235" t="n">
        <v>0</v>
      </c>
    </row>
    <row r="2236" spans="1:13">
      <c r="A2236" s="1">
        <f>HYPERLINK("http://www.twitter.com/NathanBLawrence/status/962867635921793026", "962867635921793026")</f>
        <v/>
      </c>
      <c r="B2236" s="2" t="n">
        <v>43143.0799537037</v>
      </c>
      <c r="C2236" t="n">
        <v>24</v>
      </c>
      <c r="D2236" t="n">
        <v>19</v>
      </c>
      <c r="E2236" t="s">
        <v>2229</v>
      </c>
      <c r="F2236" t="s"/>
      <c r="G2236" t="s"/>
      <c r="H2236" t="s"/>
      <c r="I2236" t="s"/>
      <c r="J2236" t="n">
        <v>-0.4588</v>
      </c>
      <c r="K2236" t="n">
        <v>0.138</v>
      </c>
      <c r="L2236" t="n">
        <v>0.862</v>
      </c>
      <c r="M2236" t="n">
        <v>0</v>
      </c>
    </row>
    <row r="2237" spans="1:13">
      <c r="A2237" s="1">
        <f>HYPERLINK("http://www.twitter.com/NathanBLawrence/status/962859063376793600", "962859063376793600")</f>
        <v/>
      </c>
      <c r="B2237" s="2" t="n">
        <v>43143.05629629629</v>
      </c>
      <c r="C2237" t="n">
        <v>0</v>
      </c>
      <c r="D2237" t="n">
        <v>339</v>
      </c>
      <c r="E2237" t="s">
        <v>2230</v>
      </c>
      <c r="F2237">
        <f>HYPERLINK("http://pbs.twimg.com/media/DVy63NbXUAEfZ7l.jpg", "http://pbs.twimg.com/media/DVy63NbXUAEfZ7l.jpg")</f>
        <v/>
      </c>
      <c r="G2237" t="s"/>
      <c r="H2237" t="s"/>
      <c r="I2237" t="s"/>
      <c r="J2237" t="n">
        <v>-0.296</v>
      </c>
      <c r="K2237" t="n">
        <v>0.104</v>
      </c>
      <c r="L2237" t="n">
        <v>0.896</v>
      </c>
      <c r="M2237" t="n">
        <v>0</v>
      </c>
    </row>
    <row r="2238" spans="1:13">
      <c r="A2238" s="1">
        <f>HYPERLINK("http://www.twitter.com/NathanBLawrence/status/962845651355791360", "962845651355791360")</f>
        <v/>
      </c>
      <c r="B2238" s="2" t="n">
        <v>43143.0192824074</v>
      </c>
      <c r="C2238" t="n">
        <v>0</v>
      </c>
      <c r="D2238" t="n">
        <v>4481</v>
      </c>
      <c r="E2238" t="s">
        <v>2231</v>
      </c>
      <c r="F2238">
        <f>HYPERLINK("http://pbs.twimg.com/media/DVswri5UMAAdZz6.jpg", "http://pbs.twimg.com/media/DVswri5UMAAdZz6.jpg")</f>
        <v/>
      </c>
      <c r="G2238" t="s"/>
      <c r="H2238" t="s"/>
      <c r="I2238" t="s"/>
      <c r="J2238" t="n">
        <v>0.5106000000000001</v>
      </c>
      <c r="K2238" t="n">
        <v>0</v>
      </c>
      <c r="L2238" t="n">
        <v>0.829</v>
      </c>
      <c r="M2238" t="n">
        <v>0.171</v>
      </c>
    </row>
    <row r="2239" spans="1:13">
      <c r="A2239" s="1">
        <f>HYPERLINK("http://www.twitter.com/NathanBLawrence/status/962798196815785984", "962798196815785984")</f>
        <v/>
      </c>
      <c r="B2239" s="2" t="n">
        <v>43142.88833333334</v>
      </c>
      <c r="C2239" t="n">
        <v>0</v>
      </c>
      <c r="D2239" t="n">
        <v>1517</v>
      </c>
      <c r="E2239" t="s">
        <v>2232</v>
      </c>
      <c r="F2239" t="s"/>
      <c r="G2239" t="s"/>
      <c r="H2239" t="s"/>
      <c r="I2239" t="s"/>
      <c r="J2239" t="n">
        <v>0.128</v>
      </c>
      <c r="K2239" t="n">
        <v>0.076</v>
      </c>
      <c r="L2239" t="n">
        <v>0.83</v>
      </c>
      <c r="M2239" t="n">
        <v>0.093</v>
      </c>
    </row>
    <row r="2240" spans="1:13">
      <c r="A2240" s="1">
        <f>HYPERLINK("http://www.twitter.com/NathanBLawrence/status/962746160644546563", "962746160644546563")</f>
        <v/>
      </c>
      <c r="B2240" s="2" t="n">
        <v>43142.74474537037</v>
      </c>
      <c r="C2240" t="n">
        <v>0</v>
      </c>
      <c r="D2240" t="n">
        <v>332</v>
      </c>
      <c r="E2240" t="s">
        <v>2233</v>
      </c>
      <c r="F2240" t="s"/>
      <c r="G2240" t="s"/>
      <c r="H2240" t="s"/>
      <c r="I2240" t="s"/>
      <c r="J2240" t="n">
        <v>0.4694</v>
      </c>
      <c r="K2240" t="n">
        <v>0.156</v>
      </c>
      <c r="L2240" t="n">
        <v>0.601</v>
      </c>
      <c r="M2240" t="n">
        <v>0.243</v>
      </c>
    </row>
    <row r="2241" spans="1:13">
      <c r="A2241" s="1">
        <f>HYPERLINK("http://www.twitter.com/NathanBLawrence/status/962745299000266752", "962745299000266752")</f>
        <v/>
      </c>
      <c r="B2241" s="2" t="n">
        <v>43142.74236111111</v>
      </c>
      <c r="C2241" t="n">
        <v>0</v>
      </c>
      <c r="D2241" t="n">
        <v>1957</v>
      </c>
      <c r="E2241" t="s">
        <v>2234</v>
      </c>
      <c r="F2241">
        <f>HYPERLINK("http://pbs.twimg.com/media/DVxWF_YWkAAk888.jpg", "http://pbs.twimg.com/media/DVxWF_YWkAAk888.jpg")</f>
        <v/>
      </c>
      <c r="G2241" t="s"/>
      <c r="H2241" t="s"/>
      <c r="I2241" t="s"/>
      <c r="J2241" t="n">
        <v>-0.3182</v>
      </c>
      <c r="K2241" t="n">
        <v>0.199</v>
      </c>
      <c r="L2241" t="n">
        <v>0.664</v>
      </c>
      <c r="M2241" t="n">
        <v>0.137</v>
      </c>
    </row>
    <row r="2242" spans="1:13">
      <c r="A2242" s="1">
        <f>HYPERLINK("http://www.twitter.com/NathanBLawrence/status/962739611826040834", "962739611826040834")</f>
        <v/>
      </c>
      <c r="B2242" s="2" t="n">
        <v>43142.72666666667</v>
      </c>
      <c r="C2242" t="n">
        <v>0</v>
      </c>
      <c r="D2242" t="n">
        <v>148</v>
      </c>
      <c r="E2242" t="s">
        <v>2235</v>
      </c>
      <c r="F2242">
        <f>HYPERLINK("http://pbs.twimg.com/media/DVxA26MVAAEdHIo.jpg", "http://pbs.twimg.com/media/DVxA26MVAAEdHIo.jpg")</f>
        <v/>
      </c>
      <c r="G2242" t="s"/>
      <c r="H2242" t="s"/>
      <c r="I2242" t="s"/>
      <c r="J2242" t="n">
        <v>0.3612</v>
      </c>
      <c r="K2242" t="n">
        <v>0</v>
      </c>
      <c r="L2242" t="n">
        <v>0.884</v>
      </c>
      <c r="M2242" t="n">
        <v>0.116</v>
      </c>
    </row>
    <row r="2243" spans="1:13">
      <c r="A2243" s="1">
        <f>HYPERLINK("http://www.twitter.com/NathanBLawrence/status/962733522455814145", "962733522455814145")</f>
        <v/>
      </c>
      <c r="B2243" s="2" t="n">
        <v>43142.70987268518</v>
      </c>
      <c r="C2243" t="n">
        <v>0</v>
      </c>
      <c r="D2243" t="n">
        <v>165</v>
      </c>
      <c r="E2243" t="s">
        <v>2236</v>
      </c>
      <c r="F2243" t="s"/>
      <c r="G2243" t="s"/>
      <c r="H2243" t="s"/>
      <c r="I2243" t="s"/>
      <c r="J2243" t="n">
        <v>-0.4767</v>
      </c>
      <c r="K2243" t="n">
        <v>0.129</v>
      </c>
      <c r="L2243" t="n">
        <v>0.871</v>
      </c>
      <c r="M2243" t="n">
        <v>0</v>
      </c>
    </row>
    <row r="2244" spans="1:13">
      <c r="A2244" s="1">
        <f>HYPERLINK("http://www.twitter.com/NathanBLawrence/status/962717743593246720", "962717743593246720")</f>
        <v/>
      </c>
      <c r="B2244" s="2" t="n">
        <v>43142.66633101852</v>
      </c>
      <c r="C2244" t="n">
        <v>0</v>
      </c>
      <c r="D2244" t="n">
        <v>394</v>
      </c>
      <c r="E2244" t="s">
        <v>2237</v>
      </c>
      <c r="F2244">
        <f>HYPERLINK("https://video.twimg.com/amplify_video/962677912293007360/vid/640x360/Ppl3iPgRETEPzKXk.mp4", "https://video.twimg.com/amplify_video/962677912293007360/vid/640x360/Ppl3iPgRETEPzKXk.mp4")</f>
        <v/>
      </c>
      <c r="G2244" t="s"/>
      <c r="H2244" t="s"/>
      <c r="I2244" t="s"/>
      <c r="J2244" t="n">
        <v>-0.3818</v>
      </c>
      <c r="K2244" t="n">
        <v>0.178</v>
      </c>
      <c r="L2244" t="n">
        <v>0.822</v>
      </c>
      <c r="M2244" t="n">
        <v>0</v>
      </c>
    </row>
    <row r="2245" spans="1:13">
      <c r="A2245" s="1">
        <f>HYPERLINK("http://www.twitter.com/NathanBLawrence/status/962717561145176065", "962717561145176065")</f>
        <v/>
      </c>
      <c r="B2245" s="2" t="n">
        <v>43142.66582175926</v>
      </c>
      <c r="C2245" t="n">
        <v>0</v>
      </c>
      <c r="D2245" t="n">
        <v>1545</v>
      </c>
      <c r="E2245" t="s">
        <v>2238</v>
      </c>
      <c r="F2245">
        <f>HYPERLINK("https://video.twimg.com/amplify_video/962649992652615680/vid/640x360/znE2Nb9nABiAiLoj.mp4", "https://video.twimg.com/amplify_video/962649992652615680/vid/640x360/znE2Nb9nABiAiLoj.mp4")</f>
        <v/>
      </c>
      <c r="G2245" t="s"/>
      <c r="H2245" t="s"/>
      <c r="I2245" t="s"/>
      <c r="J2245" t="n">
        <v>-0.3595</v>
      </c>
      <c r="K2245" t="n">
        <v>0.102</v>
      </c>
      <c r="L2245" t="n">
        <v>0.898</v>
      </c>
      <c r="M2245" t="n">
        <v>0</v>
      </c>
    </row>
    <row r="2246" spans="1:13">
      <c r="A2246" s="1">
        <f>HYPERLINK("http://www.twitter.com/NathanBLawrence/status/962712700299169792", "962712700299169792")</f>
        <v/>
      </c>
      <c r="B2246" s="2" t="n">
        <v>43142.6524074074</v>
      </c>
      <c r="C2246" t="n">
        <v>0</v>
      </c>
      <c r="D2246" t="n">
        <v>92</v>
      </c>
      <c r="E2246" t="s">
        <v>2239</v>
      </c>
      <c r="F2246">
        <f>HYPERLINK("http://pbs.twimg.com/media/DVuNBj7W0AAfYSV.jpg", "http://pbs.twimg.com/media/DVuNBj7W0AAfYSV.jpg")</f>
        <v/>
      </c>
      <c r="G2246" t="s"/>
      <c r="H2246" t="s"/>
      <c r="I2246" t="s"/>
      <c r="J2246" t="n">
        <v>0</v>
      </c>
      <c r="K2246" t="n">
        <v>0</v>
      </c>
      <c r="L2246" t="n">
        <v>1</v>
      </c>
      <c r="M2246" t="n">
        <v>0</v>
      </c>
    </row>
    <row r="2247" spans="1:13">
      <c r="A2247" s="1">
        <f>HYPERLINK("http://www.twitter.com/NathanBLawrence/status/962712486385537027", "962712486385537027")</f>
        <v/>
      </c>
      <c r="B2247" s="2" t="n">
        <v>43142.65181712963</v>
      </c>
      <c r="C2247" t="n">
        <v>0</v>
      </c>
      <c r="D2247" t="n">
        <v>1</v>
      </c>
      <c r="E2247" t="s">
        <v>2240</v>
      </c>
      <c r="F2247" t="s"/>
      <c r="G2247" t="s"/>
      <c r="H2247" t="s"/>
      <c r="I2247" t="s"/>
      <c r="J2247" t="n">
        <v>0.533</v>
      </c>
      <c r="K2247" t="n">
        <v>0</v>
      </c>
      <c r="L2247" t="n">
        <v>0.823</v>
      </c>
      <c r="M2247" t="n">
        <v>0.177</v>
      </c>
    </row>
    <row r="2248" spans="1:13">
      <c r="A2248" s="1">
        <f>HYPERLINK("http://www.twitter.com/NathanBLawrence/status/962708987543277568", "962708987543277568")</f>
        <v/>
      </c>
      <c r="B2248" s="2" t="n">
        <v>43142.64216435186</v>
      </c>
      <c r="C2248" t="n">
        <v>0</v>
      </c>
      <c r="D2248" t="n">
        <v>1</v>
      </c>
      <c r="E2248" t="s">
        <v>2241</v>
      </c>
      <c r="F2248" t="s"/>
      <c r="G2248" t="s"/>
      <c r="H2248" t="s"/>
      <c r="I2248" t="s"/>
      <c r="J2248" t="n">
        <v>-0.6068</v>
      </c>
      <c r="K2248" t="n">
        <v>0.207</v>
      </c>
      <c r="L2248" t="n">
        <v>0.793</v>
      </c>
      <c r="M2248" t="n">
        <v>0</v>
      </c>
    </row>
    <row r="2249" spans="1:13">
      <c r="A2249" s="1">
        <f>HYPERLINK("http://www.twitter.com/NathanBLawrence/status/962419928514121729", "962419928514121729")</f>
        <v/>
      </c>
      <c r="B2249" s="2" t="n">
        <v>43141.84451388889</v>
      </c>
      <c r="C2249" t="n">
        <v>0</v>
      </c>
      <c r="D2249" t="n">
        <v>1292</v>
      </c>
      <c r="E2249" t="s">
        <v>2242</v>
      </c>
      <c r="F2249" t="s"/>
      <c r="G2249" t="s"/>
      <c r="H2249" t="s"/>
      <c r="I2249" t="s"/>
      <c r="J2249" t="n">
        <v>-0.7865</v>
      </c>
      <c r="K2249" t="n">
        <v>0.278</v>
      </c>
      <c r="L2249" t="n">
        <v>0.722</v>
      </c>
      <c r="M2249" t="n">
        <v>0</v>
      </c>
    </row>
    <row r="2250" spans="1:13">
      <c r="A2250" s="1">
        <f>HYPERLINK("http://www.twitter.com/NathanBLawrence/status/962416389729476608", "962416389729476608")</f>
        <v/>
      </c>
      <c r="B2250" s="2" t="n">
        <v>43141.83474537037</v>
      </c>
      <c r="C2250" t="n">
        <v>0</v>
      </c>
      <c r="D2250" t="n">
        <v>21</v>
      </c>
      <c r="E2250" t="s">
        <v>2243</v>
      </c>
      <c r="F2250">
        <f>HYPERLINK("http://pbs.twimg.com/media/DVsFIwIX4AAuNM0.jpg", "http://pbs.twimg.com/media/DVsFIwIX4AAuNM0.jpg")</f>
        <v/>
      </c>
      <c r="G2250" t="s"/>
      <c r="H2250" t="s"/>
      <c r="I2250" t="s"/>
      <c r="J2250" t="n">
        <v>0.4404</v>
      </c>
      <c r="K2250" t="n">
        <v>0</v>
      </c>
      <c r="L2250" t="n">
        <v>0.868</v>
      </c>
      <c r="M2250" t="n">
        <v>0.132</v>
      </c>
    </row>
    <row r="2251" spans="1:13">
      <c r="A2251" s="1">
        <f>HYPERLINK("http://www.twitter.com/NathanBLawrence/status/962393115129761798", "962393115129761798")</f>
        <v/>
      </c>
      <c r="B2251" s="2" t="n">
        <v>43141.77052083334</v>
      </c>
      <c r="C2251" t="n">
        <v>0</v>
      </c>
      <c r="D2251" t="n">
        <v>10</v>
      </c>
      <c r="E2251" t="s">
        <v>2244</v>
      </c>
      <c r="F2251">
        <f>HYPERLINK("http://pbs.twimg.com/media/DVsJMPFU0AAEzco.jpg", "http://pbs.twimg.com/media/DVsJMPFU0AAEzco.jpg")</f>
        <v/>
      </c>
      <c r="G2251" t="s"/>
      <c r="H2251" t="s"/>
      <c r="I2251" t="s"/>
      <c r="J2251" t="n">
        <v>-0.7351</v>
      </c>
      <c r="K2251" t="n">
        <v>0.292</v>
      </c>
      <c r="L2251" t="n">
        <v>0.708</v>
      </c>
      <c r="M2251" t="n">
        <v>0</v>
      </c>
    </row>
    <row r="2252" spans="1:13">
      <c r="A2252" s="1">
        <f>HYPERLINK("http://www.twitter.com/NathanBLawrence/status/962385826092146689", "962385826092146689")</f>
        <v/>
      </c>
      <c r="B2252" s="2" t="n">
        <v>43141.75040509259</v>
      </c>
      <c r="C2252" t="n">
        <v>0</v>
      </c>
      <c r="D2252" t="n">
        <v>42</v>
      </c>
      <c r="E2252" t="s">
        <v>2245</v>
      </c>
      <c r="F2252">
        <f>HYPERLINK("http://pbs.twimg.com/media/DVsOYxMXcAEt4cp.jpg", "http://pbs.twimg.com/media/DVsOYxMXcAEt4cp.jpg")</f>
        <v/>
      </c>
      <c r="G2252" t="s"/>
      <c r="H2252" t="s"/>
      <c r="I2252" t="s"/>
      <c r="J2252" t="n">
        <v>0</v>
      </c>
      <c r="K2252" t="n">
        <v>0</v>
      </c>
      <c r="L2252" t="n">
        <v>1</v>
      </c>
      <c r="M2252" t="n">
        <v>0</v>
      </c>
    </row>
    <row r="2253" spans="1:13">
      <c r="A2253" s="1">
        <f>HYPERLINK("http://www.twitter.com/NathanBLawrence/status/962385146656804866", "962385146656804866")</f>
        <v/>
      </c>
      <c r="B2253" s="2" t="n">
        <v>43141.74853009259</v>
      </c>
      <c r="C2253" t="n">
        <v>0</v>
      </c>
      <c r="D2253" t="n">
        <v>14</v>
      </c>
      <c r="E2253" t="s">
        <v>2246</v>
      </c>
      <c r="F2253" t="s"/>
      <c r="G2253" t="s"/>
      <c r="H2253" t="s"/>
      <c r="I2253" t="s"/>
      <c r="J2253" t="n">
        <v>0.6696</v>
      </c>
      <c r="K2253" t="n">
        <v>0</v>
      </c>
      <c r="L2253" t="n">
        <v>0.728</v>
      </c>
      <c r="M2253" t="n">
        <v>0.272</v>
      </c>
    </row>
    <row r="2254" spans="1:13">
      <c r="A2254" s="1">
        <f>HYPERLINK("http://www.twitter.com/NathanBLawrence/status/962382638848921601", "962382638848921601")</f>
        <v/>
      </c>
      <c r="B2254" s="2" t="n">
        <v>43141.7416087963</v>
      </c>
      <c r="C2254" t="n">
        <v>0</v>
      </c>
      <c r="D2254" t="n">
        <v>472</v>
      </c>
      <c r="E2254" t="s">
        <v>2247</v>
      </c>
      <c r="F2254">
        <f>HYPERLINK("http://pbs.twimg.com/media/DVsRX2CVoAAHPIr.jpg", "http://pbs.twimg.com/media/DVsRX2CVoAAHPIr.jpg")</f>
        <v/>
      </c>
      <c r="G2254" t="s"/>
      <c r="H2254" t="s"/>
      <c r="I2254" t="s"/>
      <c r="J2254" t="n">
        <v>-0.7717000000000001</v>
      </c>
      <c r="K2254" t="n">
        <v>0.3</v>
      </c>
      <c r="L2254" t="n">
        <v>0.7</v>
      </c>
      <c r="M2254" t="n">
        <v>0</v>
      </c>
    </row>
    <row r="2255" spans="1:13">
      <c r="A2255" s="1">
        <f>HYPERLINK("http://www.twitter.com/NathanBLawrence/status/962364724221489152", "962364724221489152")</f>
        <v/>
      </c>
      <c r="B2255" s="2" t="n">
        <v>43141.69217592593</v>
      </c>
      <c r="C2255" t="n">
        <v>0</v>
      </c>
      <c r="D2255" t="n">
        <v>96</v>
      </c>
      <c r="E2255" t="s">
        <v>2248</v>
      </c>
      <c r="F2255">
        <f>HYPERLINK("http://pbs.twimg.com/media/DVrxRl6VwAE5rd0.jpg", "http://pbs.twimg.com/media/DVrxRl6VwAE5rd0.jpg")</f>
        <v/>
      </c>
      <c r="G2255" t="s"/>
      <c r="H2255" t="s"/>
      <c r="I2255" t="s"/>
      <c r="J2255" t="n">
        <v>0.8395</v>
      </c>
      <c r="K2255" t="n">
        <v>0.045</v>
      </c>
      <c r="L2255" t="n">
        <v>0.6820000000000001</v>
      </c>
      <c r="M2255" t="n">
        <v>0.272</v>
      </c>
    </row>
    <row r="2256" spans="1:13">
      <c r="A2256" s="1">
        <f>HYPERLINK("http://www.twitter.com/NathanBLawrence/status/962211421756051457", "962211421756051457")</f>
        <v/>
      </c>
      <c r="B2256" s="2" t="n">
        <v>43141.26914351852</v>
      </c>
      <c r="C2256" t="n">
        <v>0</v>
      </c>
      <c r="D2256" t="n">
        <v>34</v>
      </c>
      <c r="E2256" t="s">
        <v>2249</v>
      </c>
      <c r="F2256">
        <f>HYPERLINK("http://pbs.twimg.com/media/DVpxUUhU0AAMUVS.jpg", "http://pbs.twimg.com/media/DVpxUUhU0AAMUVS.jpg")</f>
        <v/>
      </c>
      <c r="G2256" t="s"/>
      <c r="H2256" t="s"/>
      <c r="I2256" t="s"/>
      <c r="J2256" t="n">
        <v>0</v>
      </c>
      <c r="K2256" t="n">
        <v>0</v>
      </c>
      <c r="L2256" t="n">
        <v>1</v>
      </c>
      <c r="M2256" t="n">
        <v>0</v>
      </c>
    </row>
    <row r="2257" spans="1:13">
      <c r="A2257" s="1">
        <f>HYPERLINK("http://www.twitter.com/NathanBLawrence/status/962162795176452096", "962162795176452096")</f>
        <v/>
      </c>
      <c r="B2257" s="2" t="n">
        <v>43141.13496527778</v>
      </c>
      <c r="C2257" t="n">
        <v>0</v>
      </c>
      <c r="D2257" t="n">
        <v>924</v>
      </c>
      <c r="E2257" t="s">
        <v>2250</v>
      </c>
      <c r="F2257">
        <f>HYPERLINK("http://pbs.twimg.com/media/DVnyJwAU8AIO8lZ.jpg", "http://pbs.twimg.com/media/DVnyJwAU8AIO8lZ.jpg")</f>
        <v/>
      </c>
      <c r="G2257" t="s"/>
      <c r="H2257" t="s"/>
      <c r="I2257" t="s"/>
      <c r="J2257" t="n">
        <v>0</v>
      </c>
      <c r="K2257" t="n">
        <v>0</v>
      </c>
      <c r="L2257" t="n">
        <v>1</v>
      </c>
      <c r="M2257" t="n">
        <v>0</v>
      </c>
    </row>
    <row r="2258" spans="1:13">
      <c r="A2258" s="1">
        <f>HYPERLINK("http://www.twitter.com/NathanBLawrence/status/962157671779532802", "962157671779532802")</f>
        <v/>
      </c>
      <c r="B2258" s="2" t="n">
        <v>43141.12082175926</v>
      </c>
      <c r="C2258" t="n">
        <v>0</v>
      </c>
      <c r="D2258" t="n">
        <v>105</v>
      </c>
      <c r="E2258" t="s">
        <v>2251</v>
      </c>
      <c r="F2258">
        <f>HYPERLINK("https://video.twimg.com/ext_tw_video/962062717770022912/pu/vid/1280x720/17umuhq2IS9wm8cN.mp4", "https://video.twimg.com/ext_tw_video/962062717770022912/pu/vid/1280x720/17umuhq2IS9wm8cN.mp4")</f>
        <v/>
      </c>
      <c r="G2258" t="s"/>
      <c r="H2258" t="s"/>
      <c r="I2258" t="s"/>
      <c r="J2258" t="n">
        <v>0</v>
      </c>
      <c r="K2258" t="n">
        <v>0</v>
      </c>
      <c r="L2258" t="n">
        <v>1</v>
      </c>
      <c r="M2258" t="n">
        <v>0</v>
      </c>
    </row>
    <row r="2259" spans="1:13">
      <c r="A2259" s="1">
        <f>HYPERLINK("http://www.twitter.com/NathanBLawrence/status/962101025539809282", "962101025539809282")</f>
        <v/>
      </c>
      <c r="B2259" s="2" t="n">
        <v>43140.96451388889</v>
      </c>
      <c r="C2259" t="n">
        <v>6</v>
      </c>
      <c r="D2259" t="n">
        <v>5</v>
      </c>
      <c r="E2259" t="s">
        <v>2252</v>
      </c>
      <c r="F2259" t="s"/>
      <c r="G2259" t="s"/>
      <c r="H2259" t="s"/>
      <c r="I2259" t="s"/>
      <c r="J2259" t="n">
        <v>-0.743</v>
      </c>
      <c r="K2259" t="n">
        <v>0.295</v>
      </c>
      <c r="L2259" t="n">
        <v>0.613</v>
      </c>
      <c r="M2259" t="n">
        <v>0.092</v>
      </c>
    </row>
    <row r="2260" spans="1:13">
      <c r="A2260" s="1">
        <f>HYPERLINK("http://www.twitter.com/NathanBLawrence/status/962099311931781121", "962099311931781121")</f>
        <v/>
      </c>
      <c r="B2260" s="2" t="n">
        <v>43140.95978009259</v>
      </c>
      <c r="C2260" t="n">
        <v>0</v>
      </c>
      <c r="D2260" t="n">
        <v>324</v>
      </c>
      <c r="E2260" t="s">
        <v>2253</v>
      </c>
      <c r="F2260" t="s"/>
      <c r="G2260" t="s"/>
      <c r="H2260" t="s"/>
      <c r="I2260" t="s"/>
      <c r="J2260" t="n">
        <v>0</v>
      </c>
      <c r="K2260" t="n">
        <v>0</v>
      </c>
      <c r="L2260" t="n">
        <v>1</v>
      </c>
      <c r="M2260" t="n">
        <v>0</v>
      </c>
    </row>
    <row r="2261" spans="1:13">
      <c r="A2261" s="1">
        <f>HYPERLINK("http://www.twitter.com/NathanBLawrence/status/962072816555208704", "962072816555208704")</f>
        <v/>
      </c>
      <c r="B2261" s="2" t="n">
        <v>43140.88666666667</v>
      </c>
      <c r="C2261" t="n">
        <v>0</v>
      </c>
      <c r="D2261" t="n">
        <v>275</v>
      </c>
      <c r="E2261" t="s">
        <v>2254</v>
      </c>
      <c r="F2261" t="s"/>
      <c r="G2261" t="s"/>
      <c r="H2261" t="s"/>
      <c r="I2261" t="s"/>
      <c r="J2261" t="n">
        <v>0</v>
      </c>
      <c r="K2261" t="n">
        <v>0</v>
      </c>
      <c r="L2261" t="n">
        <v>1</v>
      </c>
      <c r="M2261" t="n">
        <v>0</v>
      </c>
    </row>
    <row r="2262" spans="1:13">
      <c r="A2262" s="1">
        <f>HYPERLINK("http://www.twitter.com/NathanBLawrence/status/961931695846055937", "961931695846055937")</f>
        <v/>
      </c>
      <c r="B2262" s="2" t="n">
        <v>43140.49724537037</v>
      </c>
      <c r="C2262" t="n">
        <v>2</v>
      </c>
      <c r="D2262" t="n">
        <v>0</v>
      </c>
      <c r="E2262" t="s">
        <v>2255</v>
      </c>
      <c r="F2262" t="s"/>
      <c r="G2262" t="s"/>
      <c r="H2262" t="s"/>
      <c r="I2262" t="s"/>
      <c r="J2262" t="n">
        <v>-0.1779</v>
      </c>
      <c r="K2262" t="n">
        <v>0.124</v>
      </c>
      <c r="L2262" t="n">
        <v>0.876</v>
      </c>
      <c r="M2262" t="n">
        <v>0</v>
      </c>
    </row>
    <row r="2263" spans="1:13">
      <c r="A2263" s="1">
        <f>HYPERLINK("http://www.twitter.com/NathanBLawrence/status/961928931854209027", "961928931854209027")</f>
        <v/>
      </c>
      <c r="B2263" s="2" t="n">
        <v>43140.48961805556</v>
      </c>
      <c r="C2263" t="n">
        <v>0</v>
      </c>
      <c r="D2263" t="n">
        <v>1563</v>
      </c>
      <c r="E2263" t="s">
        <v>2256</v>
      </c>
      <c r="F2263">
        <f>HYPERLINK("http://pbs.twimg.com/media/DVj_zeyU0AAWsYy.jpg", "http://pbs.twimg.com/media/DVj_zeyU0AAWsYy.jpg")</f>
        <v/>
      </c>
      <c r="G2263" t="s"/>
      <c r="H2263" t="s"/>
      <c r="I2263" t="s"/>
      <c r="J2263" t="n">
        <v>0</v>
      </c>
      <c r="K2263" t="n">
        <v>0</v>
      </c>
      <c r="L2263" t="n">
        <v>1</v>
      </c>
      <c r="M2263" t="n">
        <v>0</v>
      </c>
    </row>
    <row r="2264" spans="1:13">
      <c r="A2264" s="1">
        <f>HYPERLINK("http://www.twitter.com/NathanBLawrence/status/961922676720795648", "961922676720795648")</f>
        <v/>
      </c>
      <c r="B2264" s="2" t="n">
        <v>43140.47236111111</v>
      </c>
      <c r="C2264" t="n">
        <v>0</v>
      </c>
      <c r="D2264" t="n">
        <v>79</v>
      </c>
      <c r="E2264" t="s">
        <v>2257</v>
      </c>
      <c r="F2264" t="s"/>
      <c r="G2264" t="s"/>
      <c r="H2264" t="s"/>
      <c r="I2264" t="s"/>
      <c r="J2264" t="n">
        <v>-0.2732</v>
      </c>
      <c r="K2264" t="n">
        <v>0.188</v>
      </c>
      <c r="L2264" t="n">
        <v>0.701</v>
      </c>
      <c r="M2264" t="n">
        <v>0.111</v>
      </c>
    </row>
    <row r="2265" spans="1:13">
      <c r="A2265" s="1">
        <f>HYPERLINK("http://www.twitter.com/NathanBLawrence/status/961802995204804608", "961802995204804608")</f>
        <v/>
      </c>
      <c r="B2265" s="2" t="n">
        <v>43140.14210648148</v>
      </c>
      <c r="C2265" t="n">
        <v>7</v>
      </c>
      <c r="D2265" t="n">
        <v>2</v>
      </c>
      <c r="E2265" t="s">
        <v>2258</v>
      </c>
      <c r="F2265" t="s"/>
      <c r="G2265" t="s"/>
      <c r="H2265" t="s"/>
      <c r="I2265" t="s"/>
      <c r="J2265" t="n">
        <v>-0.7501</v>
      </c>
      <c r="K2265" t="n">
        <v>0.223</v>
      </c>
      <c r="L2265" t="n">
        <v>0.659</v>
      </c>
      <c r="M2265" t="n">
        <v>0.117</v>
      </c>
    </row>
    <row r="2266" spans="1:13">
      <c r="A2266" s="1">
        <f>HYPERLINK("http://www.twitter.com/NathanBLawrence/status/961788584591331329", "961788584591331329")</f>
        <v/>
      </c>
      <c r="B2266" s="2" t="n">
        <v>43140.10233796296</v>
      </c>
      <c r="C2266" t="n">
        <v>0</v>
      </c>
      <c r="D2266" t="n">
        <v>63</v>
      </c>
      <c r="E2266" t="s">
        <v>2259</v>
      </c>
      <c r="F2266">
        <f>HYPERLINK("http://pbs.twimg.com/media/DVhUnfrVwAAn930.jpg", "http://pbs.twimg.com/media/DVhUnfrVwAAn930.jpg")</f>
        <v/>
      </c>
      <c r="G2266" t="s"/>
      <c r="H2266" t="s"/>
      <c r="I2266" t="s"/>
      <c r="J2266" t="n">
        <v>0</v>
      </c>
      <c r="K2266" t="n">
        <v>0</v>
      </c>
      <c r="L2266" t="n">
        <v>1</v>
      </c>
      <c r="M2266" t="n">
        <v>0</v>
      </c>
    </row>
    <row r="2267" spans="1:13">
      <c r="A2267" s="1">
        <f>HYPERLINK("http://www.twitter.com/NathanBLawrence/status/961711347300958208", "961711347300958208")</f>
        <v/>
      </c>
      <c r="B2267" s="2" t="n">
        <v>43139.88920138889</v>
      </c>
      <c r="C2267" t="n">
        <v>0</v>
      </c>
      <c r="D2267" t="n">
        <v>12348</v>
      </c>
      <c r="E2267" t="s">
        <v>2260</v>
      </c>
      <c r="F2267">
        <f>HYPERLINK("https://video.twimg.com/ext_tw_video/961382888351481857/pu/vid/1280x720/pF7eTlrBkBg5qBff.mp4", "https://video.twimg.com/ext_tw_video/961382888351481857/pu/vid/1280x720/pF7eTlrBkBg5qBff.mp4")</f>
        <v/>
      </c>
      <c r="G2267" t="s"/>
      <c r="H2267" t="s"/>
      <c r="I2267" t="s"/>
      <c r="J2267" t="n">
        <v>0.1007</v>
      </c>
      <c r="K2267" t="n">
        <v>0.129</v>
      </c>
      <c r="L2267" t="n">
        <v>0.726</v>
      </c>
      <c r="M2267" t="n">
        <v>0.145</v>
      </c>
    </row>
    <row r="2268" spans="1:13">
      <c r="A2268" s="1">
        <f>HYPERLINK("http://www.twitter.com/NathanBLawrence/status/961708614208622593", "961708614208622593")</f>
        <v/>
      </c>
      <c r="B2268" s="2" t="n">
        <v>43139.88165509259</v>
      </c>
      <c r="C2268" t="n">
        <v>0</v>
      </c>
      <c r="D2268" t="n">
        <v>1</v>
      </c>
      <c r="E2268" t="s">
        <v>2261</v>
      </c>
      <c r="F2268" t="s"/>
      <c r="G2268" t="s"/>
      <c r="H2268" t="s"/>
      <c r="I2268" t="s"/>
      <c r="J2268" t="n">
        <v>0</v>
      </c>
      <c r="K2268" t="n">
        <v>0</v>
      </c>
      <c r="L2268" t="n">
        <v>1</v>
      </c>
      <c r="M2268" t="n">
        <v>0</v>
      </c>
    </row>
    <row r="2269" spans="1:13">
      <c r="A2269" s="1">
        <f>HYPERLINK("http://www.twitter.com/NathanBLawrence/status/961708355281653760", "961708355281653760")</f>
        <v/>
      </c>
      <c r="B2269" s="2" t="n">
        <v>43139.88094907408</v>
      </c>
      <c r="C2269" t="n">
        <v>23</v>
      </c>
      <c r="D2269" t="n">
        <v>13</v>
      </c>
      <c r="E2269" t="s">
        <v>2262</v>
      </c>
      <c r="F2269" t="s"/>
      <c r="G2269" t="s"/>
      <c r="H2269" t="s"/>
      <c r="I2269" t="s"/>
      <c r="J2269" t="n">
        <v>0</v>
      </c>
      <c r="K2269" t="n">
        <v>0.185</v>
      </c>
      <c r="L2269" t="n">
        <v>0.607</v>
      </c>
      <c r="M2269" t="n">
        <v>0.208</v>
      </c>
    </row>
    <row r="2270" spans="1:13">
      <c r="A2270" s="1">
        <f>HYPERLINK("http://www.twitter.com/NathanBLawrence/status/961700585887227904", "961700585887227904")</f>
        <v/>
      </c>
      <c r="B2270" s="2" t="n">
        <v>43139.85950231482</v>
      </c>
      <c r="C2270" t="n">
        <v>0</v>
      </c>
      <c r="D2270" t="n">
        <v>30299</v>
      </c>
      <c r="E2270" t="s">
        <v>2263</v>
      </c>
      <c r="F2270">
        <f>HYPERLINK("https://video.twimg.com/ext_tw_video/961693455356481536/pu/vid/1280x720/02-oqjn2EJ91FqK6.mp4", "https://video.twimg.com/ext_tw_video/961693455356481536/pu/vid/1280x720/02-oqjn2EJ91FqK6.mp4")</f>
        <v/>
      </c>
      <c r="G2270" t="s"/>
      <c r="H2270" t="s"/>
      <c r="I2270" t="s"/>
      <c r="J2270" t="n">
        <v>0.7906</v>
      </c>
      <c r="K2270" t="n">
        <v>0</v>
      </c>
      <c r="L2270" t="n">
        <v>0.774</v>
      </c>
      <c r="M2270" t="n">
        <v>0.226</v>
      </c>
    </row>
    <row r="2271" spans="1:13">
      <c r="A2271" s="1">
        <f>HYPERLINK("http://www.twitter.com/NathanBLawrence/status/961640613316825088", "961640613316825088")</f>
        <v/>
      </c>
      <c r="B2271" s="2" t="n">
        <v>43139.69401620371</v>
      </c>
      <c r="C2271" t="n">
        <v>0</v>
      </c>
      <c r="D2271" t="n">
        <v>151</v>
      </c>
      <c r="E2271" t="s">
        <v>2264</v>
      </c>
      <c r="F2271">
        <f>HYPERLINK("http://pbs.twimg.com/media/DVfv1R_VQAAivKa.jpg", "http://pbs.twimg.com/media/DVfv1R_VQAAivKa.jpg")</f>
        <v/>
      </c>
      <c r="G2271" t="s"/>
      <c r="H2271" t="s"/>
      <c r="I2271" t="s"/>
      <c r="J2271" t="n">
        <v>0.7845</v>
      </c>
      <c r="K2271" t="n">
        <v>0.064</v>
      </c>
      <c r="L2271" t="n">
        <v>0.64</v>
      </c>
      <c r="M2271" t="n">
        <v>0.296</v>
      </c>
    </row>
    <row r="2272" spans="1:13">
      <c r="A2272" s="1">
        <f>HYPERLINK("http://www.twitter.com/NathanBLawrence/status/961639478883438593", "961639478883438593")</f>
        <v/>
      </c>
      <c r="B2272" s="2" t="n">
        <v>43139.69087962963</v>
      </c>
      <c r="C2272" t="n">
        <v>0</v>
      </c>
      <c r="D2272" t="n">
        <v>407</v>
      </c>
      <c r="E2272" t="s">
        <v>2265</v>
      </c>
      <c r="F2272">
        <f>HYPERLINK("http://pbs.twimg.com/media/DVfcaO6UMAAe_m7.jpg", "http://pbs.twimg.com/media/DVfcaO6UMAAe_m7.jpg")</f>
        <v/>
      </c>
      <c r="G2272" t="s"/>
      <c r="H2272" t="s"/>
      <c r="I2272" t="s"/>
      <c r="J2272" t="n">
        <v>-0.0516</v>
      </c>
      <c r="K2272" t="n">
        <v>0.16</v>
      </c>
      <c r="L2272" t="n">
        <v>0.6870000000000001</v>
      </c>
      <c r="M2272" t="n">
        <v>0.153</v>
      </c>
    </row>
    <row r="2273" spans="1:13">
      <c r="A2273" s="1">
        <f>HYPERLINK("http://www.twitter.com/NathanBLawrence/status/961636708507844608", "961636708507844608")</f>
        <v/>
      </c>
      <c r="B2273" s="2" t="n">
        <v>43139.68324074074</v>
      </c>
      <c r="C2273" t="n">
        <v>0</v>
      </c>
      <c r="D2273" t="n">
        <v>30</v>
      </c>
      <c r="E2273" t="s">
        <v>2266</v>
      </c>
      <c r="F2273">
        <f>HYPERLINK("http://pbs.twimg.com/media/DVhgB7CU0AAkPwo.jpg", "http://pbs.twimg.com/media/DVhgB7CU0AAkPwo.jpg")</f>
        <v/>
      </c>
      <c r="G2273" t="s"/>
      <c r="H2273" t="s"/>
      <c r="I2273" t="s"/>
      <c r="J2273" t="n">
        <v>-0.7783</v>
      </c>
      <c r="K2273" t="n">
        <v>0.254</v>
      </c>
      <c r="L2273" t="n">
        <v>0.746</v>
      </c>
      <c r="M2273" t="n">
        <v>0</v>
      </c>
    </row>
    <row r="2274" spans="1:13">
      <c r="A2274" s="1">
        <f>HYPERLINK("http://www.twitter.com/NathanBLawrence/status/961636017877987329", "961636017877987329")</f>
        <v/>
      </c>
      <c r="B2274" s="2" t="n">
        <v>43139.68133101852</v>
      </c>
      <c r="C2274" t="n">
        <v>0</v>
      </c>
      <c r="D2274" t="n">
        <v>30</v>
      </c>
      <c r="E2274" t="s">
        <v>2267</v>
      </c>
      <c r="F2274">
        <f>HYPERLINK("http://pbs.twimg.com/media/DQtlsLuU8AAfXAU.jpg", "http://pbs.twimg.com/media/DQtlsLuU8AAfXAU.jpg")</f>
        <v/>
      </c>
      <c r="G2274" t="s"/>
      <c r="H2274" t="s"/>
      <c r="I2274" t="s"/>
      <c r="J2274" t="n">
        <v>0</v>
      </c>
      <c r="K2274" t="n">
        <v>0</v>
      </c>
      <c r="L2274" t="n">
        <v>1</v>
      </c>
      <c r="M2274" t="n">
        <v>0</v>
      </c>
    </row>
    <row r="2275" spans="1:13">
      <c r="A2275" s="1">
        <f>HYPERLINK("http://www.twitter.com/NathanBLawrence/status/961583150852988929", "961583150852988929")</f>
        <v/>
      </c>
      <c r="B2275" s="2" t="n">
        <v>43139.53545138889</v>
      </c>
      <c r="C2275" t="n">
        <v>0</v>
      </c>
      <c r="D2275" t="n">
        <v>150</v>
      </c>
      <c r="E2275" t="s">
        <v>2268</v>
      </c>
      <c r="F2275">
        <f>HYPERLINK("http://pbs.twimg.com/media/DVPFzPdUQAAOtza.jpg", "http://pbs.twimg.com/media/DVPFzPdUQAAOtza.jpg")</f>
        <v/>
      </c>
      <c r="G2275" t="s"/>
      <c r="H2275" t="s"/>
      <c r="I2275" t="s"/>
      <c r="J2275" t="n">
        <v>-0.4926</v>
      </c>
      <c r="K2275" t="n">
        <v>0.144</v>
      </c>
      <c r="L2275" t="n">
        <v>0.856</v>
      </c>
      <c r="M2275" t="n">
        <v>0</v>
      </c>
    </row>
    <row r="2276" spans="1:13">
      <c r="A2276" s="1">
        <f>HYPERLINK("http://www.twitter.com/NathanBLawrence/status/961582855838142464", "961582855838142464")</f>
        <v/>
      </c>
      <c r="B2276" s="2" t="n">
        <v>43139.53462962963</v>
      </c>
      <c r="C2276" t="n">
        <v>0</v>
      </c>
      <c r="D2276" t="n">
        <v>13</v>
      </c>
      <c r="E2276" t="s">
        <v>2269</v>
      </c>
      <c r="F2276">
        <f>HYPERLINK("http://pbs.twimg.com/media/DUyocKaX4AAAIAl.jpg", "http://pbs.twimg.com/media/DUyocKaX4AAAIAl.jpg")</f>
        <v/>
      </c>
      <c r="G2276" t="s"/>
      <c r="H2276" t="s"/>
      <c r="I2276" t="s"/>
      <c r="J2276" t="n">
        <v>0</v>
      </c>
      <c r="K2276" t="n">
        <v>0</v>
      </c>
      <c r="L2276" t="n">
        <v>1</v>
      </c>
      <c r="M2276" t="n">
        <v>0</v>
      </c>
    </row>
    <row r="2277" spans="1:13">
      <c r="A2277" s="1">
        <f>HYPERLINK("http://www.twitter.com/NathanBLawrence/status/961573892254060545", "961573892254060545")</f>
        <v/>
      </c>
      <c r="B2277" s="2" t="n">
        <v>43139.50989583333</v>
      </c>
      <c r="C2277" t="n">
        <v>0</v>
      </c>
      <c r="D2277" t="n">
        <v>0</v>
      </c>
      <c r="E2277" t="s">
        <v>2270</v>
      </c>
      <c r="F2277" t="s"/>
      <c r="G2277" t="s"/>
      <c r="H2277" t="s"/>
      <c r="I2277" t="s"/>
      <c r="J2277" t="n">
        <v>0.5023</v>
      </c>
      <c r="K2277" t="n">
        <v>0</v>
      </c>
      <c r="L2277" t="n">
        <v>0.9389999999999999</v>
      </c>
      <c r="M2277" t="n">
        <v>0.061</v>
      </c>
    </row>
    <row r="2278" spans="1:13">
      <c r="A2278" s="1">
        <f>HYPERLINK("http://www.twitter.com/NathanBLawrence/status/961566040034566144", "961566040034566144")</f>
        <v/>
      </c>
      <c r="B2278" s="2" t="n">
        <v>43139.48822916667</v>
      </c>
      <c r="C2278" t="n">
        <v>0</v>
      </c>
      <c r="D2278" t="n">
        <v>4427</v>
      </c>
      <c r="E2278" t="s">
        <v>2271</v>
      </c>
      <c r="F2278" t="s"/>
      <c r="G2278" t="s"/>
      <c r="H2278" t="s"/>
      <c r="I2278" t="s"/>
      <c r="J2278" t="n">
        <v>-0.8176</v>
      </c>
      <c r="K2278" t="n">
        <v>0.294</v>
      </c>
      <c r="L2278" t="n">
        <v>0.706</v>
      </c>
      <c r="M2278" t="n">
        <v>0</v>
      </c>
    </row>
    <row r="2279" spans="1:13">
      <c r="A2279" s="1">
        <f>HYPERLINK("http://www.twitter.com/NathanBLawrence/status/961563054847741952", "961563054847741952")</f>
        <v/>
      </c>
      <c r="B2279" s="2" t="n">
        <v>43139.47998842593</v>
      </c>
      <c r="C2279" t="n">
        <v>0</v>
      </c>
      <c r="D2279" t="n">
        <v>27</v>
      </c>
      <c r="E2279" t="s">
        <v>2272</v>
      </c>
      <c r="F2279" t="s"/>
      <c r="G2279" t="s"/>
      <c r="H2279" t="s"/>
      <c r="I2279" t="s"/>
      <c r="J2279" t="n">
        <v>0.743</v>
      </c>
      <c r="K2279" t="n">
        <v>0</v>
      </c>
      <c r="L2279" t="n">
        <v>0.711</v>
      </c>
      <c r="M2279" t="n">
        <v>0.289</v>
      </c>
    </row>
    <row r="2280" spans="1:13">
      <c r="A2280" s="1">
        <f>HYPERLINK("http://www.twitter.com/NathanBLawrence/status/961487509837484032", "961487509837484032")</f>
        <v/>
      </c>
      <c r="B2280" s="2" t="n">
        <v>43139.27152777778</v>
      </c>
      <c r="C2280" t="n">
        <v>0</v>
      </c>
      <c r="D2280" t="n">
        <v>143</v>
      </c>
      <c r="E2280" t="s">
        <v>2273</v>
      </c>
      <c r="F2280" t="s"/>
      <c r="G2280" t="s"/>
      <c r="H2280" t="s"/>
      <c r="I2280" t="s"/>
      <c r="J2280" t="n">
        <v>0.7184</v>
      </c>
      <c r="K2280" t="n">
        <v>0</v>
      </c>
      <c r="L2280" t="n">
        <v>0.667</v>
      </c>
      <c r="M2280" t="n">
        <v>0.333</v>
      </c>
    </row>
    <row r="2281" spans="1:13">
      <c r="A2281" s="1">
        <f>HYPERLINK("http://www.twitter.com/NathanBLawrence/status/961487263535456256", "961487263535456256")</f>
        <v/>
      </c>
      <c r="B2281" s="2" t="n">
        <v>43139.27084490741</v>
      </c>
      <c r="C2281" t="n">
        <v>0</v>
      </c>
      <c r="D2281" t="n">
        <v>369</v>
      </c>
      <c r="E2281" t="s">
        <v>2274</v>
      </c>
      <c r="F2281" t="s"/>
      <c r="G2281" t="s"/>
      <c r="H2281" t="s"/>
      <c r="I2281" t="s"/>
      <c r="J2281" t="n">
        <v>0</v>
      </c>
      <c r="K2281" t="n">
        <v>0</v>
      </c>
      <c r="L2281" t="n">
        <v>1</v>
      </c>
      <c r="M2281" t="n">
        <v>0</v>
      </c>
    </row>
    <row r="2282" spans="1:13">
      <c r="A2282" s="1">
        <f>HYPERLINK("http://www.twitter.com/NathanBLawrence/status/961460392009650178", "961460392009650178")</f>
        <v/>
      </c>
      <c r="B2282" s="2" t="n">
        <v>43139.19670138889</v>
      </c>
      <c r="C2282" t="n">
        <v>0</v>
      </c>
      <c r="D2282" t="n">
        <v>389</v>
      </c>
      <c r="E2282" t="s">
        <v>2275</v>
      </c>
      <c r="F2282">
        <f>HYPERLINK("http://pbs.twimg.com/media/DVe-cg0VMAAKRGB.jpg", "http://pbs.twimg.com/media/DVe-cg0VMAAKRGB.jpg")</f>
        <v/>
      </c>
      <c r="G2282" t="s"/>
      <c r="H2282" t="s"/>
      <c r="I2282" t="s"/>
      <c r="J2282" t="n">
        <v>-0.4184</v>
      </c>
      <c r="K2282" t="n">
        <v>0.117</v>
      </c>
      <c r="L2282" t="n">
        <v>0.883</v>
      </c>
      <c r="M2282" t="n">
        <v>0</v>
      </c>
    </row>
    <row r="2283" spans="1:13">
      <c r="A2283" s="1">
        <f>HYPERLINK("http://www.twitter.com/NathanBLawrence/status/961382637628723202", "961382637628723202")</f>
        <v/>
      </c>
      <c r="B2283" s="2" t="n">
        <v>43138.98214120371</v>
      </c>
      <c r="C2283" t="n">
        <v>0</v>
      </c>
      <c r="D2283" t="n">
        <v>803</v>
      </c>
      <c r="E2283" t="s">
        <v>2276</v>
      </c>
      <c r="F2283">
        <f>HYPERLINK("http://pbs.twimg.com/media/DVZoSSdXUAAJ5-G.jpg", "http://pbs.twimg.com/media/DVZoSSdXUAAJ5-G.jpg")</f>
        <v/>
      </c>
      <c r="G2283" t="s"/>
      <c r="H2283" t="s"/>
      <c r="I2283" t="s"/>
      <c r="J2283" t="n">
        <v>0.8398</v>
      </c>
      <c r="K2283" t="n">
        <v>0</v>
      </c>
      <c r="L2283" t="n">
        <v>0.68</v>
      </c>
      <c r="M2283" t="n">
        <v>0.32</v>
      </c>
    </row>
    <row r="2284" spans="1:13">
      <c r="A2284" s="1">
        <f>HYPERLINK("http://www.twitter.com/NathanBLawrence/status/961330059574464512", "961330059574464512")</f>
        <v/>
      </c>
      <c r="B2284" s="2" t="n">
        <v>43138.83704861111</v>
      </c>
      <c r="C2284" t="n">
        <v>0</v>
      </c>
      <c r="D2284" t="n">
        <v>2438</v>
      </c>
      <c r="E2284" t="s">
        <v>2277</v>
      </c>
      <c r="F2284">
        <f>HYPERLINK("http://pbs.twimg.com/media/DVbQu8fXcAA-q-A.jpg", "http://pbs.twimg.com/media/DVbQu8fXcAA-q-A.jpg")</f>
        <v/>
      </c>
      <c r="G2284" t="s"/>
      <c r="H2284" t="s"/>
      <c r="I2284" t="s"/>
      <c r="J2284" t="n">
        <v>0.8947000000000001</v>
      </c>
      <c r="K2284" t="n">
        <v>0.08599999999999999</v>
      </c>
      <c r="L2284" t="n">
        <v>0.477</v>
      </c>
      <c r="M2284" t="n">
        <v>0.437</v>
      </c>
    </row>
    <row r="2285" spans="1:13">
      <c r="A2285" s="1">
        <f>HYPERLINK("http://www.twitter.com/NathanBLawrence/status/961316399389036544", "961316399389036544")</f>
        <v/>
      </c>
      <c r="B2285" s="2" t="n">
        <v>43138.79935185185</v>
      </c>
      <c r="C2285" t="n">
        <v>0</v>
      </c>
      <c r="D2285" t="n">
        <v>13</v>
      </c>
      <c r="E2285" t="s">
        <v>2278</v>
      </c>
      <c r="F2285">
        <f>HYPERLINK("http://pbs.twimg.com/media/DVZ54bBX4AIyWQj.jpg", "http://pbs.twimg.com/media/DVZ54bBX4AIyWQj.jpg")</f>
        <v/>
      </c>
      <c r="G2285" t="s"/>
      <c r="H2285" t="s"/>
      <c r="I2285" t="s"/>
      <c r="J2285" t="n">
        <v>0</v>
      </c>
      <c r="K2285" t="n">
        <v>0</v>
      </c>
      <c r="L2285" t="n">
        <v>1</v>
      </c>
      <c r="M2285" t="n">
        <v>0</v>
      </c>
    </row>
    <row r="2286" spans="1:13">
      <c r="A2286" s="1">
        <f>HYPERLINK("http://www.twitter.com/NathanBLawrence/status/961316199928881153", "961316199928881153")</f>
        <v/>
      </c>
      <c r="B2286" s="2" t="n">
        <v>43138.79880787037</v>
      </c>
      <c r="C2286" t="n">
        <v>0</v>
      </c>
      <c r="D2286" t="n">
        <v>1279</v>
      </c>
      <c r="E2286" t="s">
        <v>2279</v>
      </c>
      <c r="F2286">
        <f>HYPERLINK("http://pbs.twimg.com/media/DVcA6L5WsAIaBro.jpg", "http://pbs.twimg.com/media/DVcA6L5WsAIaBro.jpg")</f>
        <v/>
      </c>
      <c r="G2286" t="s"/>
      <c r="H2286" t="s"/>
      <c r="I2286" t="s"/>
      <c r="J2286" t="n">
        <v>-0.5574</v>
      </c>
      <c r="K2286" t="n">
        <v>0.146</v>
      </c>
      <c r="L2286" t="n">
        <v>0.854</v>
      </c>
      <c r="M2286" t="n">
        <v>0</v>
      </c>
    </row>
    <row r="2287" spans="1:13">
      <c r="A2287" s="1">
        <f>HYPERLINK("http://www.twitter.com/NathanBLawrence/status/961315853382946822", "961315853382946822")</f>
        <v/>
      </c>
      <c r="B2287" s="2" t="n">
        <v>43138.79784722222</v>
      </c>
      <c r="C2287" t="n">
        <v>0</v>
      </c>
      <c r="D2287" t="n">
        <v>1057</v>
      </c>
      <c r="E2287" t="s">
        <v>2280</v>
      </c>
      <c r="F2287">
        <f>HYPERLINK("http://pbs.twimg.com/media/DVdAcZBU0AA1x4K.jpg", "http://pbs.twimg.com/media/DVdAcZBU0AA1x4K.jpg")</f>
        <v/>
      </c>
      <c r="G2287" t="s"/>
      <c r="H2287" t="s"/>
      <c r="I2287" t="s"/>
      <c r="J2287" t="n">
        <v>0</v>
      </c>
      <c r="K2287" t="n">
        <v>0</v>
      </c>
      <c r="L2287" t="n">
        <v>1</v>
      </c>
      <c r="M2287" t="n">
        <v>0</v>
      </c>
    </row>
    <row r="2288" spans="1:13">
      <c r="A2288" s="1">
        <f>HYPERLINK("http://www.twitter.com/NathanBLawrence/status/961314537680011270", "961314537680011270")</f>
        <v/>
      </c>
      <c r="B2288" s="2" t="n">
        <v>43138.79421296297</v>
      </c>
      <c r="C2288" t="n">
        <v>4</v>
      </c>
      <c r="D2288" t="n">
        <v>1</v>
      </c>
      <c r="E2288" t="s">
        <v>2281</v>
      </c>
      <c r="F2288" t="s"/>
      <c r="G2288" t="s"/>
      <c r="H2288" t="s"/>
      <c r="I2288" t="s"/>
      <c r="J2288" t="n">
        <v>0</v>
      </c>
      <c r="K2288" t="n">
        <v>0</v>
      </c>
      <c r="L2288" t="n">
        <v>1</v>
      </c>
      <c r="M2288" t="n">
        <v>0</v>
      </c>
    </row>
    <row r="2289" spans="1:13">
      <c r="A2289" s="1">
        <f>HYPERLINK("http://www.twitter.com/NathanBLawrence/status/961314088868564992", "961314088868564992")</f>
        <v/>
      </c>
      <c r="B2289" s="2" t="n">
        <v>43138.79297453703</v>
      </c>
      <c r="C2289" t="n">
        <v>0</v>
      </c>
      <c r="D2289" t="n">
        <v>1</v>
      </c>
      <c r="E2289" t="s">
        <v>2282</v>
      </c>
      <c r="F2289" t="s"/>
      <c r="G2289" t="s"/>
      <c r="H2289" t="s"/>
      <c r="I2289" t="s"/>
      <c r="J2289" t="n">
        <v>0.0772</v>
      </c>
      <c r="K2289" t="n">
        <v>0</v>
      </c>
      <c r="L2289" t="n">
        <v>0.9389999999999999</v>
      </c>
      <c r="M2289" t="n">
        <v>0.061</v>
      </c>
    </row>
    <row r="2290" spans="1:13">
      <c r="A2290" s="1">
        <f>HYPERLINK("http://www.twitter.com/NathanBLawrence/status/961313834463096833", "961313834463096833")</f>
        <v/>
      </c>
      <c r="B2290" s="2" t="n">
        <v>43138.7922800926</v>
      </c>
      <c r="C2290" t="n">
        <v>0</v>
      </c>
      <c r="D2290" t="n">
        <v>170</v>
      </c>
      <c r="E2290" t="s">
        <v>1124</v>
      </c>
      <c r="F2290">
        <f>HYPERLINK("http://pbs.twimg.com/media/DPFn0G6XcAIMjTN.jpg", "http://pbs.twimg.com/media/DPFn0G6XcAIMjTN.jpg")</f>
        <v/>
      </c>
      <c r="G2290" t="s"/>
      <c r="H2290" t="s"/>
      <c r="I2290" t="s"/>
      <c r="J2290" t="n">
        <v>0.8542999999999999</v>
      </c>
      <c r="K2290" t="n">
        <v>0</v>
      </c>
      <c r="L2290" t="n">
        <v>0.658</v>
      </c>
      <c r="M2290" t="n">
        <v>0.342</v>
      </c>
    </row>
    <row r="2291" spans="1:13">
      <c r="A2291" s="1">
        <f>HYPERLINK("http://www.twitter.com/NathanBLawrence/status/961308148610093057", "961308148610093057")</f>
        <v/>
      </c>
      <c r="B2291" s="2" t="n">
        <v>43138.77658564815</v>
      </c>
      <c r="C2291" t="n">
        <v>0</v>
      </c>
      <c r="D2291" t="n">
        <v>0</v>
      </c>
      <c r="E2291" t="s">
        <v>2283</v>
      </c>
      <c r="F2291">
        <f>HYPERLINK("http://pbs.twimg.com/media/DVdAqLCV4AATI1U.jpg", "http://pbs.twimg.com/media/DVdAqLCV4AATI1U.jpg")</f>
        <v/>
      </c>
      <c r="G2291" t="s"/>
      <c r="H2291" t="s"/>
      <c r="I2291" t="s"/>
      <c r="J2291" t="n">
        <v>-0.8224</v>
      </c>
      <c r="K2291" t="n">
        <v>0.191</v>
      </c>
      <c r="L2291" t="n">
        <v>0.74</v>
      </c>
      <c r="M2291" t="n">
        <v>0.06900000000000001</v>
      </c>
    </row>
    <row r="2292" spans="1:13">
      <c r="A2292" s="1">
        <f>HYPERLINK("http://www.twitter.com/NathanBLawrence/status/961290419781931009", "961290419781931009")</f>
        <v/>
      </c>
      <c r="B2292" s="2" t="n">
        <v>43138.72766203704</v>
      </c>
      <c r="C2292" t="n">
        <v>1</v>
      </c>
      <c r="D2292" t="n">
        <v>0</v>
      </c>
      <c r="E2292" t="s">
        <v>2284</v>
      </c>
      <c r="F2292" t="s"/>
      <c r="G2292" t="s"/>
      <c r="H2292" t="s"/>
      <c r="I2292" t="s"/>
      <c r="J2292" t="n">
        <v>-0.8481</v>
      </c>
      <c r="K2292" t="n">
        <v>0.292</v>
      </c>
      <c r="L2292" t="n">
        <v>0.632</v>
      </c>
      <c r="M2292" t="n">
        <v>0.076</v>
      </c>
    </row>
    <row r="2293" spans="1:13">
      <c r="A2293" s="1">
        <f>HYPERLINK("http://www.twitter.com/NathanBLawrence/status/961287667370594309", "961287667370594309")</f>
        <v/>
      </c>
      <c r="B2293" s="2" t="n">
        <v>43138.72006944445</v>
      </c>
      <c r="C2293" t="n">
        <v>3</v>
      </c>
      <c r="D2293" t="n">
        <v>1</v>
      </c>
      <c r="E2293" t="s">
        <v>2285</v>
      </c>
      <c r="F2293" t="s"/>
      <c r="G2293" t="s"/>
      <c r="H2293" t="s"/>
      <c r="I2293" t="s"/>
      <c r="J2293" t="n">
        <v>0.7506</v>
      </c>
      <c r="K2293" t="n">
        <v>0</v>
      </c>
      <c r="L2293" t="n">
        <v>0.856</v>
      </c>
      <c r="M2293" t="n">
        <v>0.144</v>
      </c>
    </row>
    <row r="2294" spans="1:13">
      <c r="A2294" s="1">
        <f>HYPERLINK("http://www.twitter.com/NathanBLawrence/status/961287593605369862", "961287593605369862")</f>
        <v/>
      </c>
      <c r="B2294" s="2" t="n">
        <v>43138.71986111111</v>
      </c>
      <c r="C2294" t="n">
        <v>0</v>
      </c>
      <c r="D2294" t="n">
        <v>0</v>
      </c>
      <c r="E2294" t="s">
        <v>2286</v>
      </c>
      <c r="F2294" t="s"/>
      <c r="G2294" t="s"/>
      <c r="H2294" t="s"/>
      <c r="I2294" t="s"/>
      <c r="J2294" t="n">
        <v>0.7506</v>
      </c>
      <c r="K2294" t="n">
        <v>0</v>
      </c>
      <c r="L2294" t="n">
        <v>0.861</v>
      </c>
      <c r="M2294" t="n">
        <v>0.139</v>
      </c>
    </row>
    <row r="2295" spans="1:13">
      <c r="A2295" s="1">
        <f>HYPERLINK("http://www.twitter.com/NathanBLawrence/status/961287390731079686", "961287390731079686")</f>
        <v/>
      </c>
      <c r="B2295" s="2" t="n">
        <v>43138.71930555555</v>
      </c>
      <c r="C2295" t="n">
        <v>2</v>
      </c>
      <c r="D2295" t="n">
        <v>0</v>
      </c>
      <c r="E2295" t="s">
        <v>2287</v>
      </c>
      <c r="F2295" t="s"/>
      <c r="G2295" t="s"/>
      <c r="H2295" t="s"/>
      <c r="I2295" t="s"/>
      <c r="J2295" t="n">
        <v>0.7506</v>
      </c>
      <c r="K2295" t="n">
        <v>0</v>
      </c>
      <c r="L2295" t="n">
        <v>0.861</v>
      </c>
      <c r="M2295" t="n">
        <v>0.139</v>
      </c>
    </row>
    <row r="2296" spans="1:13">
      <c r="A2296" s="1">
        <f>HYPERLINK("http://www.twitter.com/NathanBLawrence/status/961282420833161216", "961282420833161216")</f>
        <v/>
      </c>
      <c r="B2296" s="2" t="n">
        <v>43138.70559027778</v>
      </c>
      <c r="C2296" t="n">
        <v>1</v>
      </c>
      <c r="D2296" t="n">
        <v>0</v>
      </c>
      <c r="E2296" t="s">
        <v>2288</v>
      </c>
      <c r="F2296" t="s"/>
      <c r="G2296" t="s"/>
      <c r="H2296" t="s"/>
      <c r="I2296" t="s"/>
      <c r="J2296" t="n">
        <v>-0.8591</v>
      </c>
      <c r="K2296" t="n">
        <v>0.178</v>
      </c>
      <c r="L2296" t="n">
        <v>0.822</v>
      </c>
      <c r="M2296" t="n">
        <v>0</v>
      </c>
    </row>
    <row r="2297" spans="1:13">
      <c r="A2297" s="1">
        <f>HYPERLINK("http://www.twitter.com/NathanBLawrence/status/961266684119126017", "961266684119126017")</f>
        <v/>
      </c>
      <c r="B2297" s="2" t="n">
        <v>43138.66216435185</v>
      </c>
      <c r="C2297" t="n">
        <v>15</v>
      </c>
      <c r="D2297" t="n">
        <v>3</v>
      </c>
      <c r="E2297" t="s">
        <v>2289</v>
      </c>
      <c r="F2297" t="s"/>
      <c r="G2297" t="s"/>
      <c r="H2297" t="s"/>
      <c r="I2297" t="s"/>
      <c r="J2297" t="n">
        <v>0.8119</v>
      </c>
      <c r="K2297" t="n">
        <v>0.057</v>
      </c>
      <c r="L2297" t="n">
        <v>0.726</v>
      </c>
      <c r="M2297" t="n">
        <v>0.217</v>
      </c>
    </row>
    <row r="2298" spans="1:13">
      <c r="A2298" s="1">
        <f>HYPERLINK("http://www.twitter.com/NathanBLawrence/status/961248027221651463", "961248027221651463")</f>
        <v/>
      </c>
      <c r="B2298" s="2" t="n">
        <v>43138.61068287037</v>
      </c>
      <c r="C2298" t="n">
        <v>0</v>
      </c>
      <c r="D2298" t="n">
        <v>23</v>
      </c>
      <c r="E2298" t="s">
        <v>2290</v>
      </c>
      <c r="F2298" t="s"/>
      <c r="G2298" t="s"/>
      <c r="H2298" t="s"/>
      <c r="I2298" t="s"/>
      <c r="J2298" t="n">
        <v>-0.6808</v>
      </c>
      <c r="K2298" t="n">
        <v>0.219</v>
      </c>
      <c r="L2298" t="n">
        <v>0.781</v>
      </c>
      <c r="M2298" t="n">
        <v>0</v>
      </c>
    </row>
    <row r="2299" spans="1:13">
      <c r="A2299" s="1">
        <f>HYPERLINK("http://www.twitter.com/NathanBLawrence/status/961244786257690625", "961244786257690625")</f>
        <v/>
      </c>
      <c r="B2299" s="2" t="n">
        <v>43138.60173611111</v>
      </c>
      <c r="C2299" t="n">
        <v>0</v>
      </c>
      <c r="D2299" t="n">
        <v>912</v>
      </c>
      <c r="E2299" t="s">
        <v>2291</v>
      </c>
      <c r="F2299">
        <f>HYPERLINK("http://pbs.twimg.com/media/DVaHGJ_WkAAup8J.jpg", "http://pbs.twimg.com/media/DVaHGJ_WkAAup8J.jpg")</f>
        <v/>
      </c>
      <c r="G2299" t="s"/>
      <c r="H2299" t="s"/>
      <c r="I2299" t="s"/>
      <c r="J2299" t="n">
        <v>0.4404</v>
      </c>
      <c r="K2299" t="n">
        <v>0</v>
      </c>
      <c r="L2299" t="n">
        <v>0.892</v>
      </c>
      <c r="M2299" t="n">
        <v>0.108</v>
      </c>
    </row>
    <row r="2300" spans="1:13">
      <c r="A2300" s="1">
        <f>HYPERLINK("http://www.twitter.com/NathanBLawrence/status/961234587602079749", "961234587602079749")</f>
        <v/>
      </c>
      <c r="B2300" s="2" t="n">
        <v>43138.57359953703</v>
      </c>
      <c r="C2300" t="n">
        <v>0</v>
      </c>
      <c r="D2300" t="n">
        <v>155</v>
      </c>
      <c r="E2300" t="s">
        <v>2292</v>
      </c>
      <c r="F2300">
        <f>HYPERLINK("http://pbs.twimg.com/media/DVbu1mTVMAE-4m5.jpg", "http://pbs.twimg.com/media/DVbu1mTVMAE-4m5.jpg")</f>
        <v/>
      </c>
      <c r="G2300" t="s"/>
      <c r="H2300" t="s"/>
      <c r="I2300" t="s"/>
      <c r="J2300" t="n">
        <v>0.9463</v>
      </c>
      <c r="K2300" t="n">
        <v>0</v>
      </c>
      <c r="L2300" t="n">
        <v>0.553</v>
      </c>
      <c r="M2300" t="n">
        <v>0.447</v>
      </c>
    </row>
    <row r="2301" spans="1:13">
      <c r="A2301" s="1">
        <f>HYPERLINK("http://www.twitter.com/NathanBLawrence/status/961100570613428226", "961100570613428226")</f>
        <v/>
      </c>
      <c r="B2301" s="2" t="n">
        <v>43138.20378472222</v>
      </c>
      <c r="C2301" t="n">
        <v>0</v>
      </c>
      <c r="D2301" t="n">
        <v>49</v>
      </c>
      <c r="E2301" t="s">
        <v>2293</v>
      </c>
      <c r="F2301">
        <f>HYPERLINK("http://pbs.twimg.com/media/DVSNRwvVMAA4vS4.jpg", "http://pbs.twimg.com/media/DVSNRwvVMAA4vS4.jpg")</f>
        <v/>
      </c>
      <c r="G2301" t="s"/>
      <c r="H2301" t="s"/>
      <c r="I2301" t="s"/>
      <c r="J2301" t="n">
        <v>0.8051</v>
      </c>
      <c r="K2301" t="n">
        <v>0.096</v>
      </c>
      <c r="L2301" t="n">
        <v>0.614</v>
      </c>
      <c r="M2301" t="n">
        <v>0.29</v>
      </c>
    </row>
    <row r="2302" spans="1:13">
      <c r="A2302" s="1">
        <f>HYPERLINK("http://www.twitter.com/NathanBLawrence/status/961088821784928256", "961088821784928256")</f>
        <v/>
      </c>
      <c r="B2302" s="2" t="n">
        <v>43138.17135416667</v>
      </c>
      <c r="C2302" t="n">
        <v>0</v>
      </c>
      <c r="D2302" t="n">
        <v>4</v>
      </c>
      <c r="E2302" t="s">
        <v>2294</v>
      </c>
      <c r="F2302" t="s"/>
      <c r="G2302" t="s"/>
      <c r="H2302" t="s"/>
      <c r="I2302" t="s"/>
      <c r="J2302" t="n">
        <v>0</v>
      </c>
      <c r="K2302" t="n">
        <v>0</v>
      </c>
      <c r="L2302" t="n">
        <v>1</v>
      </c>
      <c r="M2302" t="n">
        <v>0</v>
      </c>
    </row>
    <row r="2303" spans="1:13">
      <c r="A2303" s="1">
        <f>HYPERLINK("http://www.twitter.com/NathanBLawrence/status/961074466477535237", "961074466477535237")</f>
        <v/>
      </c>
      <c r="B2303" s="2" t="n">
        <v>43138.13174768518</v>
      </c>
      <c r="C2303" t="n">
        <v>0</v>
      </c>
      <c r="D2303" t="n">
        <v>30817</v>
      </c>
      <c r="E2303" t="s">
        <v>2295</v>
      </c>
      <c r="F2303">
        <f>HYPERLINK("https://video.twimg.com/ext_tw_video/961073405767421952/pu/vid/720x720/xSgMI4x1hJpAimeP.mp4", "https://video.twimg.com/ext_tw_video/961073405767421952/pu/vid/720x720/xSgMI4x1hJpAimeP.mp4")</f>
        <v/>
      </c>
      <c r="G2303" t="s"/>
      <c r="H2303" t="s"/>
      <c r="I2303" t="s"/>
      <c r="J2303" t="n">
        <v>0.8270999999999999</v>
      </c>
      <c r="K2303" t="n">
        <v>0</v>
      </c>
      <c r="L2303" t="n">
        <v>0.661</v>
      </c>
      <c r="M2303" t="n">
        <v>0.339</v>
      </c>
    </row>
    <row r="2304" spans="1:13">
      <c r="A2304" s="1">
        <f>HYPERLINK("http://www.twitter.com/NathanBLawrence/status/961067218862792706", "961067218862792706")</f>
        <v/>
      </c>
      <c r="B2304" s="2" t="n">
        <v>43138.11174768519</v>
      </c>
      <c r="C2304" t="n">
        <v>0</v>
      </c>
      <c r="D2304" t="n">
        <v>28</v>
      </c>
      <c r="E2304" t="s">
        <v>2296</v>
      </c>
      <c r="F2304">
        <f>HYPERLINK("http://pbs.twimg.com/media/DVZkwPCX4AAXZMy.jpg", "http://pbs.twimg.com/media/DVZkwPCX4AAXZMy.jpg")</f>
        <v/>
      </c>
      <c r="G2304" t="s"/>
      <c r="H2304" t="s"/>
      <c r="I2304" t="s"/>
      <c r="J2304" t="n">
        <v>0.9621</v>
      </c>
      <c r="K2304" t="n">
        <v>0</v>
      </c>
      <c r="L2304" t="n">
        <v>0.446</v>
      </c>
      <c r="M2304" t="n">
        <v>0.554</v>
      </c>
    </row>
    <row r="2305" spans="1:13">
      <c r="A2305" s="1">
        <f>HYPERLINK("http://www.twitter.com/NathanBLawrence/status/961066386498998274", "961066386498998274")</f>
        <v/>
      </c>
      <c r="B2305" s="2" t="n">
        <v>43138.10944444445</v>
      </c>
      <c r="C2305" t="n">
        <v>74</v>
      </c>
      <c r="D2305" t="n">
        <v>28</v>
      </c>
      <c r="E2305" t="s">
        <v>2297</v>
      </c>
      <c r="F2305">
        <f>HYPERLINK("http://pbs.twimg.com/media/DVZkwPCX4AAXZMy.jpg", "http://pbs.twimg.com/media/DVZkwPCX4AAXZMy.jpg")</f>
        <v/>
      </c>
      <c r="G2305" t="s"/>
      <c r="H2305" t="s"/>
      <c r="I2305" t="s"/>
      <c r="J2305" t="n">
        <v>0.9954</v>
      </c>
      <c r="K2305" t="n">
        <v>0.024</v>
      </c>
      <c r="L2305" t="n">
        <v>0.352</v>
      </c>
      <c r="M2305" t="n">
        <v>0.623</v>
      </c>
    </row>
    <row r="2306" spans="1:13">
      <c r="A2306" s="1">
        <f>HYPERLINK("http://www.twitter.com/NathanBLawrence/status/961008320969572352", "961008320969572352")</f>
        <v/>
      </c>
      <c r="B2306" s="2" t="n">
        <v>43137.94922453703</v>
      </c>
      <c r="C2306" t="n">
        <v>0</v>
      </c>
      <c r="D2306" t="n">
        <v>7</v>
      </c>
      <c r="E2306" t="s">
        <v>2298</v>
      </c>
      <c r="F2306" t="s"/>
      <c r="G2306" t="s"/>
      <c r="H2306" t="s"/>
      <c r="I2306" t="s"/>
      <c r="J2306" t="n">
        <v>0</v>
      </c>
      <c r="K2306" t="n">
        <v>0</v>
      </c>
      <c r="L2306" t="n">
        <v>1</v>
      </c>
      <c r="M2306" t="n">
        <v>0</v>
      </c>
    </row>
    <row r="2307" spans="1:13">
      <c r="A2307" s="1">
        <f>HYPERLINK("http://www.twitter.com/NathanBLawrence/status/960981317801439232", "960981317801439232")</f>
        <v/>
      </c>
      <c r="B2307" s="2" t="n">
        <v>43137.87469907408</v>
      </c>
      <c r="C2307" t="n">
        <v>0</v>
      </c>
      <c r="D2307" t="n">
        <v>7</v>
      </c>
      <c r="E2307" t="s">
        <v>2299</v>
      </c>
      <c r="F2307">
        <f>HYPERLINK("http://pbs.twimg.com/media/DVYQnnuVoAA_lDy.jpg", "http://pbs.twimg.com/media/DVYQnnuVoAA_lDy.jpg")</f>
        <v/>
      </c>
      <c r="G2307" t="s"/>
      <c r="H2307" t="s"/>
      <c r="I2307" t="s"/>
      <c r="J2307" t="n">
        <v>0</v>
      </c>
      <c r="K2307" t="n">
        <v>0</v>
      </c>
      <c r="L2307" t="n">
        <v>1</v>
      </c>
      <c r="M2307" t="n">
        <v>0</v>
      </c>
    </row>
    <row r="2308" spans="1:13">
      <c r="A2308" s="1">
        <f>HYPERLINK("http://www.twitter.com/NathanBLawrence/status/960980744012271617", "960980744012271617")</f>
        <v/>
      </c>
      <c r="B2308" s="2" t="n">
        <v>43137.873125</v>
      </c>
      <c r="C2308" t="n">
        <v>0</v>
      </c>
      <c r="D2308" t="n">
        <v>6</v>
      </c>
      <c r="E2308" t="s">
        <v>2300</v>
      </c>
      <c r="F2308" t="s"/>
      <c r="G2308" t="s"/>
      <c r="H2308" t="s"/>
      <c r="I2308" t="s"/>
      <c r="J2308" t="n">
        <v>0</v>
      </c>
      <c r="K2308" t="n">
        <v>0</v>
      </c>
      <c r="L2308" t="n">
        <v>1</v>
      </c>
      <c r="M2308" t="n">
        <v>0</v>
      </c>
    </row>
    <row r="2309" spans="1:13">
      <c r="A2309" s="1">
        <f>HYPERLINK("http://www.twitter.com/NathanBLawrence/status/960950381588242432", "960950381588242432")</f>
        <v/>
      </c>
      <c r="B2309" s="2" t="n">
        <v>43137.78934027778</v>
      </c>
      <c r="C2309" t="n">
        <v>0</v>
      </c>
      <c r="D2309" t="n">
        <v>0</v>
      </c>
      <c r="E2309" t="s">
        <v>2301</v>
      </c>
      <c r="F2309" t="s"/>
      <c r="G2309" t="s"/>
      <c r="H2309" t="s"/>
      <c r="I2309" t="s"/>
      <c r="J2309" t="n">
        <v>0.8507</v>
      </c>
      <c r="K2309" t="n">
        <v>0</v>
      </c>
      <c r="L2309" t="n">
        <v>0.377</v>
      </c>
      <c r="M2309" t="n">
        <v>0.623</v>
      </c>
    </row>
    <row r="2310" spans="1:13">
      <c r="A2310" s="1">
        <f>HYPERLINK("http://www.twitter.com/NathanBLawrence/status/960947352830992384", "960947352830992384")</f>
        <v/>
      </c>
      <c r="B2310" s="2" t="n">
        <v>43137.7809837963</v>
      </c>
      <c r="C2310" t="n">
        <v>0</v>
      </c>
      <c r="D2310" t="n">
        <v>11</v>
      </c>
      <c r="E2310" t="s">
        <v>2302</v>
      </c>
      <c r="F2310" t="s"/>
      <c r="G2310" t="s"/>
      <c r="H2310" t="s"/>
      <c r="I2310" t="s"/>
      <c r="J2310" t="n">
        <v>0.4738</v>
      </c>
      <c r="K2310" t="n">
        <v>0</v>
      </c>
      <c r="L2310" t="n">
        <v>0.764</v>
      </c>
      <c r="M2310" t="n">
        <v>0.236</v>
      </c>
    </row>
    <row r="2311" spans="1:13">
      <c r="A2311" s="1">
        <f>HYPERLINK("http://www.twitter.com/NathanBLawrence/status/960942101734350849", "960942101734350849")</f>
        <v/>
      </c>
      <c r="B2311" s="2" t="n">
        <v>43137.76649305555</v>
      </c>
      <c r="C2311" t="n">
        <v>0</v>
      </c>
      <c r="D2311" t="n">
        <v>2572</v>
      </c>
      <c r="E2311" t="s">
        <v>2303</v>
      </c>
      <c r="F2311" t="s"/>
      <c r="G2311" t="s"/>
      <c r="H2311" t="s"/>
      <c r="I2311" t="s"/>
      <c r="J2311" t="n">
        <v>-0.34</v>
      </c>
      <c r="K2311" t="n">
        <v>0.13</v>
      </c>
      <c r="L2311" t="n">
        <v>0.87</v>
      </c>
      <c r="M2311" t="n">
        <v>0</v>
      </c>
    </row>
    <row r="2312" spans="1:13">
      <c r="A2312" s="1">
        <f>HYPERLINK("http://www.twitter.com/NathanBLawrence/status/960939583692210176", "960939583692210176")</f>
        <v/>
      </c>
      <c r="B2312" s="2" t="n">
        <v>43137.75953703704</v>
      </c>
      <c r="C2312" t="n">
        <v>17</v>
      </c>
      <c r="D2312" t="n">
        <v>15</v>
      </c>
      <c r="E2312" t="s">
        <v>2304</v>
      </c>
      <c r="F2312" t="s"/>
      <c r="G2312" t="s"/>
      <c r="H2312" t="s"/>
      <c r="I2312" t="s"/>
      <c r="J2312" t="n">
        <v>-0.8458</v>
      </c>
      <c r="K2312" t="n">
        <v>0.304</v>
      </c>
      <c r="L2312" t="n">
        <v>0.507</v>
      </c>
      <c r="M2312" t="n">
        <v>0.188</v>
      </c>
    </row>
    <row r="2313" spans="1:13">
      <c r="A2313" s="1">
        <f>HYPERLINK("http://www.twitter.com/NathanBLawrence/status/960922957399851012", "960922957399851012")</f>
        <v/>
      </c>
      <c r="B2313" s="2" t="n">
        <v>43137.71365740741</v>
      </c>
      <c r="C2313" t="n">
        <v>0</v>
      </c>
      <c r="D2313" t="n">
        <v>5</v>
      </c>
      <c r="E2313" t="s">
        <v>2305</v>
      </c>
      <c r="F2313">
        <f>HYPERLINK("http://pbs.twimg.com/media/DVNax4DW4AIylD7.jpg", "http://pbs.twimg.com/media/DVNax4DW4AIylD7.jpg")</f>
        <v/>
      </c>
      <c r="G2313" t="s"/>
      <c r="H2313" t="s"/>
      <c r="I2313" t="s"/>
      <c r="J2313" t="n">
        <v>0.6369</v>
      </c>
      <c r="K2313" t="n">
        <v>0</v>
      </c>
      <c r="L2313" t="n">
        <v>0.743</v>
      </c>
      <c r="M2313" t="n">
        <v>0.257</v>
      </c>
    </row>
    <row r="2314" spans="1:13">
      <c r="A2314" s="1">
        <f>HYPERLINK("http://www.twitter.com/NathanBLawrence/status/960913612218028032", "960913612218028032")</f>
        <v/>
      </c>
      <c r="B2314" s="2" t="n">
        <v>43137.68787037037</v>
      </c>
      <c r="C2314" t="n">
        <v>0</v>
      </c>
      <c r="D2314" t="n">
        <v>496</v>
      </c>
      <c r="E2314" t="s">
        <v>2306</v>
      </c>
      <c r="F2314" t="s"/>
      <c r="G2314" t="s"/>
      <c r="H2314" t="s"/>
      <c r="I2314" t="s"/>
      <c r="J2314" t="n">
        <v>0</v>
      </c>
      <c r="K2314" t="n">
        <v>0</v>
      </c>
      <c r="L2314" t="n">
        <v>1</v>
      </c>
      <c r="M2314" t="n">
        <v>0</v>
      </c>
    </row>
    <row r="2315" spans="1:13">
      <c r="A2315" s="1">
        <f>HYPERLINK("http://www.twitter.com/NathanBLawrence/status/960908413092888577", "960908413092888577")</f>
        <v/>
      </c>
      <c r="B2315" s="2" t="n">
        <v>43137.67353009259</v>
      </c>
      <c r="C2315" t="n">
        <v>0</v>
      </c>
      <c r="D2315" t="n">
        <v>1910</v>
      </c>
      <c r="E2315" t="s">
        <v>2307</v>
      </c>
      <c r="F2315">
        <f>HYPERLINK("http://pbs.twimg.com/media/DVWvCWDUQAIAzVE.jpg", "http://pbs.twimg.com/media/DVWvCWDUQAIAzVE.jpg")</f>
        <v/>
      </c>
      <c r="G2315" t="s"/>
      <c r="H2315" t="s"/>
      <c r="I2315" t="s"/>
      <c r="J2315" t="n">
        <v>-0.7955</v>
      </c>
      <c r="K2315" t="n">
        <v>0.298</v>
      </c>
      <c r="L2315" t="n">
        <v>0.702</v>
      </c>
      <c r="M2315" t="n">
        <v>0</v>
      </c>
    </row>
    <row r="2316" spans="1:13">
      <c r="A2316" s="1">
        <f>HYPERLINK("http://www.twitter.com/NathanBLawrence/status/960907324708843521", "960907324708843521")</f>
        <v/>
      </c>
      <c r="B2316" s="2" t="n">
        <v>43137.67052083334</v>
      </c>
      <c r="C2316" t="n">
        <v>0</v>
      </c>
      <c r="D2316" t="n">
        <v>595</v>
      </c>
      <c r="E2316" t="s">
        <v>2308</v>
      </c>
      <c r="F2316" t="s"/>
      <c r="G2316" t="s"/>
      <c r="H2316" t="s"/>
      <c r="I2316" t="s"/>
      <c r="J2316" t="n">
        <v>0</v>
      </c>
      <c r="K2316" t="n">
        <v>0</v>
      </c>
      <c r="L2316" t="n">
        <v>1</v>
      </c>
      <c r="M2316" t="n">
        <v>0</v>
      </c>
    </row>
    <row r="2317" spans="1:13">
      <c r="A2317" s="1">
        <f>HYPERLINK("http://www.twitter.com/NathanBLawrence/status/960907118261006337", "960907118261006337")</f>
        <v/>
      </c>
      <c r="B2317" s="2" t="n">
        <v>43137.66995370371</v>
      </c>
      <c r="C2317" t="n">
        <v>0</v>
      </c>
      <c r="D2317" t="n">
        <v>7</v>
      </c>
      <c r="E2317" t="s">
        <v>2309</v>
      </c>
      <c r="F2317">
        <f>HYPERLINK("http://pbs.twimg.com/media/DVTuUqHXUAAbaca.jpg", "http://pbs.twimg.com/media/DVTuUqHXUAAbaca.jpg")</f>
        <v/>
      </c>
      <c r="G2317" t="s"/>
      <c r="H2317" t="s"/>
      <c r="I2317" t="s"/>
      <c r="J2317" t="n">
        <v>0</v>
      </c>
      <c r="K2317" t="n">
        <v>0</v>
      </c>
      <c r="L2317" t="n">
        <v>1</v>
      </c>
      <c r="M2317" t="n">
        <v>0</v>
      </c>
    </row>
    <row r="2318" spans="1:13">
      <c r="A2318" s="1">
        <f>HYPERLINK("http://www.twitter.com/NathanBLawrence/status/960892652647538693", "960892652647538693")</f>
        <v/>
      </c>
      <c r="B2318" s="2" t="n">
        <v>43137.63003472222</v>
      </c>
      <c r="C2318" t="n">
        <v>0</v>
      </c>
      <c r="D2318" t="n">
        <v>1</v>
      </c>
      <c r="E2318" t="s">
        <v>2310</v>
      </c>
      <c r="F2318" t="s"/>
      <c r="G2318" t="s"/>
      <c r="H2318" t="s"/>
      <c r="I2318" t="s"/>
      <c r="J2318" t="n">
        <v>-0.2387</v>
      </c>
      <c r="K2318" t="n">
        <v>0.136</v>
      </c>
      <c r="L2318" t="n">
        <v>0.699</v>
      </c>
      <c r="M2318" t="n">
        <v>0.165</v>
      </c>
    </row>
    <row r="2319" spans="1:13">
      <c r="A2319" s="1">
        <f>HYPERLINK("http://www.twitter.com/NathanBLawrence/status/960888669065314304", "960888669065314304")</f>
        <v/>
      </c>
      <c r="B2319" s="2" t="n">
        <v>43137.61903935186</v>
      </c>
      <c r="C2319" t="n">
        <v>0</v>
      </c>
      <c r="D2319" t="n">
        <v>0</v>
      </c>
      <c r="E2319" t="s">
        <v>2311</v>
      </c>
      <c r="F2319" t="s"/>
      <c r="G2319" t="s"/>
      <c r="H2319" t="s"/>
      <c r="I2319" t="s"/>
      <c r="J2319" t="n">
        <v>0.2023</v>
      </c>
      <c r="K2319" t="n">
        <v>0</v>
      </c>
      <c r="L2319" t="n">
        <v>0.921</v>
      </c>
      <c r="M2319" t="n">
        <v>0.079</v>
      </c>
    </row>
    <row r="2320" spans="1:13">
      <c r="A2320" s="1">
        <f>HYPERLINK("http://www.twitter.com/NathanBLawrence/status/960886833361145856", "960886833361145856")</f>
        <v/>
      </c>
      <c r="B2320" s="2" t="n">
        <v>43137.61398148148</v>
      </c>
      <c r="C2320" t="n">
        <v>0</v>
      </c>
      <c r="D2320" t="n">
        <v>0</v>
      </c>
      <c r="E2320" t="s">
        <v>2312</v>
      </c>
      <c r="F2320" t="s"/>
      <c r="G2320" t="s"/>
      <c r="H2320" t="s"/>
      <c r="I2320" t="s"/>
      <c r="J2320" t="n">
        <v>-0.34</v>
      </c>
      <c r="K2320" t="n">
        <v>0.168</v>
      </c>
      <c r="L2320" t="n">
        <v>0.727</v>
      </c>
      <c r="M2320" t="n">
        <v>0.105</v>
      </c>
    </row>
    <row r="2321" spans="1:13">
      <c r="A2321" s="1">
        <f>HYPERLINK("http://www.twitter.com/NathanBLawrence/status/960732979969626112", "960732979969626112")</f>
        <v/>
      </c>
      <c r="B2321" s="2" t="n">
        <v>43137.18942129629</v>
      </c>
      <c r="C2321" t="n">
        <v>0</v>
      </c>
      <c r="D2321" t="n">
        <v>58</v>
      </c>
      <c r="E2321" t="s">
        <v>2313</v>
      </c>
      <c r="F2321">
        <f>HYPERLINK("http://pbs.twimg.com/media/DVUqStUW4AARAMr.jpg", "http://pbs.twimg.com/media/DVUqStUW4AARAMr.jpg")</f>
        <v/>
      </c>
      <c r="G2321" t="s"/>
      <c r="H2321" t="s"/>
      <c r="I2321" t="s"/>
      <c r="J2321" t="n">
        <v>-0.7351</v>
      </c>
      <c r="K2321" t="n">
        <v>0.292</v>
      </c>
      <c r="L2321" t="n">
        <v>0.708</v>
      </c>
      <c r="M2321" t="n">
        <v>0</v>
      </c>
    </row>
    <row r="2322" spans="1:13">
      <c r="A2322" s="1">
        <f>HYPERLINK("http://www.twitter.com/NathanBLawrence/status/960732962865209346", "960732962865209346")</f>
        <v/>
      </c>
      <c r="B2322" s="2" t="n">
        <v>43137.189375</v>
      </c>
      <c r="C2322" t="n">
        <v>0</v>
      </c>
      <c r="D2322" t="n">
        <v>10</v>
      </c>
      <c r="E2322" t="s">
        <v>2314</v>
      </c>
      <c r="F2322" t="s"/>
      <c r="G2322" t="s"/>
      <c r="H2322" t="s"/>
      <c r="I2322" t="s"/>
      <c r="J2322" t="n">
        <v>0.8984</v>
      </c>
      <c r="K2322" t="n">
        <v>0</v>
      </c>
      <c r="L2322" t="n">
        <v>0.609</v>
      </c>
      <c r="M2322" t="n">
        <v>0.391</v>
      </c>
    </row>
    <row r="2323" spans="1:13">
      <c r="A2323" s="1">
        <f>HYPERLINK("http://www.twitter.com/NathanBLawrence/status/960732865557352448", "960732865557352448")</f>
        <v/>
      </c>
      <c r="B2323" s="2" t="n">
        <v>43137.18910879629</v>
      </c>
      <c r="C2323" t="n">
        <v>13</v>
      </c>
      <c r="D2323" t="n">
        <v>10</v>
      </c>
      <c r="E2323" t="s">
        <v>2315</v>
      </c>
      <c r="F2323" t="s"/>
      <c r="G2323" t="s"/>
      <c r="H2323" t="s"/>
      <c r="I2323" t="s"/>
      <c r="J2323" t="n">
        <v>0.9729</v>
      </c>
      <c r="K2323" t="n">
        <v>0</v>
      </c>
      <c r="L2323" t="n">
        <v>0.636</v>
      </c>
      <c r="M2323" t="n">
        <v>0.364</v>
      </c>
    </row>
    <row r="2324" spans="1:13">
      <c r="A2324" s="1">
        <f>HYPERLINK("http://www.twitter.com/NathanBLawrence/status/960727543216304128", "960727543216304128")</f>
        <v/>
      </c>
      <c r="B2324" s="2" t="n">
        <v>43137.17442129629</v>
      </c>
      <c r="C2324" t="n">
        <v>0</v>
      </c>
      <c r="D2324" t="n">
        <v>4092</v>
      </c>
      <c r="E2324" t="s">
        <v>2316</v>
      </c>
      <c r="F2324">
        <f>HYPERLINK("https://video.twimg.com/amplify_video/958761919984422912/vid/1280x720/mjYxL6aDI7aaeBh-.mp4", "https://video.twimg.com/amplify_video/958761919984422912/vid/1280x720/mjYxL6aDI7aaeBh-.mp4")</f>
        <v/>
      </c>
      <c r="G2324" t="s"/>
      <c r="H2324" t="s"/>
      <c r="I2324" t="s"/>
      <c r="J2324" t="n">
        <v>0.2732</v>
      </c>
      <c r="K2324" t="n">
        <v>0.128</v>
      </c>
      <c r="L2324" t="n">
        <v>0.6899999999999999</v>
      </c>
      <c r="M2324" t="n">
        <v>0.182</v>
      </c>
    </row>
    <row r="2325" spans="1:13">
      <c r="A2325" s="1">
        <f>HYPERLINK("http://www.twitter.com/NathanBLawrence/status/960721695559602176", "960721695559602176")</f>
        <v/>
      </c>
      <c r="B2325" s="2" t="n">
        <v>43137.15828703704</v>
      </c>
      <c r="C2325" t="n">
        <v>0</v>
      </c>
      <c r="D2325" t="n">
        <v>9</v>
      </c>
      <c r="E2325" t="s">
        <v>2317</v>
      </c>
      <c r="F2325">
        <f>HYPERLINK("http://pbs.twimg.com/media/DVTuhMsWsAEizCz.jpg", "http://pbs.twimg.com/media/DVTuhMsWsAEizCz.jpg")</f>
        <v/>
      </c>
      <c r="G2325" t="s"/>
      <c r="H2325" t="s"/>
      <c r="I2325" t="s"/>
      <c r="J2325" t="n">
        <v>0</v>
      </c>
      <c r="K2325" t="n">
        <v>0</v>
      </c>
      <c r="L2325" t="n">
        <v>1</v>
      </c>
      <c r="M2325" t="n">
        <v>0</v>
      </c>
    </row>
    <row r="2326" spans="1:13">
      <c r="A2326" s="1">
        <f>HYPERLINK("http://www.twitter.com/NathanBLawrence/status/960543247553695744", "960543247553695744")</f>
        <v/>
      </c>
      <c r="B2326" s="2" t="n">
        <v>43136.66585648148</v>
      </c>
      <c r="C2326" t="n">
        <v>0</v>
      </c>
      <c r="D2326" t="n">
        <v>0</v>
      </c>
      <c r="E2326" t="s">
        <v>2318</v>
      </c>
      <c r="F2326" t="s"/>
      <c r="G2326" t="s"/>
      <c r="H2326" t="s"/>
      <c r="I2326" t="s"/>
      <c r="J2326" t="n">
        <v>0.3517</v>
      </c>
      <c r="K2326" t="n">
        <v>0</v>
      </c>
      <c r="L2326" t="n">
        <v>0.859</v>
      </c>
      <c r="M2326" t="n">
        <v>0.141</v>
      </c>
    </row>
    <row r="2327" spans="1:13">
      <c r="A2327" s="1">
        <f>HYPERLINK("http://www.twitter.com/NathanBLawrence/status/960542185681817601", "960542185681817601")</f>
        <v/>
      </c>
      <c r="B2327" s="2" t="n">
        <v>43136.66292824074</v>
      </c>
      <c r="C2327" t="n">
        <v>0</v>
      </c>
      <c r="D2327" t="n">
        <v>1574</v>
      </c>
      <c r="E2327" t="s">
        <v>2319</v>
      </c>
      <c r="F2327" t="s"/>
      <c r="G2327" t="s"/>
      <c r="H2327" t="s"/>
      <c r="I2327" t="s"/>
      <c r="J2327" t="n">
        <v>0</v>
      </c>
      <c r="K2327" t="n">
        <v>0</v>
      </c>
      <c r="L2327" t="n">
        <v>1</v>
      </c>
      <c r="M2327" t="n">
        <v>0</v>
      </c>
    </row>
    <row r="2328" spans="1:13">
      <c r="A2328" s="1">
        <f>HYPERLINK("http://www.twitter.com/NathanBLawrence/status/960540895769751552", "960540895769751552")</f>
        <v/>
      </c>
      <c r="B2328" s="2" t="n">
        <v>43136.659375</v>
      </c>
      <c r="C2328" t="n">
        <v>0</v>
      </c>
      <c r="D2328" t="n">
        <v>529</v>
      </c>
      <c r="E2328" t="s">
        <v>2320</v>
      </c>
      <c r="F2328" t="s"/>
      <c r="G2328" t="s"/>
      <c r="H2328" t="s"/>
      <c r="I2328" t="s"/>
      <c r="J2328" t="n">
        <v>0</v>
      </c>
      <c r="K2328" t="n">
        <v>0</v>
      </c>
      <c r="L2328" t="n">
        <v>1</v>
      </c>
      <c r="M2328" t="n">
        <v>0</v>
      </c>
    </row>
    <row r="2329" spans="1:13">
      <c r="A2329" s="1">
        <f>HYPERLINK("http://www.twitter.com/NathanBLawrence/status/960540800936538120", "960540800936538120")</f>
        <v/>
      </c>
      <c r="B2329" s="2" t="n">
        <v>43136.6591087963</v>
      </c>
      <c r="C2329" t="n">
        <v>0</v>
      </c>
      <c r="D2329" t="n">
        <v>9</v>
      </c>
      <c r="E2329" t="s">
        <v>2321</v>
      </c>
      <c r="F2329" t="s"/>
      <c r="G2329" t="s"/>
      <c r="H2329" t="s"/>
      <c r="I2329" t="s"/>
      <c r="J2329" t="n">
        <v>-0.7391</v>
      </c>
      <c r="K2329" t="n">
        <v>0.226</v>
      </c>
      <c r="L2329" t="n">
        <v>0.774</v>
      </c>
      <c r="M2329" t="n">
        <v>0</v>
      </c>
    </row>
    <row r="2330" spans="1:13">
      <c r="A2330" s="1">
        <f>HYPERLINK("http://www.twitter.com/NathanBLawrence/status/960527654259757056", "960527654259757056")</f>
        <v/>
      </c>
      <c r="B2330" s="2" t="n">
        <v>43136.62283564815</v>
      </c>
      <c r="C2330" t="n">
        <v>0</v>
      </c>
      <c r="D2330" t="n">
        <v>228</v>
      </c>
      <c r="E2330" t="s">
        <v>2322</v>
      </c>
      <c r="F2330">
        <f>HYPERLINK("http://pbs.twimg.com/media/DVPhApnVoAAIp31.jpg", "http://pbs.twimg.com/media/DVPhApnVoAAIp31.jpg")</f>
        <v/>
      </c>
      <c r="G2330" t="s"/>
      <c r="H2330" t="s"/>
      <c r="I2330" t="s"/>
      <c r="J2330" t="n">
        <v>0</v>
      </c>
      <c r="K2330" t="n">
        <v>0</v>
      </c>
      <c r="L2330" t="n">
        <v>1</v>
      </c>
      <c r="M2330" t="n">
        <v>0</v>
      </c>
    </row>
    <row r="2331" spans="1:13">
      <c r="A2331" s="1">
        <f>HYPERLINK("http://www.twitter.com/NathanBLawrence/status/960527552543625217", "960527552543625217")</f>
        <v/>
      </c>
      <c r="B2331" s="2" t="n">
        <v>43136.6225462963</v>
      </c>
      <c r="C2331" t="n">
        <v>0</v>
      </c>
      <c r="D2331" t="n">
        <v>68</v>
      </c>
      <c r="E2331" t="s">
        <v>2323</v>
      </c>
      <c r="F2331">
        <f>HYPERLINK("http://pbs.twimg.com/media/DVPEJl-U0AAOwK8.jpg", "http://pbs.twimg.com/media/DVPEJl-U0AAOwK8.jpg")</f>
        <v/>
      </c>
      <c r="G2331" t="s"/>
      <c r="H2331" t="s"/>
      <c r="I2331" t="s"/>
      <c r="J2331" t="n">
        <v>0.9603</v>
      </c>
      <c r="K2331" t="n">
        <v>0</v>
      </c>
      <c r="L2331" t="n">
        <v>0.453</v>
      </c>
      <c r="M2331" t="n">
        <v>0.547</v>
      </c>
    </row>
    <row r="2332" spans="1:13">
      <c r="A2332" s="1">
        <f>HYPERLINK("http://www.twitter.com/NathanBLawrence/status/960518846250614784", "960518846250614784")</f>
        <v/>
      </c>
      <c r="B2332" s="2" t="n">
        <v>43136.59853009259</v>
      </c>
      <c r="C2332" t="n">
        <v>0</v>
      </c>
      <c r="D2332" t="n">
        <v>26</v>
      </c>
      <c r="E2332" t="s">
        <v>2324</v>
      </c>
      <c r="F2332" t="s"/>
      <c r="G2332" t="s"/>
      <c r="H2332" t="s"/>
      <c r="I2332" t="s"/>
      <c r="J2332" t="n">
        <v>0.2944</v>
      </c>
      <c r="K2332" t="n">
        <v>0.105</v>
      </c>
      <c r="L2332" t="n">
        <v>0.742</v>
      </c>
      <c r="M2332" t="n">
        <v>0.152</v>
      </c>
    </row>
    <row r="2333" spans="1:13">
      <c r="A2333" s="1">
        <f>HYPERLINK("http://www.twitter.com/NathanBLawrence/status/960513983559200768", "960513983559200768")</f>
        <v/>
      </c>
      <c r="B2333" s="2" t="n">
        <v>43136.58510416667</v>
      </c>
      <c r="C2333" t="n">
        <v>0</v>
      </c>
      <c r="D2333" t="n">
        <v>10787</v>
      </c>
      <c r="E2333" t="s">
        <v>2325</v>
      </c>
      <c r="F2333" t="s"/>
      <c r="G2333" t="s"/>
      <c r="H2333" t="s"/>
      <c r="I2333" t="s"/>
      <c r="J2333" t="n">
        <v>-0.1027</v>
      </c>
      <c r="K2333" t="n">
        <v>0.065</v>
      </c>
      <c r="L2333" t="n">
        <v>0.9350000000000001</v>
      </c>
      <c r="M2333" t="n">
        <v>0</v>
      </c>
    </row>
    <row r="2334" spans="1:13">
      <c r="A2334" s="1">
        <f>HYPERLINK("http://www.twitter.com/NathanBLawrence/status/960508728813539328", "960508728813539328")</f>
        <v/>
      </c>
      <c r="B2334" s="2" t="n">
        <v>43136.57060185185</v>
      </c>
      <c r="C2334" t="n">
        <v>0</v>
      </c>
      <c r="D2334" t="n">
        <v>5199</v>
      </c>
      <c r="E2334" t="s">
        <v>2326</v>
      </c>
      <c r="F2334">
        <f>HYPERLINK("http://pbs.twimg.com/media/DVPI6hNWAAAnRfN.jpg", "http://pbs.twimg.com/media/DVPI6hNWAAAnRfN.jpg")</f>
        <v/>
      </c>
      <c r="G2334" t="s"/>
      <c r="H2334" t="s"/>
      <c r="I2334" t="s"/>
      <c r="J2334" t="n">
        <v>0.0828</v>
      </c>
      <c r="K2334" t="n">
        <v>0.091</v>
      </c>
      <c r="L2334" t="n">
        <v>0.805</v>
      </c>
      <c r="M2334" t="n">
        <v>0.104</v>
      </c>
    </row>
    <row r="2335" spans="1:13">
      <c r="A2335" s="1">
        <f>HYPERLINK("http://www.twitter.com/NathanBLawrence/status/960508444301283329", "960508444301283329")</f>
        <v/>
      </c>
      <c r="B2335" s="2" t="n">
        <v>43136.56982638889</v>
      </c>
      <c r="C2335" t="n">
        <v>0</v>
      </c>
      <c r="D2335" t="n">
        <v>22147</v>
      </c>
      <c r="E2335" t="s">
        <v>2327</v>
      </c>
      <c r="F2335" t="s"/>
      <c r="G2335" t="s"/>
      <c r="H2335" t="s"/>
      <c r="I2335" t="s"/>
      <c r="J2335" t="n">
        <v>0.6808</v>
      </c>
      <c r="K2335" t="n">
        <v>0.076</v>
      </c>
      <c r="L2335" t="n">
        <v>0.647</v>
      </c>
      <c r="M2335" t="n">
        <v>0.277</v>
      </c>
    </row>
    <row r="2336" spans="1:13">
      <c r="A2336" s="1">
        <f>HYPERLINK("http://www.twitter.com/NathanBLawrence/status/960507354017124352", "960507354017124352")</f>
        <v/>
      </c>
      <c r="B2336" s="2" t="n">
        <v>43136.56681712963</v>
      </c>
      <c r="C2336" t="n">
        <v>3</v>
      </c>
      <c r="D2336" t="n">
        <v>0</v>
      </c>
      <c r="E2336" t="s">
        <v>2328</v>
      </c>
      <c r="F2336" t="s"/>
      <c r="G2336" t="s"/>
      <c r="H2336" t="s"/>
      <c r="I2336" t="s"/>
      <c r="J2336" t="n">
        <v>-0.6341</v>
      </c>
      <c r="K2336" t="n">
        <v>0.223</v>
      </c>
      <c r="L2336" t="n">
        <v>0.777</v>
      </c>
      <c r="M2336" t="n">
        <v>0</v>
      </c>
    </row>
    <row r="2337" spans="1:13">
      <c r="A2337" s="1">
        <f>HYPERLINK("http://www.twitter.com/NathanBLawrence/status/960499305844019200", "960499305844019200")</f>
        <v/>
      </c>
      <c r="B2337" s="2" t="n">
        <v>43136.54460648148</v>
      </c>
      <c r="C2337" t="n">
        <v>0</v>
      </c>
      <c r="D2337" t="n">
        <v>9</v>
      </c>
      <c r="E2337" t="s">
        <v>2329</v>
      </c>
      <c r="F2337" t="s"/>
      <c r="G2337" t="s"/>
      <c r="H2337" t="s"/>
      <c r="I2337" t="s"/>
      <c r="J2337" t="n">
        <v>-0.9356</v>
      </c>
      <c r="K2337" t="n">
        <v>0.453</v>
      </c>
      <c r="L2337" t="n">
        <v>0.547</v>
      </c>
      <c r="M2337" t="n">
        <v>0</v>
      </c>
    </row>
    <row r="2338" spans="1:13">
      <c r="A2338" s="1">
        <f>HYPERLINK("http://www.twitter.com/NathanBLawrence/status/960315685774807042", "960315685774807042")</f>
        <v/>
      </c>
      <c r="B2338" s="2" t="n">
        <v>43136.03790509259</v>
      </c>
      <c r="C2338" t="n">
        <v>0</v>
      </c>
      <c r="D2338" t="n">
        <v>4205</v>
      </c>
      <c r="E2338" t="s">
        <v>2330</v>
      </c>
      <c r="F2338">
        <f>HYPERLINK("http://pbs.twimg.com/media/DVOpYUuWkAEPjnn.jpg", "http://pbs.twimg.com/media/DVOpYUuWkAEPjnn.jpg")</f>
        <v/>
      </c>
      <c r="G2338" t="s"/>
      <c r="H2338" t="s"/>
      <c r="I2338" t="s"/>
      <c r="J2338" t="n">
        <v>-0.9340000000000001</v>
      </c>
      <c r="K2338" t="n">
        <v>0.502</v>
      </c>
      <c r="L2338" t="n">
        <v>0.393</v>
      </c>
      <c r="M2338" t="n">
        <v>0.105</v>
      </c>
    </row>
    <row r="2339" spans="1:13">
      <c r="A2339" s="1">
        <f>HYPERLINK("http://www.twitter.com/NathanBLawrence/status/960301186720129035", "960301186720129035")</f>
        <v/>
      </c>
      <c r="B2339" s="2" t="n">
        <v>43135.99790509259</v>
      </c>
      <c r="C2339" t="n">
        <v>0</v>
      </c>
      <c r="D2339" t="n">
        <v>19</v>
      </c>
      <c r="E2339" t="s">
        <v>2331</v>
      </c>
      <c r="F2339" t="s"/>
      <c r="G2339" t="s"/>
      <c r="H2339" t="s"/>
      <c r="I2339" t="s"/>
      <c r="J2339" t="n">
        <v>-0.4939</v>
      </c>
      <c r="K2339" t="n">
        <v>0.314</v>
      </c>
      <c r="L2339" t="n">
        <v>0.6860000000000001</v>
      </c>
      <c r="M2339" t="n">
        <v>0</v>
      </c>
    </row>
    <row r="2340" spans="1:13">
      <c r="A2340" s="1">
        <f>HYPERLINK("http://www.twitter.com/NathanBLawrence/status/960300396026744832", "960300396026744832")</f>
        <v/>
      </c>
      <c r="B2340" s="2" t="n">
        <v>43135.9957175926</v>
      </c>
      <c r="C2340" t="n">
        <v>0</v>
      </c>
      <c r="D2340" t="n">
        <v>417</v>
      </c>
      <c r="E2340" t="s">
        <v>2332</v>
      </c>
      <c r="F2340">
        <f>HYPERLINK("http://pbs.twimg.com/media/DVOjNwEVMAAE4sZ.jpg", "http://pbs.twimg.com/media/DVOjNwEVMAAE4sZ.jpg")</f>
        <v/>
      </c>
      <c r="G2340" t="s"/>
      <c r="H2340" t="s"/>
      <c r="I2340" t="s"/>
      <c r="J2340" t="n">
        <v>0.3506</v>
      </c>
      <c r="K2340" t="n">
        <v>0</v>
      </c>
      <c r="L2340" t="n">
        <v>0.914</v>
      </c>
      <c r="M2340" t="n">
        <v>0.08599999999999999</v>
      </c>
    </row>
    <row r="2341" spans="1:13">
      <c r="A2341" s="1">
        <f>HYPERLINK("http://www.twitter.com/NathanBLawrence/status/960300302472794113", "960300302472794113")</f>
        <v/>
      </c>
      <c r="B2341" s="2" t="n">
        <v>43135.99546296296</v>
      </c>
      <c r="C2341" t="n">
        <v>0</v>
      </c>
      <c r="D2341" t="n">
        <v>704</v>
      </c>
      <c r="E2341" t="s">
        <v>2333</v>
      </c>
      <c r="F2341">
        <f>HYPERLINK("http://pbs.twimg.com/media/DVOUEZtVAAAMVZJ.jpg", "http://pbs.twimg.com/media/DVOUEZtVAAAMVZJ.jpg")</f>
        <v/>
      </c>
      <c r="G2341">
        <f>HYPERLINK("http://pbs.twimg.com/media/DVOUJ5iVAAACNaX.jpg", "http://pbs.twimg.com/media/DVOUJ5iVAAACNaX.jpg")</f>
        <v/>
      </c>
      <c r="H2341">
        <f>HYPERLINK("http://pbs.twimg.com/media/DVOUOR8VoAAMFg9.jpg", "http://pbs.twimg.com/media/DVOUOR8VoAAMFg9.jpg")</f>
        <v/>
      </c>
      <c r="I2341" t="s"/>
      <c r="J2341" t="n">
        <v>-0.4215</v>
      </c>
      <c r="K2341" t="n">
        <v>0.128</v>
      </c>
      <c r="L2341" t="n">
        <v>0.872</v>
      </c>
      <c r="M2341" t="n">
        <v>0</v>
      </c>
    </row>
    <row r="2342" spans="1:13">
      <c r="A2342" s="1">
        <f>HYPERLINK("http://www.twitter.com/NathanBLawrence/status/960299473548316672", "960299473548316672")</f>
        <v/>
      </c>
      <c r="B2342" s="2" t="n">
        <v>43135.99317129629</v>
      </c>
      <c r="C2342" t="n">
        <v>0</v>
      </c>
      <c r="D2342" t="n">
        <v>5686</v>
      </c>
      <c r="E2342" t="s">
        <v>2334</v>
      </c>
      <c r="F2342">
        <f>HYPERLINK("http://pbs.twimg.com/media/DVN5-yOVAAAiv7M.jpg", "http://pbs.twimg.com/media/DVN5-yOVAAAiv7M.jpg")</f>
        <v/>
      </c>
      <c r="G2342">
        <f>HYPERLINK("http://pbs.twimg.com/media/DVN6NEjUMAAKojr.jpg", "http://pbs.twimg.com/media/DVN6NEjUMAAKojr.jpg")</f>
        <v/>
      </c>
      <c r="H2342" t="s"/>
      <c r="I2342" t="s"/>
      <c r="J2342" t="n">
        <v>-0.4588</v>
      </c>
      <c r="K2342" t="n">
        <v>0.125</v>
      </c>
      <c r="L2342" t="n">
        <v>0.875</v>
      </c>
      <c r="M2342" t="n">
        <v>0</v>
      </c>
    </row>
    <row r="2343" spans="1:13">
      <c r="A2343" s="1">
        <f>HYPERLINK("http://www.twitter.com/NathanBLawrence/status/960299163522084865", "960299163522084865")</f>
        <v/>
      </c>
      <c r="B2343" s="2" t="n">
        <v>43135.99231481482</v>
      </c>
      <c r="C2343" t="n">
        <v>0</v>
      </c>
      <c r="D2343" t="n">
        <v>144</v>
      </c>
      <c r="E2343" t="s">
        <v>2335</v>
      </c>
      <c r="F2343">
        <f>HYPERLINK("http://pbs.twimg.com/media/DVOotDgV4AAkgZw.jpg", "http://pbs.twimg.com/media/DVOotDgV4AAkgZw.jpg")</f>
        <v/>
      </c>
      <c r="G2343" t="s"/>
      <c r="H2343" t="s"/>
      <c r="I2343" t="s"/>
      <c r="J2343" t="n">
        <v>0</v>
      </c>
      <c r="K2343" t="n">
        <v>0</v>
      </c>
      <c r="L2343" t="n">
        <v>1</v>
      </c>
      <c r="M2343" t="n">
        <v>0</v>
      </c>
    </row>
    <row r="2344" spans="1:13">
      <c r="A2344" s="1">
        <f>HYPERLINK("http://www.twitter.com/NathanBLawrence/status/960295542361387009", "960295542361387009")</f>
        <v/>
      </c>
      <c r="B2344" s="2" t="n">
        <v>43135.98232638889</v>
      </c>
      <c r="C2344" t="n">
        <v>0</v>
      </c>
      <c r="D2344" t="n">
        <v>12</v>
      </c>
      <c r="E2344" t="s">
        <v>2336</v>
      </c>
      <c r="F2344" t="s"/>
      <c r="G2344" t="s"/>
      <c r="H2344" t="s"/>
      <c r="I2344" t="s"/>
      <c r="J2344" t="n">
        <v>0.296</v>
      </c>
      <c r="K2344" t="n">
        <v>0.116</v>
      </c>
      <c r="L2344" t="n">
        <v>0.657</v>
      </c>
      <c r="M2344" t="n">
        <v>0.227</v>
      </c>
    </row>
    <row r="2345" spans="1:13">
      <c r="A2345" s="1">
        <f>HYPERLINK("http://www.twitter.com/NathanBLawrence/status/960294843208687616", "960294843208687616")</f>
        <v/>
      </c>
      <c r="B2345" s="2" t="n">
        <v>43135.98039351852</v>
      </c>
      <c r="C2345" t="n">
        <v>0</v>
      </c>
      <c r="D2345" t="n">
        <v>182</v>
      </c>
      <c r="E2345" t="s">
        <v>2337</v>
      </c>
      <c r="F2345">
        <f>HYPERLINK("http://pbs.twimg.com/media/DVOhPkNU0AAh1u8.jpg", "http://pbs.twimg.com/media/DVOhPkNU0AAh1u8.jpg")</f>
        <v/>
      </c>
      <c r="G2345" t="s"/>
      <c r="H2345" t="s"/>
      <c r="I2345" t="s"/>
      <c r="J2345" t="n">
        <v>-0.4019</v>
      </c>
      <c r="K2345" t="n">
        <v>0.144</v>
      </c>
      <c r="L2345" t="n">
        <v>0.796</v>
      </c>
      <c r="M2345" t="n">
        <v>0.06</v>
      </c>
    </row>
    <row r="2346" spans="1:13">
      <c r="A2346" s="1">
        <f>HYPERLINK("http://www.twitter.com/NathanBLawrence/status/960243729201291264", "960243729201291264")</f>
        <v/>
      </c>
      <c r="B2346" s="2" t="n">
        <v>43135.83935185185</v>
      </c>
      <c r="C2346" t="n">
        <v>0</v>
      </c>
      <c r="D2346" t="n">
        <v>724</v>
      </c>
      <c r="E2346" t="s">
        <v>2338</v>
      </c>
      <c r="F2346">
        <f>HYPERLINK("http://pbs.twimg.com/media/DB-3TELV0AA_rpN.jpg", "http://pbs.twimg.com/media/DB-3TELV0AA_rpN.jpg")</f>
        <v/>
      </c>
      <c r="G2346" t="s"/>
      <c r="H2346" t="s"/>
      <c r="I2346" t="s"/>
      <c r="J2346" t="n">
        <v>-0.7506</v>
      </c>
      <c r="K2346" t="n">
        <v>0.375</v>
      </c>
      <c r="L2346" t="n">
        <v>0.455</v>
      </c>
      <c r="M2346" t="n">
        <v>0.17</v>
      </c>
    </row>
    <row r="2347" spans="1:13">
      <c r="A2347" s="1">
        <f>HYPERLINK("http://www.twitter.com/NathanBLawrence/status/960193567816933377", "960193567816933377")</f>
        <v/>
      </c>
      <c r="B2347" s="2" t="n">
        <v>43135.70092592593</v>
      </c>
      <c r="C2347" t="n">
        <v>0</v>
      </c>
      <c r="D2347" t="n">
        <v>56</v>
      </c>
      <c r="E2347" t="s">
        <v>2339</v>
      </c>
      <c r="F2347">
        <f>HYPERLINK("http://pbs.twimg.com/media/DVNA4-bU8AABfZj.jpg", "http://pbs.twimg.com/media/DVNA4-bU8AABfZj.jpg")</f>
        <v/>
      </c>
      <c r="G2347" t="s"/>
      <c r="H2347" t="s"/>
      <c r="I2347" t="s"/>
      <c r="J2347" t="n">
        <v>-0.1761</v>
      </c>
      <c r="K2347" t="n">
        <v>0.124</v>
      </c>
      <c r="L2347" t="n">
        <v>0.876</v>
      </c>
      <c r="M2347" t="n">
        <v>0</v>
      </c>
    </row>
    <row r="2348" spans="1:13">
      <c r="A2348" s="1">
        <f>HYPERLINK("http://www.twitter.com/NathanBLawrence/status/960193329114877953", "960193329114877953")</f>
        <v/>
      </c>
      <c r="B2348" s="2" t="n">
        <v>43135.7002662037</v>
      </c>
      <c r="C2348" t="n">
        <v>0</v>
      </c>
      <c r="D2348" t="n">
        <v>3752</v>
      </c>
      <c r="E2348" t="s">
        <v>2340</v>
      </c>
      <c r="F2348" t="s"/>
      <c r="G2348" t="s"/>
      <c r="H2348" t="s"/>
      <c r="I2348" t="s"/>
      <c r="J2348" t="n">
        <v>-0.4215</v>
      </c>
      <c r="K2348" t="n">
        <v>0.161</v>
      </c>
      <c r="L2348" t="n">
        <v>0.705</v>
      </c>
      <c r="M2348" t="n">
        <v>0.134</v>
      </c>
    </row>
    <row r="2349" spans="1:13">
      <c r="A2349" s="1">
        <f>HYPERLINK("http://www.twitter.com/NathanBLawrence/status/960175026300506114", "960175026300506114")</f>
        <v/>
      </c>
      <c r="B2349" s="2" t="n">
        <v>43135.64976851852</v>
      </c>
      <c r="C2349" t="n">
        <v>0</v>
      </c>
      <c r="D2349" t="n">
        <v>0</v>
      </c>
      <c r="E2349" t="s">
        <v>2341</v>
      </c>
      <c r="F2349" t="s"/>
      <c r="G2349" t="s"/>
      <c r="H2349" t="s"/>
      <c r="I2349" t="s"/>
      <c r="J2349" t="n">
        <v>0.5994</v>
      </c>
      <c r="K2349" t="n">
        <v>0</v>
      </c>
      <c r="L2349" t="n">
        <v>0.795</v>
      </c>
      <c r="M2349" t="n">
        <v>0.205</v>
      </c>
    </row>
    <row r="2350" spans="1:13">
      <c r="A2350" s="1">
        <f>HYPERLINK("http://www.twitter.com/NathanBLawrence/status/960172110290317314", "960172110290317314")</f>
        <v/>
      </c>
      <c r="B2350" s="2" t="n">
        <v>43135.64171296296</v>
      </c>
      <c r="C2350" t="n">
        <v>0</v>
      </c>
      <c r="D2350" t="n">
        <v>925</v>
      </c>
      <c r="E2350" t="s">
        <v>2342</v>
      </c>
      <c r="F2350" t="s"/>
      <c r="G2350" t="s"/>
      <c r="H2350" t="s"/>
      <c r="I2350" t="s"/>
      <c r="J2350" t="n">
        <v>0</v>
      </c>
      <c r="K2350" t="n">
        <v>0</v>
      </c>
      <c r="L2350" t="n">
        <v>1</v>
      </c>
      <c r="M2350" t="n">
        <v>0</v>
      </c>
    </row>
    <row r="2351" spans="1:13">
      <c r="A2351" s="1">
        <f>HYPERLINK("http://www.twitter.com/NathanBLawrence/status/960171858489434112", "960171858489434112")</f>
        <v/>
      </c>
      <c r="B2351" s="2" t="n">
        <v>43135.64101851852</v>
      </c>
      <c r="C2351" t="n">
        <v>0</v>
      </c>
      <c r="D2351" t="n">
        <v>13224</v>
      </c>
      <c r="E2351" t="s">
        <v>2343</v>
      </c>
      <c r="F2351">
        <f>HYPERLINK("http://pbs.twimg.com/media/DVJgwmWV4AAyfmK.jpg", "http://pbs.twimg.com/media/DVJgwmWV4AAyfmK.jpg")</f>
        <v/>
      </c>
      <c r="G2351" t="s"/>
      <c r="H2351" t="s"/>
      <c r="I2351" t="s"/>
      <c r="J2351" t="n">
        <v>0</v>
      </c>
      <c r="K2351" t="n">
        <v>0</v>
      </c>
      <c r="L2351" t="n">
        <v>1</v>
      </c>
      <c r="M2351" t="n">
        <v>0</v>
      </c>
    </row>
    <row r="2352" spans="1:13">
      <c r="A2352" s="1">
        <f>HYPERLINK("http://www.twitter.com/NathanBLawrence/status/960169739552256000", "960169739552256000")</f>
        <v/>
      </c>
      <c r="B2352" s="2" t="n">
        <v>43135.63517361111</v>
      </c>
      <c r="C2352" t="n">
        <v>0</v>
      </c>
      <c r="D2352" t="n">
        <v>204</v>
      </c>
      <c r="E2352" t="s">
        <v>2344</v>
      </c>
      <c r="F2352" t="s"/>
      <c r="G2352" t="s"/>
      <c r="H2352" t="s"/>
      <c r="I2352" t="s"/>
      <c r="J2352" t="n">
        <v>0.34</v>
      </c>
      <c r="K2352" t="n">
        <v>0</v>
      </c>
      <c r="L2352" t="n">
        <v>0.897</v>
      </c>
      <c r="M2352" t="n">
        <v>0.103</v>
      </c>
    </row>
    <row r="2353" spans="1:13">
      <c r="A2353" s="1">
        <f>HYPERLINK("http://www.twitter.com/NathanBLawrence/status/960169414925672449", "960169414925672449")</f>
        <v/>
      </c>
      <c r="B2353" s="2" t="n">
        <v>43135.63428240741</v>
      </c>
      <c r="C2353" t="n">
        <v>0</v>
      </c>
      <c r="D2353" t="n">
        <v>295</v>
      </c>
      <c r="E2353" t="s">
        <v>2345</v>
      </c>
      <c r="F2353" t="s"/>
      <c r="G2353" t="s"/>
      <c r="H2353" t="s"/>
      <c r="I2353" t="s"/>
      <c r="J2353" t="n">
        <v>0.34</v>
      </c>
      <c r="K2353" t="n">
        <v>0</v>
      </c>
      <c r="L2353" t="n">
        <v>0.87</v>
      </c>
      <c r="M2353" t="n">
        <v>0.13</v>
      </c>
    </row>
    <row r="2354" spans="1:13">
      <c r="A2354" s="1">
        <f>HYPERLINK("http://www.twitter.com/NathanBLawrence/status/960165840393031680", "960165840393031680")</f>
        <v/>
      </c>
      <c r="B2354" s="2" t="n">
        <v>43135.6244212963</v>
      </c>
      <c r="C2354" t="n">
        <v>0</v>
      </c>
      <c r="D2354" t="n">
        <v>0</v>
      </c>
      <c r="E2354" t="s">
        <v>2346</v>
      </c>
      <c r="F2354" t="s"/>
      <c r="G2354" t="s"/>
      <c r="H2354" t="s"/>
      <c r="I2354" t="s"/>
      <c r="J2354" t="n">
        <v>0.7257</v>
      </c>
      <c r="K2354" t="n">
        <v>0</v>
      </c>
      <c r="L2354" t="n">
        <v>0.8100000000000001</v>
      </c>
      <c r="M2354" t="n">
        <v>0.19</v>
      </c>
    </row>
    <row r="2355" spans="1:13">
      <c r="A2355" s="1">
        <f>HYPERLINK("http://www.twitter.com/NathanBLawrence/status/960034512574001152", "960034512574001152")</f>
        <v/>
      </c>
      <c r="B2355" s="2" t="n">
        <v>43135.26202546297</v>
      </c>
      <c r="C2355" t="n">
        <v>0</v>
      </c>
      <c r="D2355" t="n">
        <v>11890</v>
      </c>
      <c r="E2355" t="s">
        <v>2347</v>
      </c>
      <c r="F2355">
        <f>HYPERLINK("http://pbs.twimg.com/media/DJ4kf-vWAAAJhKr.jpg", "http://pbs.twimg.com/media/DJ4kf-vWAAAJhKr.jpg")</f>
        <v/>
      </c>
      <c r="G2355" t="s"/>
      <c r="H2355" t="s"/>
      <c r="I2355" t="s"/>
      <c r="J2355" t="n">
        <v>0.7712</v>
      </c>
      <c r="K2355" t="n">
        <v>0.162</v>
      </c>
      <c r="L2355" t="n">
        <v>0.493</v>
      </c>
      <c r="M2355" t="n">
        <v>0.345</v>
      </c>
    </row>
    <row r="2356" spans="1:13">
      <c r="A2356" s="1">
        <f>HYPERLINK("http://www.twitter.com/NathanBLawrence/status/959987557151969280", "959987557151969280")</f>
        <v/>
      </c>
      <c r="B2356" s="2" t="n">
        <v>43135.13244212963</v>
      </c>
      <c r="C2356" t="n">
        <v>0</v>
      </c>
      <c r="D2356" t="n">
        <v>509</v>
      </c>
      <c r="E2356" t="s">
        <v>2348</v>
      </c>
      <c r="F2356" t="s"/>
      <c r="G2356" t="s"/>
      <c r="H2356" t="s"/>
      <c r="I2356" t="s"/>
      <c r="J2356" t="n">
        <v>0.34</v>
      </c>
      <c r="K2356" t="n">
        <v>0</v>
      </c>
      <c r="L2356" t="n">
        <v>0.897</v>
      </c>
      <c r="M2356" t="n">
        <v>0.103</v>
      </c>
    </row>
    <row r="2357" spans="1:13">
      <c r="A2357" s="1">
        <f>HYPERLINK("http://www.twitter.com/NathanBLawrence/status/959981194455764992", "959981194455764992")</f>
        <v/>
      </c>
      <c r="B2357" s="2" t="n">
        <v>43135.11489583334</v>
      </c>
      <c r="C2357" t="n">
        <v>0</v>
      </c>
      <c r="D2357" t="n">
        <v>422</v>
      </c>
      <c r="E2357" t="s">
        <v>2349</v>
      </c>
      <c r="F2357">
        <f>HYPERLINK("http://pbs.twimg.com/media/DNFd4RvW0AA9Elu.jpg", "http://pbs.twimg.com/media/DNFd4RvW0AA9Elu.jpg")</f>
        <v/>
      </c>
      <c r="G2357" t="s"/>
      <c r="H2357" t="s"/>
      <c r="I2357" t="s"/>
      <c r="J2357" t="n">
        <v>0.2732</v>
      </c>
      <c r="K2357" t="n">
        <v>0</v>
      </c>
      <c r="L2357" t="n">
        <v>0.896</v>
      </c>
      <c r="M2357" t="n">
        <v>0.104</v>
      </c>
    </row>
    <row r="2358" spans="1:13">
      <c r="A2358" s="1">
        <f>HYPERLINK("http://www.twitter.com/NathanBLawrence/status/959980627813720064", "959980627813720064")</f>
        <v/>
      </c>
      <c r="B2358" s="2" t="n">
        <v>43135.11332175926</v>
      </c>
      <c r="C2358" t="n">
        <v>0</v>
      </c>
      <c r="D2358" t="n">
        <v>901</v>
      </c>
      <c r="E2358" t="s">
        <v>2350</v>
      </c>
      <c r="F2358" t="s"/>
      <c r="G2358" t="s"/>
      <c r="H2358" t="s"/>
      <c r="I2358" t="s"/>
      <c r="J2358" t="n">
        <v>-0.2023</v>
      </c>
      <c r="K2358" t="n">
        <v>0.142</v>
      </c>
      <c r="L2358" t="n">
        <v>0.748</v>
      </c>
      <c r="M2358" t="n">
        <v>0.11</v>
      </c>
    </row>
    <row r="2359" spans="1:13">
      <c r="A2359" s="1">
        <f>HYPERLINK("http://www.twitter.com/NathanBLawrence/status/959972670694666242", "959972670694666242")</f>
        <v/>
      </c>
      <c r="B2359" s="2" t="n">
        <v>43135.09136574074</v>
      </c>
      <c r="C2359" t="n">
        <v>0</v>
      </c>
      <c r="D2359" t="n">
        <v>0</v>
      </c>
      <c r="E2359" t="s">
        <v>2351</v>
      </c>
      <c r="F2359" t="s"/>
      <c r="G2359" t="s"/>
      <c r="H2359" t="s"/>
      <c r="I2359" t="s"/>
      <c r="J2359" t="n">
        <v>0.6486</v>
      </c>
      <c r="K2359" t="n">
        <v>0</v>
      </c>
      <c r="L2359" t="n">
        <v>0.739</v>
      </c>
      <c r="M2359" t="n">
        <v>0.261</v>
      </c>
    </row>
    <row r="2360" spans="1:13">
      <c r="A2360" s="1">
        <f>HYPERLINK("http://www.twitter.com/NathanBLawrence/status/959970832469647360", "959970832469647360")</f>
        <v/>
      </c>
      <c r="B2360" s="2" t="n">
        <v>43135.08629629629</v>
      </c>
      <c r="C2360" t="n">
        <v>0</v>
      </c>
      <c r="D2360" t="n">
        <v>516</v>
      </c>
      <c r="E2360" t="s">
        <v>2352</v>
      </c>
      <c r="F2360" t="s"/>
      <c r="G2360" t="s"/>
      <c r="H2360" t="s"/>
      <c r="I2360" t="s"/>
      <c r="J2360" t="n">
        <v>0</v>
      </c>
      <c r="K2360" t="n">
        <v>0</v>
      </c>
      <c r="L2360" t="n">
        <v>1</v>
      </c>
      <c r="M2360" t="n">
        <v>0</v>
      </c>
    </row>
    <row r="2361" spans="1:13">
      <c r="A2361" s="1">
        <f>HYPERLINK("http://www.twitter.com/NathanBLawrence/status/959960242191822848", "959960242191822848")</f>
        <v/>
      </c>
      <c r="B2361" s="2" t="n">
        <v>43135.05707175926</v>
      </c>
      <c r="C2361" t="n">
        <v>0</v>
      </c>
      <c r="D2361" t="n">
        <v>15</v>
      </c>
      <c r="E2361" t="s">
        <v>2353</v>
      </c>
      <c r="F2361">
        <f>HYPERLINK("http://pbs.twimg.com/media/DVJo1ECV4AAlp0g.jpg", "http://pbs.twimg.com/media/DVJo1ECV4AAlp0g.jpg")</f>
        <v/>
      </c>
      <c r="G2361" t="s"/>
      <c r="H2361" t="s"/>
      <c r="I2361" t="s"/>
      <c r="J2361" t="n">
        <v>0</v>
      </c>
      <c r="K2361" t="n">
        <v>0</v>
      </c>
      <c r="L2361" t="n">
        <v>1</v>
      </c>
      <c r="M2361" t="n">
        <v>0</v>
      </c>
    </row>
    <row r="2362" spans="1:13">
      <c r="A2362" s="1">
        <f>HYPERLINK("http://www.twitter.com/NathanBLawrence/status/959949296778039296", "959949296778039296")</f>
        <v/>
      </c>
      <c r="B2362" s="2" t="n">
        <v>43135.026875</v>
      </c>
      <c r="C2362" t="n">
        <v>3</v>
      </c>
      <c r="D2362" t="n">
        <v>2</v>
      </c>
      <c r="E2362" t="s">
        <v>2354</v>
      </c>
      <c r="F2362" t="s"/>
      <c r="G2362" t="s"/>
      <c r="H2362" t="s"/>
      <c r="I2362" t="s"/>
      <c r="J2362" t="n">
        <v>0.9344</v>
      </c>
      <c r="K2362" t="n">
        <v>0.061</v>
      </c>
      <c r="L2362" t="n">
        <v>0.479</v>
      </c>
      <c r="M2362" t="n">
        <v>0.46</v>
      </c>
    </row>
    <row r="2363" spans="1:13">
      <c r="A2363" s="1">
        <f>HYPERLINK("http://www.twitter.com/NathanBLawrence/status/959937089952415744", "959937089952415744")</f>
        <v/>
      </c>
      <c r="B2363" s="2" t="n">
        <v>43134.99318287037</v>
      </c>
      <c r="C2363" t="n">
        <v>0</v>
      </c>
      <c r="D2363" t="n">
        <v>4229</v>
      </c>
      <c r="E2363" t="s">
        <v>2355</v>
      </c>
      <c r="F2363" t="s"/>
      <c r="G2363" t="s"/>
      <c r="H2363" t="s"/>
      <c r="I2363" t="s"/>
      <c r="J2363" t="n">
        <v>-0.1779</v>
      </c>
      <c r="K2363" t="n">
        <v>0.144</v>
      </c>
      <c r="L2363" t="n">
        <v>0.744</v>
      </c>
      <c r="M2363" t="n">
        <v>0.112</v>
      </c>
    </row>
    <row r="2364" spans="1:13">
      <c r="A2364" s="1">
        <f>HYPERLINK("http://www.twitter.com/NathanBLawrence/status/959934880032358400", "959934880032358400")</f>
        <v/>
      </c>
      <c r="B2364" s="2" t="n">
        <v>43134.98708333333</v>
      </c>
      <c r="C2364" t="n">
        <v>0</v>
      </c>
      <c r="D2364" t="n">
        <v>14</v>
      </c>
      <c r="E2364" t="s">
        <v>2356</v>
      </c>
      <c r="F2364">
        <f>HYPERLINK("http://pbs.twimg.com/media/DVJQqB5VwAExgiW.jpg", "http://pbs.twimg.com/media/DVJQqB5VwAExgiW.jpg")</f>
        <v/>
      </c>
      <c r="G2364" t="s"/>
      <c r="H2364" t="s"/>
      <c r="I2364" t="s"/>
      <c r="J2364" t="n">
        <v>0</v>
      </c>
      <c r="K2364" t="n">
        <v>0</v>
      </c>
      <c r="L2364" t="n">
        <v>1</v>
      </c>
      <c r="M2364" t="n">
        <v>0</v>
      </c>
    </row>
    <row r="2365" spans="1:13">
      <c r="A2365" s="1">
        <f>HYPERLINK("http://www.twitter.com/NathanBLawrence/status/959933025961340930", "959933025961340930")</f>
        <v/>
      </c>
      <c r="B2365" s="2" t="n">
        <v>43134.98196759259</v>
      </c>
      <c r="C2365" t="n">
        <v>0</v>
      </c>
      <c r="D2365" t="n">
        <v>7</v>
      </c>
      <c r="E2365" t="s">
        <v>2357</v>
      </c>
      <c r="F2365" t="s"/>
      <c r="G2365" t="s"/>
      <c r="H2365" t="s"/>
      <c r="I2365" t="s"/>
      <c r="J2365" t="n">
        <v>0.5972</v>
      </c>
      <c r="K2365" t="n">
        <v>0.119</v>
      </c>
      <c r="L2365" t="n">
        <v>0.593</v>
      </c>
      <c r="M2365" t="n">
        <v>0.289</v>
      </c>
    </row>
    <row r="2366" spans="1:13">
      <c r="A2366" s="1">
        <f>HYPERLINK("http://www.twitter.com/NathanBLawrence/status/959932475253428224", "959932475253428224")</f>
        <v/>
      </c>
      <c r="B2366" s="2" t="n">
        <v>43134.98045138889</v>
      </c>
      <c r="C2366" t="n">
        <v>0</v>
      </c>
      <c r="D2366" t="n">
        <v>14125</v>
      </c>
      <c r="E2366" t="s">
        <v>2358</v>
      </c>
      <c r="F2366" t="s"/>
      <c r="G2366" t="s"/>
      <c r="H2366" t="s"/>
      <c r="I2366" t="s"/>
      <c r="J2366" t="n">
        <v>0.6887</v>
      </c>
      <c r="K2366" t="n">
        <v>0.08699999999999999</v>
      </c>
      <c r="L2366" t="n">
        <v>0.636</v>
      </c>
      <c r="M2366" t="n">
        <v>0.277</v>
      </c>
    </row>
    <row r="2367" spans="1:13">
      <c r="A2367" s="1">
        <f>HYPERLINK("http://www.twitter.com/NathanBLawrence/status/959866625615855616", "959866625615855616")</f>
        <v/>
      </c>
      <c r="B2367" s="2" t="n">
        <v>43134.79873842592</v>
      </c>
      <c r="C2367" t="n">
        <v>0</v>
      </c>
      <c r="D2367" t="n">
        <v>351</v>
      </c>
      <c r="E2367" t="s">
        <v>2359</v>
      </c>
      <c r="F2367">
        <f>HYPERLINK("http://pbs.twimg.com/media/DVIdH57X0AEpGn9.jpg", "http://pbs.twimg.com/media/DVIdH57X0AEpGn9.jpg")</f>
        <v/>
      </c>
      <c r="G2367">
        <f>HYPERLINK("http://pbs.twimg.com/media/DVIdIGxW0AE0kup.jpg", "http://pbs.twimg.com/media/DVIdIGxW0AE0kup.jpg")</f>
        <v/>
      </c>
      <c r="H2367">
        <f>HYPERLINK("http://pbs.twimg.com/media/DVIdISuWsAAkR49.jpg", "http://pbs.twimg.com/media/DVIdISuWsAAkR49.jpg")</f>
        <v/>
      </c>
      <c r="I2367">
        <f>HYPERLINK("http://pbs.twimg.com/media/DVIdIeIXcAAjKhC.jpg", "http://pbs.twimg.com/media/DVIdIeIXcAAjKhC.jpg")</f>
        <v/>
      </c>
      <c r="J2367" t="n">
        <v>0.0772</v>
      </c>
      <c r="K2367" t="n">
        <v>0</v>
      </c>
      <c r="L2367" t="n">
        <v>0.9360000000000001</v>
      </c>
      <c r="M2367" t="n">
        <v>0.064</v>
      </c>
    </row>
    <row r="2368" spans="1:13">
      <c r="A2368" s="1">
        <f>HYPERLINK("http://www.twitter.com/NathanBLawrence/status/959861735497838593", "959861735497838593")</f>
        <v/>
      </c>
      <c r="B2368" s="2" t="n">
        <v>43134.78524305556</v>
      </c>
      <c r="C2368" t="n">
        <v>0</v>
      </c>
      <c r="D2368" t="n">
        <v>275</v>
      </c>
      <c r="E2368" t="s">
        <v>2360</v>
      </c>
      <c r="F2368">
        <f>HYPERLINK("https://video.twimg.com/ext_tw_video/917832689171836931/pu/vid/1280x720/FoRotSeu2EDzuVhG.mp4", "https://video.twimg.com/ext_tw_video/917832689171836931/pu/vid/1280x720/FoRotSeu2EDzuVhG.mp4")</f>
        <v/>
      </c>
      <c r="G2368" t="s"/>
      <c r="H2368" t="s"/>
      <c r="I2368" t="s"/>
      <c r="J2368" t="n">
        <v>0.2577</v>
      </c>
      <c r="K2368" t="n">
        <v>0</v>
      </c>
      <c r="L2368" t="n">
        <v>0.899</v>
      </c>
      <c r="M2368" t="n">
        <v>0.101</v>
      </c>
    </row>
    <row r="2369" spans="1:13">
      <c r="A2369" s="1">
        <f>HYPERLINK("http://www.twitter.com/NathanBLawrence/status/959861354709516290", "959861354709516290")</f>
        <v/>
      </c>
      <c r="B2369" s="2" t="n">
        <v>43134.78418981482</v>
      </c>
      <c r="C2369" t="n">
        <v>0</v>
      </c>
      <c r="D2369" t="n">
        <v>13</v>
      </c>
      <c r="E2369" t="s">
        <v>2361</v>
      </c>
      <c r="F2369" t="s"/>
      <c r="G2369" t="s"/>
      <c r="H2369" t="s"/>
      <c r="I2369" t="s"/>
      <c r="J2369" t="n">
        <v>0.296</v>
      </c>
      <c r="K2369" t="n">
        <v>0.091</v>
      </c>
      <c r="L2369" t="n">
        <v>0.753</v>
      </c>
      <c r="M2369" t="n">
        <v>0.156</v>
      </c>
    </row>
    <row r="2370" spans="1:13">
      <c r="A2370" s="1">
        <f>HYPERLINK("http://www.twitter.com/NathanBLawrence/status/959861342659325953", "959861342659325953")</f>
        <v/>
      </c>
      <c r="B2370" s="2" t="n">
        <v>43134.78416666666</v>
      </c>
      <c r="C2370" t="n">
        <v>0</v>
      </c>
      <c r="D2370" t="n">
        <v>42</v>
      </c>
      <c r="E2370" t="s">
        <v>2362</v>
      </c>
      <c r="F2370" t="s"/>
      <c r="G2370" t="s"/>
      <c r="H2370" t="s"/>
      <c r="I2370" t="s"/>
      <c r="J2370" t="n">
        <v>0</v>
      </c>
      <c r="K2370" t="n">
        <v>0</v>
      </c>
      <c r="L2370" t="n">
        <v>1</v>
      </c>
      <c r="M2370" t="n">
        <v>0</v>
      </c>
    </row>
    <row r="2371" spans="1:13">
      <c r="A2371" s="1">
        <f>HYPERLINK("http://www.twitter.com/NathanBLawrence/status/959859980487839744", "959859980487839744")</f>
        <v/>
      </c>
      <c r="B2371" s="2" t="n">
        <v>43134.78040509259</v>
      </c>
      <c r="C2371" t="n">
        <v>22</v>
      </c>
      <c r="D2371" t="n">
        <v>13</v>
      </c>
      <c r="E2371" t="s">
        <v>2363</v>
      </c>
      <c r="F2371" t="s"/>
      <c r="G2371" t="s"/>
      <c r="H2371" t="s"/>
      <c r="I2371" t="s"/>
      <c r="J2371" t="n">
        <v>0.8408</v>
      </c>
      <c r="K2371" t="n">
        <v>0.034</v>
      </c>
      <c r="L2371" t="n">
        <v>0.769</v>
      </c>
      <c r="M2371" t="n">
        <v>0.197</v>
      </c>
    </row>
    <row r="2372" spans="1:13">
      <c r="A2372" s="1">
        <f>HYPERLINK("http://www.twitter.com/NathanBLawrence/status/959850269034020864", "959850269034020864")</f>
        <v/>
      </c>
      <c r="B2372" s="2" t="n">
        <v>43134.75359953703</v>
      </c>
      <c r="C2372" t="n">
        <v>0</v>
      </c>
      <c r="D2372" t="n">
        <v>0</v>
      </c>
      <c r="E2372" t="s">
        <v>2364</v>
      </c>
      <c r="F2372" t="s"/>
      <c r="G2372" t="s"/>
      <c r="H2372" t="s"/>
      <c r="I2372" t="s"/>
      <c r="J2372" t="n">
        <v>-0.3816</v>
      </c>
      <c r="K2372" t="n">
        <v>0.074</v>
      </c>
      <c r="L2372" t="n">
        <v>0.926</v>
      </c>
      <c r="M2372" t="n">
        <v>0</v>
      </c>
    </row>
    <row r="2373" spans="1:13">
      <c r="A2373" s="1">
        <f>HYPERLINK("http://www.twitter.com/NathanBLawrence/status/959841613810929666", "959841613810929666")</f>
        <v/>
      </c>
      <c r="B2373" s="2" t="n">
        <v>43134.72972222222</v>
      </c>
      <c r="C2373" t="n">
        <v>0</v>
      </c>
      <c r="D2373" t="n">
        <v>1305</v>
      </c>
      <c r="E2373" t="s">
        <v>2365</v>
      </c>
      <c r="F2373">
        <f>HYPERLINK("http://pbs.twimg.com/media/DVIH6oHV4AAK_Iu.jpg", "http://pbs.twimg.com/media/DVIH6oHV4AAK_Iu.jpg")</f>
        <v/>
      </c>
      <c r="G2373" t="s"/>
      <c r="H2373" t="s"/>
      <c r="I2373" t="s"/>
      <c r="J2373" t="n">
        <v>-0.7506</v>
      </c>
      <c r="K2373" t="n">
        <v>0.225</v>
      </c>
      <c r="L2373" t="n">
        <v>0.775</v>
      </c>
      <c r="M2373" t="n">
        <v>0</v>
      </c>
    </row>
    <row r="2374" spans="1:13">
      <c r="A2374" s="1">
        <f>HYPERLINK("http://www.twitter.com/NathanBLawrence/status/959827635210719232", "959827635210719232")</f>
        <v/>
      </c>
      <c r="B2374" s="2" t="n">
        <v>43134.69114583333</v>
      </c>
      <c r="C2374" t="n">
        <v>0</v>
      </c>
      <c r="D2374" t="n">
        <v>16234</v>
      </c>
      <c r="E2374" t="s">
        <v>2366</v>
      </c>
      <c r="F2374" t="s"/>
      <c r="G2374" t="s"/>
      <c r="H2374" t="s"/>
      <c r="I2374" t="s"/>
      <c r="J2374" t="n">
        <v>0.0516</v>
      </c>
      <c r="K2374" t="n">
        <v>0.134</v>
      </c>
      <c r="L2374" t="n">
        <v>0.725</v>
      </c>
      <c r="M2374" t="n">
        <v>0.141</v>
      </c>
    </row>
    <row r="2375" spans="1:13">
      <c r="A2375" s="1">
        <f>HYPERLINK("http://www.twitter.com/NathanBLawrence/status/959820762185166848", "959820762185166848")</f>
        <v/>
      </c>
      <c r="B2375" s="2" t="n">
        <v>43134.67217592592</v>
      </c>
      <c r="C2375" t="n">
        <v>0</v>
      </c>
      <c r="D2375" t="n">
        <v>1084</v>
      </c>
      <c r="E2375" t="s">
        <v>2367</v>
      </c>
      <c r="F2375" t="s"/>
      <c r="G2375" t="s"/>
      <c r="H2375" t="s"/>
      <c r="I2375" t="s"/>
      <c r="J2375" t="n">
        <v>0.3626</v>
      </c>
      <c r="K2375" t="n">
        <v>0</v>
      </c>
      <c r="L2375" t="n">
        <v>0.898</v>
      </c>
      <c r="M2375" t="n">
        <v>0.102</v>
      </c>
    </row>
    <row r="2376" spans="1:13">
      <c r="A2376" s="1">
        <f>HYPERLINK("http://www.twitter.com/NathanBLawrence/status/959819958577500163", "959819958577500163")</f>
        <v/>
      </c>
      <c r="B2376" s="2" t="n">
        <v>43134.66996527778</v>
      </c>
      <c r="C2376" t="n">
        <v>0</v>
      </c>
      <c r="D2376" t="n">
        <v>2953</v>
      </c>
      <c r="E2376" t="s">
        <v>2368</v>
      </c>
      <c r="F2376">
        <f>HYPERLINK("http://pbs.twimg.com/media/DVH0vkgVMAAaY9O.jpg", "http://pbs.twimg.com/media/DVH0vkgVMAAaY9O.jpg")</f>
        <v/>
      </c>
      <c r="G2376" t="s"/>
      <c r="H2376" t="s"/>
      <c r="I2376" t="s"/>
      <c r="J2376" t="n">
        <v>-0.5106000000000001</v>
      </c>
      <c r="K2376" t="n">
        <v>0.13</v>
      </c>
      <c r="L2376" t="n">
        <v>0.87</v>
      </c>
      <c r="M2376" t="n">
        <v>0</v>
      </c>
    </row>
    <row r="2377" spans="1:13">
      <c r="A2377" s="1">
        <f>HYPERLINK("http://www.twitter.com/NathanBLawrence/status/959816872467288069", "959816872467288069")</f>
        <v/>
      </c>
      <c r="B2377" s="2" t="n">
        <v>43134.66144675926</v>
      </c>
      <c r="C2377" t="n">
        <v>0</v>
      </c>
      <c r="D2377" t="n">
        <v>103</v>
      </c>
      <c r="E2377" t="s">
        <v>2369</v>
      </c>
      <c r="F2377" t="s"/>
      <c r="G2377" t="s"/>
      <c r="H2377" t="s"/>
      <c r="I2377" t="s"/>
      <c r="J2377" t="n">
        <v>0</v>
      </c>
      <c r="K2377" t="n">
        <v>0</v>
      </c>
      <c r="L2377" t="n">
        <v>1</v>
      </c>
      <c r="M2377" t="n">
        <v>0</v>
      </c>
    </row>
    <row r="2378" spans="1:13">
      <c r="A2378" s="1">
        <f>HYPERLINK("http://www.twitter.com/NathanBLawrence/status/959816752308867072", "959816752308867072")</f>
        <v/>
      </c>
      <c r="B2378" s="2" t="n">
        <v>43134.66111111111</v>
      </c>
      <c r="C2378" t="n">
        <v>0</v>
      </c>
      <c r="D2378" t="n">
        <v>7248</v>
      </c>
      <c r="E2378" t="s">
        <v>2370</v>
      </c>
      <c r="F2378" t="s"/>
      <c r="G2378" t="s"/>
      <c r="H2378" t="s"/>
      <c r="I2378" t="s"/>
      <c r="J2378" t="n">
        <v>-0.7269</v>
      </c>
      <c r="K2378" t="n">
        <v>0.231</v>
      </c>
      <c r="L2378" t="n">
        <v>0.722</v>
      </c>
      <c r="M2378" t="n">
        <v>0.047</v>
      </c>
    </row>
    <row r="2379" spans="1:13">
      <c r="A2379" s="1">
        <f>HYPERLINK("http://www.twitter.com/NathanBLawrence/status/959621718779269124", "959621718779269124")</f>
        <v/>
      </c>
      <c r="B2379" s="2" t="n">
        <v>43134.12292824074</v>
      </c>
      <c r="C2379" t="n">
        <v>0</v>
      </c>
      <c r="D2379" t="n">
        <v>38441</v>
      </c>
      <c r="E2379" t="s">
        <v>2371</v>
      </c>
      <c r="F2379" t="s"/>
      <c r="G2379" t="s"/>
      <c r="H2379" t="s"/>
      <c r="I2379" t="s"/>
      <c r="J2379" t="n">
        <v>-0.34</v>
      </c>
      <c r="K2379" t="n">
        <v>0.107</v>
      </c>
      <c r="L2379" t="n">
        <v>0.893</v>
      </c>
      <c r="M2379" t="n">
        <v>0</v>
      </c>
    </row>
    <row r="2380" spans="1:13">
      <c r="A2380" s="1">
        <f>HYPERLINK("http://www.twitter.com/NathanBLawrence/status/959597880393613312", "959597880393613312")</f>
        <v/>
      </c>
      <c r="B2380" s="2" t="n">
        <v>43134.0571412037</v>
      </c>
      <c r="C2380" t="n">
        <v>0</v>
      </c>
      <c r="D2380" t="n">
        <v>12</v>
      </c>
      <c r="E2380" t="s">
        <v>2372</v>
      </c>
      <c r="F2380">
        <f>HYPERLINK("http://pbs.twimg.com/media/DVEZmPDU0AA515e.jpg", "http://pbs.twimg.com/media/DVEZmPDU0AA515e.jpg")</f>
        <v/>
      </c>
      <c r="G2380" t="s"/>
      <c r="H2380" t="s"/>
      <c r="I2380" t="s"/>
      <c r="J2380" t="n">
        <v>0</v>
      </c>
      <c r="K2380" t="n">
        <v>0</v>
      </c>
      <c r="L2380" t="n">
        <v>1</v>
      </c>
      <c r="M2380" t="n">
        <v>0</v>
      </c>
    </row>
    <row r="2381" spans="1:13">
      <c r="A2381" s="1">
        <f>HYPERLINK("http://www.twitter.com/NathanBLawrence/status/959596167838527495", "959596167838527495")</f>
        <v/>
      </c>
      <c r="B2381" s="2" t="n">
        <v>43134.05241898148</v>
      </c>
      <c r="C2381" t="n">
        <v>0</v>
      </c>
      <c r="D2381" t="n">
        <v>2</v>
      </c>
      <c r="E2381" t="s">
        <v>2373</v>
      </c>
      <c r="F2381" t="s"/>
      <c r="G2381" t="s"/>
      <c r="H2381" t="s"/>
      <c r="I2381" t="s"/>
      <c r="J2381" t="n">
        <v>0.8188</v>
      </c>
      <c r="K2381" t="n">
        <v>0</v>
      </c>
      <c r="L2381" t="n">
        <v>0.6929999999999999</v>
      </c>
      <c r="M2381" t="n">
        <v>0.307</v>
      </c>
    </row>
    <row r="2382" spans="1:13">
      <c r="A2382" s="1">
        <f>HYPERLINK("http://www.twitter.com/NathanBLawrence/status/959594339390377985", "959594339390377985")</f>
        <v/>
      </c>
      <c r="B2382" s="2" t="n">
        <v>43134.04737268519</v>
      </c>
      <c r="C2382" t="n">
        <v>0</v>
      </c>
      <c r="D2382" t="n">
        <v>341</v>
      </c>
      <c r="E2382" t="s">
        <v>2374</v>
      </c>
      <c r="F2382">
        <f>HYPERLINK("http://pbs.twimg.com/media/DUcjzqIVAAAHema.jpg", "http://pbs.twimg.com/media/DUcjzqIVAAAHema.jpg")</f>
        <v/>
      </c>
      <c r="G2382" t="s"/>
      <c r="H2382" t="s"/>
      <c r="I2382" t="s"/>
      <c r="J2382" t="n">
        <v>-0.3182</v>
      </c>
      <c r="K2382" t="n">
        <v>0.095</v>
      </c>
      <c r="L2382" t="n">
        <v>0.905</v>
      </c>
      <c r="M2382" t="n">
        <v>0</v>
      </c>
    </row>
    <row r="2383" spans="1:13">
      <c r="A2383" s="1">
        <f>HYPERLINK("http://www.twitter.com/NathanBLawrence/status/959593587196530689", "959593587196530689")</f>
        <v/>
      </c>
      <c r="B2383" s="2" t="n">
        <v>43134.04530092593</v>
      </c>
      <c r="C2383" t="n">
        <v>0</v>
      </c>
      <c r="D2383" t="n">
        <v>545</v>
      </c>
      <c r="E2383" t="s">
        <v>2375</v>
      </c>
      <c r="F2383">
        <f>HYPERLINK("https://video.twimg.com/ext_tw_video/959541560873381889/pu/vid/1280x720/Jd0olksh6pFbAN3g.mp4", "https://video.twimg.com/ext_tw_video/959541560873381889/pu/vid/1280x720/Jd0olksh6pFbAN3g.mp4")</f>
        <v/>
      </c>
      <c r="G2383" t="s"/>
      <c r="H2383" t="s"/>
      <c r="I2383" t="s"/>
      <c r="J2383" t="n">
        <v>-0.8705000000000001</v>
      </c>
      <c r="K2383" t="n">
        <v>0.33</v>
      </c>
      <c r="L2383" t="n">
        <v>0.67</v>
      </c>
      <c r="M2383" t="n">
        <v>0</v>
      </c>
    </row>
    <row r="2384" spans="1:13">
      <c r="A2384" s="1">
        <f>HYPERLINK("http://www.twitter.com/NathanBLawrence/status/959570422521126913", "959570422521126913")</f>
        <v/>
      </c>
      <c r="B2384" s="2" t="n">
        <v>43133.98137731481</v>
      </c>
      <c r="C2384" t="n">
        <v>1</v>
      </c>
      <c r="D2384" t="n">
        <v>0</v>
      </c>
      <c r="E2384" t="s">
        <v>2376</v>
      </c>
      <c r="F2384" t="s"/>
      <c r="G2384" t="s"/>
      <c r="H2384" t="s"/>
      <c r="I2384" t="s"/>
      <c r="J2384" t="n">
        <v>0.3612</v>
      </c>
      <c r="K2384" t="n">
        <v>0</v>
      </c>
      <c r="L2384" t="n">
        <v>0.865</v>
      </c>
      <c r="M2384" t="n">
        <v>0.135</v>
      </c>
    </row>
    <row r="2385" spans="1:13">
      <c r="A2385" s="1">
        <f>HYPERLINK("http://www.twitter.com/NathanBLawrence/status/959523623940870147", "959523623940870147")</f>
        <v/>
      </c>
      <c r="B2385" s="2" t="n">
        <v>43133.85223379629</v>
      </c>
      <c r="C2385" t="n">
        <v>0</v>
      </c>
      <c r="D2385" t="n">
        <v>11777</v>
      </c>
      <c r="E2385" t="s">
        <v>2377</v>
      </c>
      <c r="F2385" t="s"/>
      <c r="G2385" t="s"/>
      <c r="H2385" t="s"/>
      <c r="I2385" t="s"/>
      <c r="J2385" t="n">
        <v>-0.91</v>
      </c>
      <c r="K2385" t="n">
        <v>0.343</v>
      </c>
      <c r="L2385" t="n">
        <v>0.657</v>
      </c>
      <c r="M2385" t="n">
        <v>0</v>
      </c>
    </row>
    <row r="2386" spans="1:13">
      <c r="A2386" s="1">
        <f>HYPERLINK("http://www.twitter.com/NathanBLawrence/status/959490013456199684", "959490013456199684")</f>
        <v/>
      </c>
      <c r="B2386" s="2" t="n">
        <v>43133.75949074074</v>
      </c>
      <c r="C2386" t="n">
        <v>0</v>
      </c>
      <c r="D2386" t="n">
        <v>18</v>
      </c>
      <c r="E2386" t="s">
        <v>2378</v>
      </c>
      <c r="F2386">
        <f>HYPERLINK("http://pbs.twimg.com/media/DVDGaj5VMAArOVR.jpg", "http://pbs.twimg.com/media/DVDGaj5VMAArOVR.jpg")</f>
        <v/>
      </c>
      <c r="G2386" t="s"/>
      <c r="H2386" t="s"/>
      <c r="I2386" t="s"/>
      <c r="J2386" t="n">
        <v>-0.4588</v>
      </c>
      <c r="K2386" t="n">
        <v>0.136</v>
      </c>
      <c r="L2386" t="n">
        <v>0.864</v>
      </c>
      <c r="M2386" t="n">
        <v>0</v>
      </c>
    </row>
    <row r="2387" spans="1:13">
      <c r="A2387" s="1">
        <f>HYPERLINK("http://www.twitter.com/NathanBLawrence/status/959484774661402631", "959484774661402631")</f>
        <v/>
      </c>
      <c r="B2387" s="2" t="n">
        <v>43133.74503472223</v>
      </c>
      <c r="C2387" t="n">
        <v>2</v>
      </c>
      <c r="D2387" t="n">
        <v>4</v>
      </c>
      <c r="E2387" t="s">
        <v>2379</v>
      </c>
      <c r="F2387" t="s"/>
      <c r="G2387" t="s"/>
      <c r="H2387" t="s"/>
      <c r="I2387" t="s"/>
      <c r="J2387" t="n">
        <v>0</v>
      </c>
      <c r="K2387" t="n">
        <v>0</v>
      </c>
      <c r="L2387" t="n">
        <v>1</v>
      </c>
      <c r="M2387" t="n">
        <v>0</v>
      </c>
    </row>
    <row r="2388" spans="1:13">
      <c r="A2388" s="1">
        <f>HYPERLINK("http://www.twitter.com/NathanBLawrence/status/959482485741670402", "959482485741670402")</f>
        <v/>
      </c>
      <c r="B2388" s="2" t="n">
        <v>43133.73871527778</v>
      </c>
      <c r="C2388" t="n">
        <v>0</v>
      </c>
      <c r="D2388" t="n">
        <v>90</v>
      </c>
      <c r="E2388" t="s">
        <v>2380</v>
      </c>
      <c r="F2388">
        <f>HYPERLINK("http://pbs.twimg.com/media/DVCKKruUMAEh0sp.jpg", "http://pbs.twimg.com/media/DVCKKruUMAEh0sp.jpg")</f>
        <v/>
      </c>
      <c r="G2388" t="s"/>
      <c r="H2388" t="s"/>
      <c r="I2388" t="s"/>
      <c r="J2388" t="n">
        <v>0.3612</v>
      </c>
      <c r="K2388" t="n">
        <v>0</v>
      </c>
      <c r="L2388" t="n">
        <v>0.889</v>
      </c>
      <c r="M2388" t="n">
        <v>0.111</v>
      </c>
    </row>
    <row r="2389" spans="1:13">
      <c r="A2389" s="1">
        <f>HYPERLINK("http://www.twitter.com/NathanBLawrence/status/959475983047897090", "959475983047897090")</f>
        <v/>
      </c>
      <c r="B2389" s="2" t="n">
        <v>43133.72077546296</v>
      </c>
      <c r="C2389" t="n">
        <v>0</v>
      </c>
      <c r="D2389" t="n">
        <v>69</v>
      </c>
      <c r="E2389" t="s">
        <v>2381</v>
      </c>
      <c r="F2389">
        <f>HYPERLINK("http://pbs.twimg.com/media/DSnaExpUMAAWdqd.jpg", "http://pbs.twimg.com/media/DSnaExpUMAAWdqd.jpg")</f>
        <v/>
      </c>
      <c r="G2389" t="s"/>
      <c r="H2389" t="s"/>
      <c r="I2389" t="s"/>
      <c r="J2389" t="n">
        <v>-0.8126</v>
      </c>
      <c r="K2389" t="n">
        <v>0.307</v>
      </c>
      <c r="L2389" t="n">
        <v>0.6929999999999999</v>
      </c>
      <c r="M2389" t="n">
        <v>0</v>
      </c>
    </row>
    <row r="2390" spans="1:13">
      <c r="A2390" s="1">
        <f>HYPERLINK("http://www.twitter.com/NathanBLawrence/status/959422363661193216", "959422363661193216")</f>
        <v/>
      </c>
      <c r="B2390" s="2" t="n">
        <v>43133.5728125</v>
      </c>
      <c r="C2390" t="n">
        <v>9</v>
      </c>
      <c r="D2390" t="n">
        <v>0</v>
      </c>
      <c r="E2390" t="s">
        <v>2382</v>
      </c>
      <c r="F2390" t="s"/>
      <c r="G2390" t="s"/>
      <c r="H2390" t="s"/>
      <c r="I2390" t="s"/>
      <c r="J2390" t="n">
        <v>0</v>
      </c>
      <c r="K2390" t="n">
        <v>0</v>
      </c>
      <c r="L2390" t="n">
        <v>1</v>
      </c>
      <c r="M2390" t="n">
        <v>0</v>
      </c>
    </row>
    <row r="2391" spans="1:13">
      <c r="A2391" s="1">
        <f>HYPERLINK("http://www.twitter.com/NathanBLawrence/status/959420512656150529", "959420512656150529")</f>
        <v/>
      </c>
      <c r="B2391" s="2" t="n">
        <v>43133.56770833334</v>
      </c>
      <c r="C2391" t="n">
        <v>0</v>
      </c>
      <c r="D2391" t="n">
        <v>21</v>
      </c>
      <c r="E2391" t="s">
        <v>2383</v>
      </c>
      <c r="F2391">
        <f>HYPERLINK("http://pbs.twimg.com/media/DVCLUPiVQAEUWOf.jpg", "http://pbs.twimg.com/media/DVCLUPiVQAEUWOf.jpg")</f>
        <v/>
      </c>
      <c r="G2391" t="s"/>
      <c r="H2391" t="s"/>
      <c r="I2391" t="s"/>
      <c r="J2391" t="n">
        <v>0</v>
      </c>
      <c r="K2391" t="n">
        <v>0</v>
      </c>
      <c r="L2391" t="n">
        <v>1</v>
      </c>
      <c r="M2391" t="n">
        <v>0</v>
      </c>
    </row>
    <row r="2392" spans="1:13">
      <c r="A2392" s="1">
        <f>HYPERLINK("http://www.twitter.com/NathanBLawrence/status/959419691168124928", "959419691168124928")</f>
        <v/>
      </c>
      <c r="B2392" s="2" t="n">
        <v>43133.56543981482</v>
      </c>
      <c r="C2392" t="n">
        <v>9</v>
      </c>
      <c r="D2392" t="n">
        <v>9</v>
      </c>
      <c r="E2392" t="s">
        <v>2384</v>
      </c>
      <c r="F2392" t="s"/>
      <c r="G2392" t="s"/>
      <c r="H2392" t="s"/>
      <c r="I2392" t="s"/>
      <c r="J2392" t="n">
        <v>-0.9356</v>
      </c>
      <c r="K2392" t="n">
        <v>0.487</v>
      </c>
      <c r="L2392" t="n">
        <v>0.513</v>
      </c>
      <c r="M2392" t="n">
        <v>0</v>
      </c>
    </row>
    <row r="2393" spans="1:13">
      <c r="A2393" s="1">
        <f>HYPERLINK("http://www.twitter.com/NathanBLawrence/status/959417238641102848", "959417238641102848")</f>
        <v/>
      </c>
      <c r="B2393" s="2" t="n">
        <v>43133.55866898148</v>
      </c>
      <c r="C2393" t="n">
        <v>94</v>
      </c>
      <c r="D2393" t="n">
        <v>61</v>
      </c>
      <c r="E2393" t="s">
        <v>2385</v>
      </c>
      <c r="F2393">
        <f>HYPERLINK("http://pbs.twimg.com/media/DVCI41xW4AEJ-Ya.jpg", "http://pbs.twimg.com/media/DVCI41xW4AEJ-Ya.jpg")</f>
        <v/>
      </c>
      <c r="G2393" t="s"/>
      <c r="H2393" t="s"/>
      <c r="I2393" t="s"/>
      <c r="J2393" t="n">
        <v>0.9448</v>
      </c>
      <c r="K2393" t="n">
        <v>0</v>
      </c>
      <c r="L2393" t="n">
        <v>0.613</v>
      </c>
      <c r="M2393" t="n">
        <v>0.387</v>
      </c>
    </row>
    <row r="2394" spans="1:13">
      <c r="A2394" s="1">
        <f>HYPERLINK("http://www.twitter.com/NathanBLawrence/status/959405556447498240", "959405556447498240")</f>
        <v/>
      </c>
      <c r="B2394" s="2" t="n">
        <v>43133.52643518519</v>
      </c>
      <c r="C2394" t="n">
        <v>0</v>
      </c>
      <c r="D2394" t="n">
        <v>120</v>
      </c>
      <c r="E2394" t="s">
        <v>2386</v>
      </c>
      <c r="F2394">
        <f>HYPERLINK("http://pbs.twimg.com/media/DVAIGQ6U0AIwCJf.jpg", "http://pbs.twimg.com/media/DVAIGQ6U0AIwCJf.jpg")</f>
        <v/>
      </c>
      <c r="G2394">
        <f>HYPERLINK("http://pbs.twimg.com/media/DVAIGQ5UQAEKyrx.jpg", "http://pbs.twimg.com/media/DVAIGQ5UQAEKyrx.jpg")</f>
        <v/>
      </c>
      <c r="H2394" t="s"/>
      <c r="I2394" t="s"/>
      <c r="J2394" t="n">
        <v>0.4767</v>
      </c>
      <c r="K2394" t="n">
        <v>0.061</v>
      </c>
      <c r="L2394" t="n">
        <v>0.798</v>
      </c>
      <c r="M2394" t="n">
        <v>0.141</v>
      </c>
    </row>
    <row r="2395" spans="1:13">
      <c r="A2395" s="1">
        <f>HYPERLINK("http://www.twitter.com/NathanBLawrence/status/959404410974720000", "959404410974720000")</f>
        <v/>
      </c>
      <c r="B2395" s="2" t="n">
        <v>43133.52327546296</v>
      </c>
      <c r="C2395" t="n">
        <v>0</v>
      </c>
      <c r="D2395" t="n">
        <v>180</v>
      </c>
      <c r="E2395" t="s">
        <v>2387</v>
      </c>
      <c r="F2395">
        <f>HYPERLINK("http://pbs.twimg.com/media/DU-7vWrV4AETUfd.jpg", "http://pbs.twimg.com/media/DU-7vWrV4AETUfd.jpg")</f>
        <v/>
      </c>
      <c r="G2395" t="s"/>
      <c r="H2395" t="s"/>
      <c r="I2395" t="s"/>
      <c r="J2395" t="n">
        <v>0</v>
      </c>
      <c r="K2395" t="n">
        <v>0</v>
      </c>
      <c r="L2395" t="n">
        <v>1</v>
      </c>
      <c r="M2395" t="n">
        <v>0</v>
      </c>
    </row>
    <row r="2396" spans="1:13">
      <c r="A2396" s="1">
        <f>HYPERLINK("http://www.twitter.com/NathanBLawrence/status/959382434050662401", "959382434050662401")</f>
        <v/>
      </c>
      <c r="B2396" s="2" t="n">
        <v>43133.46262731482</v>
      </c>
      <c r="C2396" t="n">
        <v>0</v>
      </c>
      <c r="D2396" t="n">
        <v>569</v>
      </c>
      <c r="E2396" t="s">
        <v>2388</v>
      </c>
      <c r="F2396">
        <f>HYPERLINK("https://video.twimg.com/amplify_video/959128475285168128/vid/720x720/u2nC7F0oMQ1AyRnz.mp4", "https://video.twimg.com/amplify_video/959128475285168128/vid/720x720/u2nC7F0oMQ1AyRnz.mp4")</f>
        <v/>
      </c>
      <c r="G2396" t="s"/>
      <c r="H2396" t="s"/>
      <c r="I2396" t="s"/>
      <c r="J2396" t="n">
        <v>-0.3802</v>
      </c>
      <c r="K2396" t="n">
        <v>0.12</v>
      </c>
      <c r="L2396" t="n">
        <v>0.88</v>
      </c>
      <c r="M2396" t="n">
        <v>0</v>
      </c>
    </row>
    <row r="2397" spans="1:13">
      <c r="A2397" s="1">
        <f>HYPERLINK("http://www.twitter.com/NathanBLawrence/status/959380055318286336", "959380055318286336")</f>
        <v/>
      </c>
      <c r="B2397" s="2" t="n">
        <v>43133.45606481482</v>
      </c>
      <c r="C2397" t="n">
        <v>5</v>
      </c>
      <c r="D2397" t="n">
        <v>2</v>
      </c>
      <c r="E2397" t="s">
        <v>2389</v>
      </c>
      <c r="F2397" t="s"/>
      <c r="G2397" t="s"/>
      <c r="H2397" t="s"/>
      <c r="I2397" t="s"/>
      <c r="J2397" t="n">
        <v>0</v>
      </c>
      <c r="K2397" t="n">
        <v>0</v>
      </c>
      <c r="L2397" t="n">
        <v>1</v>
      </c>
      <c r="M2397" t="n">
        <v>0</v>
      </c>
    </row>
    <row r="2398" spans="1:13">
      <c r="A2398" s="1">
        <f>HYPERLINK("http://www.twitter.com/NathanBLawrence/status/959302160142905344", "959302160142905344")</f>
        <v/>
      </c>
      <c r="B2398" s="2" t="n">
        <v>43133.24111111111</v>
      </c>
      <c r="C2398" t="n">
        <v>0</v>
      </c>
      <c r="D2398" t="n">
        <v>169</v>
      </c>
      <c r="E2398" t="s">
        <v>2390</v>
      </c>
      <c r="F2398" t="s"/>
      <c r="G2398" t="s"/>
      <c r="H2398" t="s"/>
      <c r="I2398" t="s"/>
      <c r="J2398" t="n">
        <v>-0.1761</v>
      </c>
      <c r="K2398" t="n">
        <v>0.063</v>
      </c>
      <c r="L2398" t="n">
        <v>0.9370000000000001</v>
      </c>
      <c r="M2398" t="n">
        <v>0</v>
      </c>
    </row>
    <row r="2399" spans="1:13">
      <c r="A2399" s="1">
        <f>HYPERLINK("http://www.twitter.com/NathanBLawrence/status/959301897315262465", "959301897315262465")</f>
        <v/>
      </c>
      <c r="B2399" s="2" t="n">
        <v>43133.24038194444</v>
      </c>
      <c r="C2399" t="n">
        <v>1</v>
      </c>
      <c r="D2399" t="n">
        <v>0</v>
      </c>
      <c r="E2399" t="s">
        <v>2391</v>
      </c>
      <c r="F2399" t="s"/>
      <c r="G2399" t="s"/>
      <c r="H2399" t="s"/>
      <c r="I2399" t="s"/>
      <c r="J2399" t="n">
        <v>0.8527</v>
      </c>
      <c r="K2399" t="n">
        <v>0.063</v>
      </c>
      <c r="L2399" t="n">
        <v>0.539</v>
      </c>
      <c r="M2399" t="n">
        <v>0.398</v>
      </c>
    </row>
    <row r="2400" spans="1:13">
      <c r="A2400" s="1">
        <f>HYPERLINK("http://www.twitter.com/NathanBLawrence/status/959286945338634241", "959286945338634241")</f>
        <v/>
      </c>
      <c r="B2400" s="2" t="n">
        <v>43133.19913194444</v>
      </c>
      <c r="C2400" t="n">
        <v>0</v>
      </c>
      <c r="D2400" t="n">
        <v>18</v>
      </c>
      <c r="E2400" t="s">
        <v>2392</v>
      </c>
      <c r="F2400" t="s"/>
      <c r="G2400" t="s"/>
      <c r="H2400" t="s"/>
      <c r="I2400" t="s"/>
      <c r="J2400" t="n">
        <v>0.2732</v>
      </c>
      <c r="K2400" t="n">
        <v>0</v>
      </c>
      <c r="L2400" t="n">
        <v>0.9</v>
      </c>
      <c r="M2400" t="n">
        <v>0.1</v>
      </c>
    </row>
    <row r="2401" spans="1:13">
      <c r="A2401" s="1">
        <f>HYPERLINK("http://www.twitter.com/NathanBLawrence/status/959286741604552707", "959286741604552707")</f>
        <v/>
      </c>
      <c r="B2401" s="2" t="n">
        <v>43133.19856481482</v>
      </c>
      <c r="C2401" t="n">
        <v>0</v>
      </c>
      <c r="D2401" t="n">
        <v>4</v>
      </c>
      <c r="E2401" t="s">
        <v>2393</v>
      </c>
      <c r="F2401" t="s"/>
      <c r="G2401" t="s"/>
      <c r="H2401" t="s"/>
      <c r="I2401" t="s"/>
      <c r="J2401" t="n">
        <v>0.6369</v>
      </c>
      <c r="K2401" t="n">
        <v>0</v>
      </c>
      <c r="L2401" t="n">
        <v>0.756</v>
      </c>
      <c r="M2401" t="n">
        <v>0.244</v>
      </c>
    </row>
    <row r="2402" spans="1:13">
      <c r="A2402" s="1">
        <f>HYPERLINK("http://www.twitter.com/NathanBLawrence/status/959286723992682497", "959286723992682497")</f>
        <v/>
      </c>
      <c r="B2402" s="2" t="n">
        <v>43133.19851851852</v>
      </c>
      <c r="C2402" t="n">
        <v>0</v>
      </c>
      <c r="D2402" t="n">
        <v>4</v>
      </c>
      <c r="E2402" t="s">
        <v>2394</v>
      </c>
      <c r="F2402" t="s"/>
      <c r="G2402" t="s"/>
      <c r="H2402" t="s"/>
      <c r="I2402" t="s"/>
      <c r="J2402" t="n">
        <v>-0.1779</v>
      </c>
      <c r="K2402" t="n">
        <v>0.116</v>
      </c>
      <c r="L2402" t="n">
        <v>0.884</v>
      </c>
      <c r="M2402" t="n">
        <v>0</v>
      </c>
    </row>
    <row r="2403" spans="1:13">
      <c r="A2403" s="1">
        <f>HYPERLINK("http://www.twitter.com/NathanBLawrence/status/959286430127161345", "959286430127161345")</f>
        <v/>
      </c>
      <c r="B2403" s="2" t="n">
        <v>43133.19770833333</v>
      </c>
      <c r="C2403" t="n">
        <v>1</v>
      </c>
      <c r="D2403" t="n">
        <v>4</v>
      </c>
      <c r="E2403" t="s">
        <v>2395</v>
      </c>
      <c r="F2403" t="s"/>
      <c r="G2403" t="s"/>
      <c r="H2403" t="s"/>
      <c r="I2403" t="s"/>
      <c r="J2403" t="n">
        <v>0.3542</v>
      </c>
      <c r="K2403" t="n">
        <v>0.142</v>
      </c>
      <c r="L2403" t="n">
        <v>0.67</v>
      </c>
      <c r="M2403" t="n">
        <v>0.188</v>
      </c>
    </row>
    <row r="2404" spans="1:13">
      <c r="A2404" s="1">
        <f>HYPERLINK("http://www.twitter.com/NathanBLawrence/status/959272510780067840", "959272510780067840")</f>
        <v/>
      </c>
      <c r="B2404" s="2" t="n">
        <v>43133.15929398148</v>
      </c>
      <c r="C2404" t="n">
        <v>28</v>
      </c>
      <c r="D2404" t="n">
        <v>18</v>
      </c>
      <c r="E2404" t="s">
        <v>2396</v>
      </c>
      <c r="F2404" t="s"/>
      <c r="G2404" t="s"/>
      <c r="H2404" t="s"/>
      <c r="I2404" t="s"/>
      <c r="J2404" t="n">
        <v>0.8542999999999999</v>
      </c>
      <c r="K2404" t="n">
        <v>0.068</v>
      </c>
      <c r="L2404" t="n">
        <v>0.6870000000000001</v>
      </c>
      <c r="M2404" t="n">
        <v>0.245</v>
      </c>
    </row>
    <row r="2405" spans="1:13">
      <c r="A2405" s="1">
        <f>HYPERLINK("http://www.twitter.com/NathanBLawrence/status/959263688153882625", "959263688153882625")</f>
        <v/>
      </c>
      <c r="B2405" s="2" t="n">
        <v>43133.1349537037</v>
      </c>
      <c r="C2405" t="n">
        <v>0</v>
      </c>
      <c r="D2405" t="n">
        <v>0</v>
      </c>
      <c r="E2405" t="s">
        <v>2397</v>
      </c>
      <c r="F2405" t="s"/>
      <c r="G2405" t="s"/>
      <c r="H2405" t="s"/>
      <c r="I2405" t="s"/>
      <c r="J2405" t="n">
        <v>0.802</v>
      </c>
      <c r="K2405" t="n">
        <v>0</v>
      </c>
      <c r="L2405" t="n">
        <v>0.806</v>
      </c>
      <c r="M2405" t="n">
        <v>0.194</v>
      </c>
    </row>
    <row r="2406" spans="1:13">
      <c r="A2406" s="1">
        <f>HYPERLINK("http://www.twitter.com/NathanBLawrence/status/959258259021590528", "959258259021590528")</f>
        <v/>
      </c>
      <c r="B2406" s="2" t="n">
        <v>43133.11996527778</v>
      </c>
      <c r="C2406" t="n">
        <v>0</v>
      </c>
      <c r="D2406" t="n">
        <v>3</v>
      </c>
      <c r="E2406" t="s">
        <v>2398</v>
      </c>
      <c r="F2406" t="s"/>
      <c r="G2406" t="s"/>
      <c r="H2406" t="s"/>
      <c r="I2406" t="s"/>
      <c r="J2406" t="n">
        <v>0.4173</v>
      </c>
      <c r="K2406" t="n">
        <v>0</v>
      </c>
      <c r="L2406" t="n">
        <v>0.872</v>
      </c>
      <c r="M2406" t="n">
        <v>0.128</v>
      </c>
    </row>
    <row r="2407" spans="1:13">
      <c r="A2407" s="1">
        <f>HYPERLINK("http://www.twitter.com/NathanBLawrence/status/959248758432325632", "959248758432325632")</f>
        <v/>
      </c>
      <c r="B2407" s="2" t="n">
        <v>43133.09375</v>
      </c>
      <c r="C2407" t="n">
        <v>0</v>
      </c>
      <c r="D2407" t="n">
        <v>1541</v>
      </c>
      <c r="E2407" t="s">
        <v>2399</v>
      </c>
      <c r="F2407">
        <f>HYPERLINK("http://pbs.twimg.com/media/DU_pgubVAAAKwZQ.jpg", "http://pbs.twimg.com/media/DU_pgubVAAAKwZQ.jpg")</f>
        <v/>
      </c>
      <c r="G2407">
        <f>HYPERLINK("http://pbs.twimg.com/media/DU_phTIVAAAc6a0.jpg", "http://pbs.twimg.com/media/DU_phTIVAAAc6a0.jpg")</f>
        <v/>
      </c>
      <c r="H2407">
        <f>HYPERLINK("http://pbs.twimg.com/media/DU_phyVUQAAkdoM.jpg", "http://pbs.twimg.com/media/DU_phyVUQAAkdoM.jpg")</f>
        <v/>
      </c>
      <c r="I2407">
        <f>HYPERLINK("http://pbs.twimg.com/media/DU_pibfVAAAaJ22.jpg", "http://pbs.twimg.com/media/DU_pibfVAAAaJ22.jpg")</f>
        <v/>
      </c>
      <c r="J2407" t="n">
        <v>0.128</v>
      </c>
      <c r="K2407" t="n">
        <v>0.129</v>
      </c>
      <c r="L2407" t="n">
        <v>0.723</v>
      </c>
      <c r="M2407" t="n">
        <v>0.149</v>
      </c>
    </row>
    <row r="2408" spans="1:13">
      <c r="A2408" s="1">
        <f>HYPERLINK("http://www.twitter.com/NathanBLawrence/status/959197067905249281", "959197067905249281")</f>
        <v/>
      </c>
      <c r="B2408" s="2" t="n">
        <v>43132.95111111111</v>
      </c>
      <c r="C2408" t="n">
        <v>2</v>
      </c>
      <c r="D2408" t="n">
        <v>0</v>
      </c>
      <c r="E2408" t="s">
        <v>2400</v>
      </c>
      <c r="F2408" t="s"/>
      <c r="G2408" t="s"/>
      <c r="H2408" t="s"/>
      <c r="I2408" t="s"/>
      <c r="J2408" t="n">
        <v>0.6027</v>
      </c>
      <c r="K2408" t="n">
        <v>0.032</v>
      </c>
      <c r="L2408" t="n">
        <v>0.881</v>
      </c>
      <c r="M2408" t="n">
        <v>0.08699999999999999</v>
      </c>
    </row>
    <row r="2409" spans="1:13">
      <c r="A2409" s="1">
        <f>HYPERLINK("http://www.twitter.com/NathanBLawrence/status/959194017081806849", "959194017081806849")</f>
        <v/>
      </c>
      <c r="B2409" s="2" t="n">
        <v>43132.94269675926</v>
      </c>
      <c r="C2409" t="n">
        <v>0</v>
      </c>
      <c r="D2409" t="n">
        <v>88</v>
      </c>
      <c r="E2409" t="s">
        <v>2401</v>
      </c>
      <c r="F2409">
        <f>HYPERLINK("http://pbs.twimg.com/media/DU-zi4_U8AEqp1D.jpg", "http://pbs.twimg.com/media/DU-zi4_U8AEqp1D.jpg")</f>
        <v/>
      </c>
      <c r="G2409" t="s"/>
      <c r="H2409" t="s"/>
      <c r="I2409" t="s"/>
      <c r="J2409" t="n">
        <v>-0.5423</v>
      </c>
      <c r="K2409" t="n">
        <v>0.163</v>
      </c>
      <c r="L2409" t="n">
        <v>0.837</v>
      </c>
      <c r="M2409" t="n">
        <v>0</v>
      </c>
    </row>
    <row r="2410" spans="1:13">
      <c r="A2410" s="1">
        <f>HYPERLINK("http://www.twitter.com/NathanBLawrence/status/959165740195766272", "959165740195766272")</f>
        <v/>
      </c>
      <c r="B2410" s="2" t="n">
        <v>43132.86466435185</v>
      </c>
      <c r="C2410" t="n">
        <v>1</v>
      </c>
      <c r="D2410" t="n">
        <v>0</v>
      </c>
      <c r="E2410" t="s">
        <v>2402</v>
      </c>
      <c r="F2410" t="s"/>
      <c r="G2410" t="s"/>
      <c r="H2410" t="s"/>
      <c r="I2410" t="s"/>
      <c r="J2410" t="n">
        <v>0</v>
      </c>
      <c r="K2410" t="n">
        <v>0</v>
      </c>
      <c r="L2410" t="n">
        <v>1</v>
      </c>
      <c r="M2410" t="n">
        <v>0</v>
      </c>
    </row>
    <row r="2411" spans="1:13">
      <c r="A2411" s="1">
        <f>HYPERLINK("http://www.twitter.com/NathanBLawrence/status/959165025255608321", "959165025255608321")</f>
        <v/>
      </c>
      <c r="B2411" s="2" t="n">
        <v>43132.86269675926</v>
      </c>
      <c r="C2411" t="n">
        <v>0</v>
      </c>
      <c r="D2411" t="n">
        <v>238</v>
      </c>
      <c r="E2411" t="s">
        <v>2403</v>
      </c>
      <c r="F2411">
        <f>HYPERLINK("http://pbs.twimg.com/media/DU-c83_W4AEWOIw.jpg", "http://pbs.twimg.com/media/DU-c83_W4AEWOIw.jpg")</f>
        <v/>
      </c>
      <c r="G2411" t="s"/>
      <c r="H2411" t="s"/>
      <c r="I2411" t="s"/>
      <c r="J2411" t="n">
        <v>0.4019</v>
      </c>
      <c r="K2411" t="n">
        <v>0.07099999999999999</v>
      </c>
      <c r="L2411" t="n">
        <v>0.774</v>
      </c>
      <c r="M2411" t="n">
        <v>0.155</v>
      </c>
    </row>
    <row r="2412" spans="1:13">
      <c r="A2412" s="1">
        <f>HYPERLINK("http://www.twitter.com/NathanBLawrence/status/959157242175074304", "959157242175074304")</f>
        <v/>
      </c>
      <c r="B2412" s="2" t="n">
        <v>43132.84121527777</v>
      </c>
      <c r="C2412" t="n">
        <v>0</v>
      </c>
      <c r="D2412" t="n">
        <v>1</v>
      </c>
      <c r="E2412" t="s">
        <v>2404</v>
      </c>
      <c r="F2412" t="s"/>
      <c r="G2412" t="s"/>
      <c r="H2412" t="s"/>
      <c r="I2412" t="s"/>
      <c r="J2412" t="n">
        <v>0</v>
      </c>
      <c r="K2412" t="n">
        <v>0</v>
      </c>
      <c r="L2412" t="n">
        <v>1</v>
      </c>
      <c r="M2412" t="n">
        <v>0</v>
      </c>
    </row>
    <row r="2413" spans="1:13">
      <c r="A2413" s="1">
        <f>HYPERLINK("http://www.twitter.com/NathanBLawrence/status/959156356757454850", "959156356757454850")</f>
        <v/>
      </c>
      <c r="B2413" s="2" t="n">
        <v>43132.83877314815</v>
      </c>
      <c r="C2413" t="n">
        <v>0</v>
      </c>
      <c r="D2413" t="n">
        <v>1582</v>
      </c>
      <c r="E2413" t="s">
        <v>2405</v>
      </c>
      <c r="F2413">
        <f>HYPERLINK("http://pbs.twimg.com/media/DM2mygNVoAApcdd.png", "http://pbs.twimg.com/media/DM2mygNVoAApcdd.png")</f>
        <v/>
      </c>
      <c r="G2413" t="s"/>
      <c r="H2413" t="s"/>
      <c r="I2413" t="s"/>
      <c r="J2413" t="n">
        <v>-0.5266999999999999</v>
      </c>
      <c r="K2413" t="n">
        <v>0.152</v>
      </c>
      <c r="L2413" t="n">
        <v>0.848</v>
      </c>
      <c r="M2413" t="n">
        <v>0</v>
      </c>
    </row>
    <row r="2414" spans="1:13">
      <c r="A2414" s="1">
        <f>HYPERLINK("http://www.twitter.com/NathanBLawrence/status/959155795165437953", "959155795165437953")</f>
        <v/>
      </c>
      <c r="B2414" s="2" t="n">
        <v>43132.83722222222</v>
      </c>
      <c r="C2414" t="n">
        <v>0</v>
      </c>
      <c r="D2414" t="n">
        <v>102</v>
      </c>
      <c r="E2414" t="s">
        <v>2406</v>
      </c>
      <c r="F2414" t="s"/>
      <c r="G2414" t="s"/>
      <c r="H2414" t="s"/>
      <c r="I2414" t="s"/>
      <c r="J2414" t="n">
        <v>0</v>
      </c>
      <c r="K2414" t="n">
        <v>0</v>
      </c>
      <c r="L2414" t="n">
        <v>1</v>
      </c>
      <c r="M2414" t="n">
        <v>0</v>
      </c>
    </row>
    <row r="2415" spans="1:13">
      <c r="A2415" s="1">
        <f>HYPERLINK("http://www.twitter.com/NathanBLawrence/status/959128294582050816", "959128294582050816")</f>
        <v/>
      </c>
      <c r="B2415" s="2" t="n">
        <v>43132.76133101852</v>
      </c>
      <c r="C2415" t="n">
        <v>2</v>
      </c>
      <c r="D2415" t="n">
        <v>0</v>
      </c>
      <c r="E2415" t="s">
        <v>2407</v>
      </c>
      <c r="F2415" t="s"/>
      <c r="G2415" t="s"/>
      <c r="H2415" t="s"/>
      <c r="I2415" t="s"/>
      <c r="J2415" t="n">
        <v>-0.765</v>
      </c>
      <c r="K2415" t="n">
        <v>0.142</v>
      </c>
      <c r="L2415" t="n">
        <v>0.858</v>
      </c>
      <c r="M2415" t="n">
        <v>0</v>
      </c>
    </row>
    <row r="2416" spans="1:13">
      <c r="A2416" s="1">
        <f>HYPERLINK("http://www.twitter.com/NathanBLawrence/status/959117851662667776", "959117851662667776")</f>
        <v/>
      </c>
      <c r="B2416" s="2" t="n">
        <v>43132.73252314814</v>
      </c>
      <c r="C2416" t="n">
        <v>2</v>
      </c>
      <c r="D2416" t="n">
        <v>1</v>
      </c>
      <c r="E2416" t="s">
        <v>2408</v>
      </c>
      <c r="F2416" t="s"/>
      <c r="G2416" t="s"/>
      <c r="H2416" t="s"/>
      <c r="I2416" t="s"/>
      <c r="J2416" t="n">
        <v>-0.926</v>
      </c>
      <c r="K2416" t="n">
        <v>0.529</v>
      </c>
      <c r="L2416" t="n">
        <v>0.471</v>
      </c>
      <c r="M2416" t="n">
        <v>0</v>
      </c>
    </row>
    <row r="2417" spans="1:13">
      <c r="A2417" s="1">
        <f>HYPERLINK("http://www.twitter.com/NathanBLawrence/status/959110551380152320", "959110551380152320")</f>
        <v/>
      </c>
      <c r="B2417" s="2" t="n">
        <v>43132.71237268519</v>
      </c>
      <c r="C2417" t="n">
        <v>0</v>
      </c>
      <c r="D2417" t="n">
        <v>36</v>
      </c>
      <c r="E2417" t="s">
        <v>2409</v>
      </c>
      <c r="F2417">
        <f>HYPERLINK("http://pbs.twimg.com/media/DU9wWSvV4AEaCfJ.jpg", "http://pbs.twimg.com/media/DU9wWSvV4AEaCfJ.jpg")</f>
        <v/>
      </c>
      <c r="G2417" t="s"/>
      <c r="H2417" t="s"/>
      <c r="I2417" t="s"/>
      <c r="J2417" t="n">
        <v>0</v>
      </c>
      <c r="K2417" t="n">
        <v>0</v>
      </c>
      <c r="L2417" t="n">
        <v>1</v>
      </c>
      <c r="M2417" t="n">
        <v>0</v>
      </c>
    </row>
    <row r="2418" spans="1:13">
      <c r="A2418" s="1">
        <f>HYPERLINK("http://www.twitter.com/NathanBLawrence/status/959110437550936064", "959110437550936064")</f>
        <v/>
      </c>
      <c r="B2418" s="2" t="n">
        <v>43132.71206018519</v>
      </c>
      <c r="C2418" t="n">
        <v>0</v>
      </c>
      <c r="D2418" t="n">
        <v>2</v>
      </c>
      <c r="E2418" t="s">
        <v>2410</v>
      </c>
      <c r="F2418" t="s"/>
      <c r="G2418" t="s"/>
      <c r="H2418" t="s"/>
      <c r="I2418" t="s"/>
      <c r="J2418" t="n">
        <v>0.906</v>
      </c>
      <c r="K2418" t="n">
        <v>0</v>
      </c>
      <c r="L2418" t="n">
        <v>0.639</v>
      </c>
      <c r="M2418" t="n">
        <v>0.361</v>
      </c>
    </row>
    <row r="2419" spans="1:13">
      <c r="A2419" s="1">
        <f>HYPERLINK("http://www.twitter.com/NathanBLawrence/status/959110118578294784", "959110118578294784")</f>
        <v/>
      </c>
      <c r="B2419" s="2" t="n">
        <v>43132.71118055555</v>
      </c>
      <c r="C2419" t="n">
        <v>0</v>
      </c>
      <c r="D2419" t="n">
        <v>13</v>
      </c>
      <c r="E2419" t="s">
        <v>2411</v>
      </c>
      <c r="F2419">
        <f>HYPERLINK("http://pbs.twimg.com/media/DU9uD2QXUAEmQ4H.jpg", "http://pbs.twimg.com/media/DU9uD2QXUAEmQ4H.jpg")</f>
        <v/>
      </c>
      <c r="G2419" t="s"/>
      <c r="H2419" t="s"/>
      <c r="I2419" t="s"/>
      <c r="J2419" t="n">
        <v>0</v>
      </c>
      <c r="K2419" t="n">
        <v>0</v>
      </c>
      <c r="L2419" t="n">
        <v>1</v>
      </c>
      <c r="M2419" t="n">
        <v>0</v>
      </c>
    </row>
    <row r="2420" spans="1:13">
      <c r="A2420" s="1">
        <f>HYPERLINK("http://www.twitter.com/NathanBLawrence/status/959106025428316161", "959106025428316161")</f>
        <v/>
      </c>
      <c r="B2420" s="2" t="n">
        <v>43132.69988425926</v>
      </c>
      <c r="C2420" t="n">
        <v>42</v>
      </c>
      <c r="D2420" t="n">
        <v>28</v>
      </c>
      <c r="E2420" t="s">
        <v>2412</v>
      </c>
      <c r="F2420" t="s"/>
      <c r="G2420" t="s"/>
      <c r="H2420" t="s"/>
      <c r="I2420" t="s"/>
      <c r="J2420" t="n">
        <v>-0.9218</v>
      </c>
      <c r="K2420" t="n">
        <v>0.386</v>
      </c>
      <c r="L2420" t="n">
        <v>0.614</v>
      </c>
      <c r="M2420" t="n">
        <v>0</v>
      </c>
    </row>
    <row r="2421" spans="1:13">
      <c r="A2421" s="1">
        <f>HYPERLINK("http://www.twitter.com/NathanBLawrence/status/959100121249181701", "959100121249181701")</f>
        <v/>
      </c>
      <c r="B2421" s="2" t="n">
        <v>43132.68358796297</v>
      </c>
      <c r="C2421" t="n">
        <v>0</v>
      </c>
      <c r="D2421" t="n">
        <v>3856</v>
      </c>
      <c r="E2421" t="s">
        <v>2413</v>
      </c>
      <c r="F2421" t="s"/>
      <c r="G2421" t="s"/>
      <c r="H2421" t="s"/>
      <c r="I2421" t="s"/>
      <c r="J2421" t="n">
        <v>0.4019</v>
      </c>
      <c r="K2421" t="n">
        <v>0</v>
      </c>
      <c r="L2421" t="n">
        <v>0.891</v>
      </c>
      <c r="M2421" t="n">
        <v>0.109</v>
      </c>
    </row>
    <row r="2422" spans="1:13">
      <c r="A2422" s="1">
        <f>HYPERLINK("http://www.twitter.com/NathanBLawrence/status/959099815346008064", "959099815346008064")</f>
        <v/>
      </c>
      <c r="B2422" s="2" t="n">
        <v>43132.68274305556</v>
      </c>
      <c r="C2422" t="n">
        <v>0</v>
      </c>
      <c r="D2422" t="n">
        <v>63</v>
      </c>
      <c r="E2422" t="s">
        <v>2414</v>
      </c>
      <c r="F2422">
        <f>HYPERLINK("http://pbs.twimg.com/media/DU9SxYsWsAAd7KI.jpg", "http://pbs.twimg.com/media/DU9SxYsWsAAd7KI.jpg")</f>
        <v/>
      </c>
      <c r="G2422">
        <f>HYPERLINK("http://pbs.twimg.com/media/DU9SxYmXUAATVVO.jpg", "http://pbs.twimg.com/media/DU9SxYmXUAATVVO.jpg")</f>
        <v/>
      </c>
      <c r="H2422" t="s"/>
      <c r="I2422" t="s"/>
      <c r="J2422" t="n">
        <v>-0.5871</v>
      </c>
      <c r="K2422" t="n">
        <v>0.241</v>
      </c>
      <c r="L2422" t="n">
        <v>0.641</v>
      </c>
      <c r="M2422" t="n">
        <v>0.119</v>
      </c>
    </row>
    <row r="2423" spans="1:13">
      <c r="A2423" s="1">
        <f>HYPERLINK("http://www.twitter.com/NathanBLawrence/status/959090232380489728", "959090232380489728")</f>
        <v/>
      </c>
      <c r="B2423" s="2" t="n">
        <v>43132.65630787037</v>
      </c>
      <c r="C2423" t="n">
        <v>0</v>
      </c>
      <c r="D2423" t="n">
        <v>0</v>
      </c>
      <c r="E2423" t="s">
        <v>2415</v>
      </c>
      <c r="F2423" t="s"/>
      <c r="G2423" t="s"/>
      <c r="H2423" t="s"/>
      <c r="I2423" t="s"/>
      <c r="J2423" t="n">
        <v>0</v>
      </c>
      <c r="K2423" t="n">
        <v>0</v>
      </c>
      <c r="L2423" t="n">
        <v>1</v>
      </c>
      <c r="M2423" t="n">
        <v>0</v>
      </c>
    </row>
    <row r="2424" spans="1:13">
      <c r="A2424" s="1">
        <f>HYPERLINK("http://www.twitter.com/NathanBLawrence/status/959089747493875713", "959089747493875713")</f>
        <v/>
      </c>
      <c r="B2424" s="2" t="n">
        <v>43132.65496527778</v>
      </c>
      <c r="C2424" t="n">
        <v>1</v>
      </c>
      <c r="D2424" t="n">
        <v>0</v>
      </c>
      <c r="E2424" t="s">
        <v>2416</v>
      </c>
      <c r="F2424" t="s"/>
      <c r="G2424" t="s"/>
      <c r="H2424" t="s"/>
      <c r="I2424" t="s"/>
      <c r="J2424" t="n">
        <v>0</v>
      </c>
      <c r="K2424" t="n">
        <v>0</v>
      </c>
      <c r="L2424" t="n">
        <v>1</v>
      </c>
      <c r="M2424" t="n">
        <v>0</v>
      </c>
    </row>
    <row r="2425" spans="1:13">
      <c r="A2425" s="1">
        <f>HYPERLINK("http://www.twitter.com/NathanBLawrence/status/959078050464923649", "959078050464923649")</f>
        <v/>
      </c>
      <c r="B2425" s="2" t="n">
        <v>43132.62268518518</v>
      </c>
      <c r="C2425" t="n">
        <v>0</v>
      </c>
      <c r="D2425" t="n">
        <v>4</v>
      </c>
      <c r="E2425" t="s">
        <v>2417</v>
      </c>
      <c r="F2425">
        <f>HYPERLINK("http://pbs.twimg.com/media/DU62Z7gV4AERCv9.jpg", "http://pbs.twimg.com/media/DU62Z7gV4AERCv9.jpg")</f>
        <v/>
      </c>
      <c r="G2425" t="s"/>
      <c r="H2425" t="s"/>
      <c r="I2425" t="s"/>
      <c r="J2425" t="n">
        <v>0</v>
      </c>
      <c r="K2425" t="n">
        <v>0</v>
      </c>
      <c r="L2425" t="n">
        <v>1</v>
      </c>
      <c r="M2425" t="n">
        <v>0</v>
      </c>
    </row>
    <row r="2426" spans="1:13">
      <c r="A2426" s="1">
        <f>HYPERLINK("http://www.twitter.com/NathanBLawrence/status/959073047331397632", "959073047331397632")</f>
        <v/>
      </c>
      <c r="B2426" s="2" t="n">
        <v>43132.60887731481</v>
      </c>
      <c r="C2426" t="n">
        <v>0</v>
      </c>
      <c r="D2426" t="n">
        <v>384</v>
      </c>
      <c r="E2426" t="s">
        <v>2418</v>
      </c>
      <c r="F2426">
        <f>HYPERLINK("http://pbs.twimg.com/media/DU9F5qgU8AAHWZm.jpg", "http://pbs.twimg.com/media/DU9F5qgU8AAHWZm.jpg")</f>
        <v/>
      </c>
      <c r="G2426" t="s"/>
      <c r="H2426" t="s"/>
      <c r="I2426" t="s"/>
      <c r="J2426" t="n">
        <v>0.6369</v>
      </c>
      <c r="K2426" t="n">
        <v>0</v>
      </c>
      <c r="L2426" t="n">
        <v>0.743</v>
      </c>
      <c r="M2426" t="n">
        <v>0.257</v>
      </c>
    </row>
    <row r="2427" spans="1:13">
      <c r="A2427" s="1">
        <f>HYPERLINK("http://www.twitter.com/NathanBLawrence/status/958739804631502848", "958739804631502848")</f>
        <v/>
      </c>
      <c r="B2427" s="2" t="n">
        <v>43131.68930555556</v>
      </c>
      <c r="C2427" t="n">
        <v>0</v>
      </c>
      <c r="D2427" t="n">
        <v>240</v>
      </c>
      <c r="E2427" t="s">
        <v>2419</v>
      </c>
      <c r="F2427" t="s"/>
      <c r="G2427" t="s"/>
      <c r="H2427" t="s"/>
      <c r="I2427" t="s"/>
      <c r="J2427" t="n">
        <v>0.4404</v>
      </c>
      <c r="K2427" t="n">
        <v>0</v>
      </c>
      <c r="L2427" t="n">
        <v>0.884</v>
      </c>
      <c r="M2427" t="n">
        <v>0.116</v>
      </c>
    </row>
    <row r="2428" spans="1:13">
      <c r="A2428" s="1">
        <f>HYPERLINK("http://www.twitter.com/NathanBLawrence/status/958731346888798209", "958731346888798209")</f>
        <v/>
      </c>
      <c r="B2428" s="2" t="n">
        <v>43131.66597222222</v>
      </c>
      <c r="C2428" t="n">
        <v>0</v>
      </c>
      <c r="D2428" t="n">
        <v>704</v>
      </c>
      <c r="E2428" t="s">
        <v>2420</v>
      </c>
      <c r="F2428" t="s"/>
      <c r="G2428" t="s"/>
      <c r="H2428" t="s"/>
      <c r="I2428" t="s"/>
      <c r="J2428" t="n">
        <v>-0.3612</v>
      </c>
      <c r="K2428" t="n">
        <v>0.218</v>
      </c>
      <c r="L2428" t="n">
        <v>0.606</v>
      </c>
      <c r="M2428" t="n">
        <v>0.176</v>
      </c>
    </row>
    <row r="2429" spans="1:13">
      <c r="A2429" s="1">
        <f>HYPERLINK("http://www.twitter.com/NathanBLawrence/status/958731108987887617", "958731108987887617")</f>
        <v/>
      </c>
      <c r="B2429" s="2" t="n">
        <v>43131.6653125</v>
      </c>
      <c r="C2429" t="n">
        <v>9</v>
      </c>
      <c r="D2429" t="n">
        <v>9</v>
      </c>
      <c r="E2429" t="s">
        <v>2421</v>
      </c>
      <c r="F2429" t="s"/>
      <c r="G2429" t="s"/>
      <c r="H2429" t="s"/>
      <c r="I2429" t="s"/>
      <c r="J2429" t="n">
        <v>0</v>
      </c>
      <c r="K2429" t="n">
        <v>0</v>
      </c>
      <c r="L2429" t="n">
        <v>1</v>
      </c>
      <c r="M2429" t="n">
        <v>0</v>
      </c>
    </row>
    <row r="2430" spans="1:13">
      <c r="A2430" s="1">
        <f>HYPERLINK("http://www.twitter.com/NathanBLawrence/status/958725370769035264", "958725370769035264")</f>
        <v/>
      </c>
      <c r="B2430" s="2" t="n">
        <v>43131.64947916667</v>
      </c>
      <c r="C2430" t="n">
        <v>0</v>
      </c>
      <c r="D2430" t="n">
        <v>538</v>
      </c>
      <c r="E2430" t="s">
        <v>2422</v>
      </c>
      <c r="F2430">
        <f>HYPERLINK("http://pbs.twimg.com/media/DU36u5LU0AAi6Lo.jpg", "http://pbs.twimg.com/media/DU36u5LU0AAi6Lo.jpg")</f>
        <v/>
      </c>
      <c r="G2430" t="s"/>
      <c r="H2430" t="s"/>
      <c r="I2430" t="s"/>
      <c r="J2430" t="n">
        <v>0</v>
      </c>
      <c r="K2430" t="n">
        <v>0</v>
      </c>
      <c r="L2430" t="n">
        <v>1</v>
      </c>
      <c r="M2430" t="n">
        <v>0</v>
      </c>
    </row>
    <row r="2431" spans="1:13">
      <c r="A2431" s="1">
        <f>HYPERLINK("http://www.twitter.com/NathanBLawrence/status/958723971926646785", "958723971926646785")</f>
        <v/>
      </c>
      <c r="B2431" s="2" t="n">
        <v>43131.64561342593</v>
      </c>
      <c r="C2431" t="n">
        <v>2</v>
      </c>
      <c r="D2431" t="n">
        <v>1</v>
      </c>
      <c r="E2431" t="s">
        <v>2423</v>
      </c>
      <c r="F2431" t="s"/>
      <c r="G2431" t="s"/>
      <c r="H2431" t="s"/>
      <c r="I2431" t="s"/>
      <c r="J2431" t="n">
        <v>0</v>
      </c>
      <c r="K2431" t="n">
        <v>0</v>
      </c>
      <c r="L2431" t="n">
        <v>1</v>
      </c>
      <c r="M2431" t="n">
        <v>0</v>
      </c>
    </row>
    <row r="2432" spans="1:13">
      <c r="A2432" s="1">
        <f>HYPERLINK("http://www.twitter.com/NathanBLawrence/status/958601852903452672", "958601852903452672")</f>
        <v/>
      </c>
      <c r="B2432" s="2" t="n">
        <v>43131.30863425926</v>
      </c>
      <c r="C2432" t="n">
        <v>0</v>
      </c>
      <c r="D2432" t="n">
        <v>6</v>
      </c>
      <c r="E2432" t="s">
        <v>2424</v>
      </c>
      <c r="F2432">
        <f>HYPERLINK("http://pbs.twimg.com/media/DU2hnJMX4AEa3JG.jpg", "http://pbs.twimg.com/media/DU2hnJMX4AEa3JG.jpg")</f>
        <v/>
      </c>
      <c r="G2432" t="s"/>
      <c r="H2432" t="s"/>
      <c r="I2432" t="s"/>
      <c r="J2432" t="n">
        <v>0</v>
      </c>
      <c r="K2432" t="n">
        <v>0</v>
      </c>
      <c r="L2432" t="n">
        <v>1</v>
      </c>
      <c r="M2432" t="n">
        <v>0</v>
      </c>
    </row>
    <row r="2433" spans="1:13">
      <c r="A2433" s="1">
        <f>HYPERLINK("http://www.twitter.com/NathanBLawrence/status/958601312089894913", "958601312089894913")</f>
        <v/>
      </c>
      <c r="B2433" s="2" t="n">
        <v>43131.3071412037</v>
      </c>
      <c r="C2433" t="n">
        <v>0</v>
      </c>
      <c r="D2433" t="n">
        <v>6128</v>
      </c>
      <c r="E2433" t="s">
        <v>2425</v>
      </c>
      <c r="F2433">
        <f>HYPERLINK("http://pbs.twimg.com/media/DU1tvsbXkAAqlKr.jpg", "http://pbs.twimg.com/media/DU1tvsbXkAAqlKr.jpg")</f>
        <v/>
      </c>
      <c r="G2433" t="s"/>
      <c r="H2433" t="s"/>
      <c r="I2433" t="s"/>
      <c r="J2433" t="n">
        <v>0.8469</v>
      </c>
      <c r="K2433" t="n">
        <v>0</v>
      </c>
      <c r="L2433" t="n">
        <v>0.72</v>
      </c>
      <c r="M2433" t="n">
        <v>0.28</v>
      </c>
    </row>
    <row r="2434" spans="1:13">
      <c r="A2434" s="1">
        <f>HYPERLINK("http://www.twitter.com/NathanBLawrence/status/958565747688660992", "958565747688660992")</f>
        <v/>
      </c>
      <c r="B2434" s="2" t="n">
        <v>43131.20900462963</v>
      </c>
      <c r="C2434" t="n">
        <v>0</v>
      </c>
      <c r="D2434" t="n">
        <v>68</v>
      </c>
      <c r="E2434" t="s">
        <v>2426</v>
      </c>
      <c r="F2434">
        <f>HYPERLINK("http://pbs.twimg.com/media/DU1zTzwUMAArSw0.jpg", "http://pbs.twimg.com/media/DU1zTzwUMAArSw0.jpg")</f>
        <v/>
      </c>
      <c r="G2434" t="s"/>
      <c r="H2434" t="s"/>
      <c r="I2434" t="s"/>
      <c r="J2434" t="n">
        <v>0.7579</v>
      </c>
      <c r="K2434" t="n">
        <v>0</v>
      </c>
      <c r="L2434" t="n">
        <v>0.717</v>
      </c>
      <c r="M2434" t="n">
        <v>0.283</v>
      </c>
    </row>
    <row r="2435" spans="1:13">
      <c r="A2435" s="1">
        <f>HYPERLINK("http://www.twitter.com/NathanBLawrence/status/958482121823318017", "958482121823318017")</f>
        <v/>
      </c>
      <c r="B2435" s="2" t="n">
        <v>43130.97824074074</v>
      </c>
      <c r="C2435" t="n">
        <v>0</v>
      </c>
      <c r="D2435" t="n">
        <v>3</v>
      </c>
      <c r="E2435" t="s">
        <v>2427</v>
      </c>
      <c r="F2435">
        <f>HYPERLINK("http://pbs.twimg.com/media/DT7TlIdU8AAq-EY.jpg", "http://pbs.twimg.com/media/DT7TlIdU8AAq-EY.jpg")</f>
        <v/>
      </c>
      <c r="G2435" t="s"/>
      <c r="H2435" t="s"/>
      <c r="I2435" t="s"/>
      <c r="J2435" t="n">
        <v>0</v>
      </c>
      <c r="K2435" t="n">
        <v>0</v>
      </c>
      <c r="L2435" t="n">
        <v>1</v>
      </c>
      <c r="M2435" t="n">
        <v>0</v>
      </c>
    </row>
    <row r="2436" spans="1:13">
      <c r="A2436" s="1">
        <f>HYPERLINK("http://www.twitter.com/NathanBLawrence/status/958470570278088706", "958470570278088706")</f>
        <v/>
      </c>
      <c r="B2436" s="2" t="n">
        <v>43130.94636574074</v>
      </c>
      <c r="C2436" t="n">
        <v>0</v>
      </c>
      <c r="D2436" t="n">
        <v>3176</v>
      </c>
      <c r="E2436" t="s">
        <v>2428</v>
      </c>
      <c r="F2436">
        <f>HYPERLINK("http://pbs.twimg.com/media/DUwNgqJW4AA7l95.jpg", "http://pbs.twimg.com/media/DUwNgqJW4AA7l95.jpg")</f>
        <v/>
      </c>
      <c r="G2436" t="s"/>
      <c r="H2436" t="s"/>
      <c r="I2436" t="s"/>
      <c r="J2436" t="n">
        <v>0.7118</v>
      </c>
      <c r="K2436" t="n">
        <v>0</v>
      </c>
      <c r="L2436" t="n">
        <v>0.83</v>
      </c>
      <c r="M2436" t="n">
        <v>0.17</v>
      </c>
    </row>
    <row r="2437" spans="1:13">
      <c r="A2437" s="1">
        <f>HYPERLINK("http://www.twitter.com/NathanBLawrence/status/958469850426470400", "958469850426470400")</f>
        <v/>
      </c>
      <c r="B2437" s="2" t="n">
        <v>43130.944375</v>
      </c>
      <c r="C2437" t="n">
        <v>0</v>
      </c>
      <c r="D2437" t="n">
        <v>249</v>
      </c>
      <c r="E2437" t="s">
        <v>2429</v>
      </c>
      <c r="F2437" t="s"/>
      <c r="G2437" t="s"/>
      <c r="H2437" t="s"/>
      <c r="I2437" t="s"/>
      <c r="J2437" t="n">
        <v>0.3595</v>
      </c>
      <c r="K2437" t="n">
        <v>0</v>
      </c>
      <c r="L2437" t="n">
        <v>0.849</v>
      </c>
      <c r="M2437" t="n">
        <v>0.151</v>
      </c>
    </row>
    <row r="2438" spans="1:13">
      <c r="A2438" s="1">
        <f>HYPERLINK("http://www.twitter.com/NathanBLawrence/status/958469119212441606", "958469119212441606")</f>
        <v/>
      </c>
      <c r="B2438" s="2" t="n">
        <v>43130.94236111111</v>
      </c>
      <c r="C2438" t="n">
        <v>0</v>
      </c>
      <c r="D2438" t="n">
        <v>170</v>
      </c>
      <c r="E2438" t="s">
        <v>2430</v>
      </c>
      <c r="F2438">
        <f>HYPERLINK("http://pbs.twimg.com/media/DU0kX1AVoAEl9tB.jpg", "http://pbs.twimg.com/media/DU0kX1AVoAEl9tB.jpg")</f>
        <v/>
      </c>
      <c r="G2438" t="s"/>
      <c r="H2438" t="s"/>
      <c r="I2438" t="s"/>
      <c r="J2438" t="n">
        <v>-0.2732</v>
      </c>
      <c r="K2438" t="n">
        <v>0.231</v>
      </c>
      <c r="L2438" t="n">
        <v>0.769</v>
      </c>
      <c r="M2438" t="n">
        <v>0</v>
      </c>
    </row>
    <row r="2439" spans="1:13">
      <c r="A2439" s="1">
        <f>HYPERLINK("http://www.twitter.com/NathanBLawrence/status/958453696492441601", "958453696492441601")</f>
        <v/>
      </c>
      <c r="B2439" s="2" t="n">
        <v>43130.89980324074</v>
      </c>
      <c r="C2439" t="n">
        <v>0</v>
      </c>
      <c r="D2439" t="n">
        <v>10765</v>
      </c>
      <c r="E2439" t="s">
        <v>2431</v>
      </c>
      <c r="F2439">
        <f>HYPERLINK("http://pbs.twimg.com/media/DUPoWIxV4AAYpnV.jpg", "http://pbs.twimg.com/media/DUPoWIxV4AAYpnV.jpg")</f>
        <v/>
      </c>
      <c r="G2439" t="s"/>
      <c r="H2439" t="s"/>
      <c r="I2439" t="s"/>
      <c r="J2439" t="n">
        <v>0</v>
      </c>
      <c r="K2439" t="n">
        <v>0</v>
      </c>
      <c r="L2439" t="n">
        <v>1</v>
      </c>
      <c r="M2439" t="n">
        <v>0</v>
      </c>
    </row>
    <row r="2440" spans="1:13">
      <c r="A2440" s="1">
        <f>HYPERLINK("http://www.twitter.com/NathanBLawrence/status/958410921931694082", "958410921931694082")</f>
        <v/>
      </c>
      <c r="B2440" s="2" t="n">
        <v>43130.78175925926</v>
      </c>
      <c r="C2440" t="n">
        <v>0</v>
      </c>
      <c r="D2440" t="n">
        <v>13</v>
      </c>
      <c r="E2440" t="s">
        <v>2432</v>
      </c>
      <c r="F2440">
        <f>HYPERLINK("http://pbs.twimg.com/media/DUwFT0nW4AILcSJ.jpg", "http://pbs.twimg.com/media/DUwFT0nW4AILcSJ.jpg")</f>
        <v/>
      </c>
      <c r="G2440" t="s"/>
      <c r="H2440" t="s"/>
      <c r="I2440" t="s"/>
      <c r="J2440" t="n">
        <v>0.4019</v>
      </c>
      <c r="K2440" t="n">
        <v>0</v>
      </c>
      <c r="L2440" t="n">
        <v>0.8159999999999999</v>
      </c>
      <c r="M2440" t="n">
        <v>0.184</v>
      </c>
    </row>
    <row r="2441" spans="1:13">
      <c r="A2441" s="1">
        <f>HYPERLINK("http://www.twitter.com/NathanBLawrence/status/958361376279420929", "958361376279420929")</f>
        <v/>
      </c>
      <c r="B2441" s="2" t="n">
        <v>43130.6450462963</v>
      </c>
      <c r="C2441" t="n">
        <v>0</v>
      </c>
      <c r="D2441" t="n">
        <v>204</v>
      </c>
      <c r="E2441" t="s">
        <v>2433</v>
      </c>
      <c r="F2441" t="s"/>
      <c r="G2441" t="s"/>
      <c r="H2441" t="s"/>
      <c r="I2441" t="s"/>
      <c r="J2441" t="n">
        <v>0.1779</v>
      </c>
      <c r="K2441" t="n">
        <v>0.142</v>
      </c>
      <c r="L2441" t="n">
        <v>0.728</v>
      </c>
      <c r="M2441" t="n">
        <v>0.13</v>
      </c>
    </row>
    <row r="2442" spans="1:13">
      <c r="A2442" s="1">
        <f>HYPERLINK("http://www.twitter.com/NathanBLawrence/status/958361350752948226", "958361350752948226")</f>
        <v/>
      </c>
      <c r="B2442" s="2" t="n">
        <v>43130.64497685185</v>
      </c>
      <c r="C2442" t="n">
        <v>0</v>
      </c>
      <c r="D2442" t="n">
        <v>21</v>
      </c>
      <c r="E2442" t="s">
        <v>2434</v>
      </c>
      <c r="F2442" t="s"/>
      <c r="G2442" t="s"/>
      <c r="H2442" t="s"/>
      <c r="I2442" t="s"/>
      <c r="J2442" t="n">
        <v>0</v>
      </c>
      <c r="K2442" t="n">
        <v>0</v>
      </c>
      <c r="L2442" t="n">
        <v>1</v>
      </c>
      <c r="M2442" t="n">
        <v>0</v>
      </c>
    </row>
    <row r="2443" spans="1:13">
      <c r="A2443" s="1">
        <f>HYPERLINK("http://www.twitter.com/NathanBLawrence/status/958360627872960512", "958360627872960512")</f>
        <v/>
      </c>
      <c r="B2443" s="2" t="n">
        <v>43130.64297453704</v>
      </c>
      <c r="C2443" t="n">
        <v>0</v>
      </c>
      <c r="D2443" t="n">
        <v>15</v>
      </c>
      <c r="E2443" t="s">
        <v>2435</v>
      </c>
      <c r="F2443">
        <f>HYPERLINK("http://pbs.twimg.com/media/DUy5q8uVoAAO9W6.jpg", "http://pbs.twimg.com/media/DUy5q8uVoAAO9W6.jpg")</f>
        <v/>
      </c>
      <c r="G2443" t="s"/>
      <c r="H2443" t="s"/>
      <c r="I2443" t="s"/>
      <c r="J2443" t="n">
        <v>0</v>
      </c>
      <c r="K2443" t="n">
        <v>0</v>
      </c>
      <c r="L2443" t="n">
        <v>1</v>
      </c>
      <c r="M2443" t="n">
        <v>0</v>
      </c>
    </row>
    <row r="2444" spans="1:13">
      <c r="A2444" s="1">
        <f>HYPERLINK("http://www.twitter.com/NathanBLawrence/status/958360154180866048", "958360154180866048")</f>
        <v/>
      </c>
      <c r="B2444" s="2" t="n">
        <v>43130.64166666667</v>
      </c>
      <c r="C2444" t="n">
        <v>0</v>
      </c>
      <c r="D2444" t="n">
        <v>966</v>
      </c>
      <c r="E2444" t="s">
        <v>2436</v>
      </c>
      <c r="F2444">
        <f>HYPERLINK("http://pbs.twimg.com/media/DDRc2HrXoAE6AQA.jpg", "http://pbs.twimg.com/media/DDRc2HrXoAE6AQA.jpg")</f>
        <v/>
      </c>
      <c r="G2444" t="s"/>
      <c r="H2444" t="s"/>
      <c r="I2444" t="s"/>
      <c r="J2444" t="n">
        <v>0.7861</v>
      </c>
      <c r="K2444" t="n">
        <v>0</v>
      </c>
      <c r="L2444" t="n">
        <v>0.698</v>
      </c>
      <c r="M2444" t="n">
        <v>0.302</v>
      </c>
    </row>
    <row r="2445" spans="1:13">
      <c r="A2445" s="1">
        <f>HYPERLINK("http://www.twitter.com/NathanBLawrence/status/958359760771997696", "958359760771997696")</f>
        <v/>
      </c>
      <c r="B2445" s="2" t="n">
        <v>43130.64059027778</v>
      </c>
      <c r="C2445" t="n">
        <v>0</v>
      </c>
      <c r="D2445" t="n">
        <v>29</v>
      </c>
      <c r="E2445" t="s">
        <v>2437</v>
      </c>
      <c r="F2445">
        <f>HYPERLINK("http://pbs.twimg.com/media/DUyxZWOVwAAXtl-.jpg", "http://pbs.twimg.com/media/DUyxZWOVwAAXtl-.jpg")</f>
        <v/>
      </c>
      <c r="G2445" t="s"/>
      <c r="H2445" t="s"/>
      <c r="I2445" t="s"/>
      <c r="J2445" t="n">
        <v>0</v>
      </c>
      <c r="K2445" t="n">
        <v>0</v>
      </c>
      <c r="L2445" t="n">
        <v>1</v>
      </c>
      <c r="M2445" t="n">
        <v>0</v>
      </c>
    </row>
    <row r="2446" spans="1:13">
      <c r="A2446" s="1">
        <f>HYPERLINK("http://www.twitter.com/NathanBLawrence/status/958359738915442688", "958359738915442688")</f>
        <v/>
      </c>
      <c r="B2446" s="2" t="n">
        <v>43130.64052083333</v>
      </c>
      <c r="C2446" t="n">
        <v>0</v>
      </c>
      <c r="D2446" t="n">
        <v>13</v>
      </c>
      <c r="E2446" t="s">
        <v>2438</v>
      </c>
      <c r="F2446">
        <f>HYPERLINK("http://pbs.twimg.com/media/DUy18hyU0AAaXxr.jpg", "http://pbs.twimg.com/media/DUy18hyU0AAaXxr.jpg")</f>
        <v/>
      </c>
      <c r="G2446" t="s"/>
      <c r="H2446" t="s"/>
      <c r="I2446" t="s"/>
      <c r="J2446" t="n">
        <v>0</v>
      </c>
      <c r="K2446" t="n">
        <v>0</v>
      </c>
      <c r="L2446" t="n">
        <v>1</v>
      </c>
      <c r="M2446" t="n">
        <v>0</v>
      </c>
    </row>
    <row r="2447" spans="1:13">
      <c r="A2447" s="1">
        <f>HYPERLINK("http://www.twitter.com/NathanBLawrence/status/958120760467513344", "958120760467513344")</f>
        <v/>
      </c>
      <c r="B2447" s="2" t="n">
        <v>43129.98106481481</v>
      </c>
      <c r="C2447" t="n">
        <v>0</v>
      </c>
      <c r="D2447" t="n">
        <v>11</v>
      </c>
      <c r="E2447" t="s">
        <v>1130</v>
      </c>
      <c r="F2447">
        <f>HYPERLINK("http://pbs.twimg.com/media/DSAc-LYUQAAWbu6.jpg", "http://pbs.twimg.com/media/DSAc-LYUQAAWbu6.jpg")</f>
        <v/>
      </c>
      <c r="G2447" t="s"/>
      <c r="H2447" t="s"/>
      <c r="I2447" t="s"/>
      <c r="J2447" t="n">
        <v>0.7531</v>
      </c>
      <c r="K2447" t="n">
        <v>0</v>
      </c>
      <c r="L2447" t="n">
        <v>0.713</v>
      </c>
      <c r="M2447" t="n">
        <v>0.287</v>
      </c>
    </row>
    <row r="2448" spans="1:13">
      <c r="A2448" s="1">
        <f>HYPERLINK("http://www.twitter.com/NathanBLawrence/status/958091179257679873", "958091179257679873")</f>
        <v/>
      </c>
      <c r="B2448" s="2" t="n">
        <v>43129.89944444445</v>
      </c>
      <c r="C2448" t="n">
        <v>0</v>
      </c>
      <c r="D2448" t="n">
        <v>17</v>
      </c>
      <c r="E2448" t="s">
        <v>2439</v>
      </c>
      <c r="F2448">
        <f>HYPERLINK("http://pbs.twimg.com/media/DR_Zi9lUEAA4Jr0.jpg", "http://pbs.twimg.com/media/DR_Zi9lUEAA4Jr0.jpg")</f>
        <v/>
      </c>
      <c r="G2448" t="s"/>
      <c r="H2448" t="s"/>
      <c r="I2448" t="s"/>
      <c r="J2448" t="n">
        <v>0</v>
      </c>
      <c r="K2448" t="n">
        <v>0</v>
      </c>
      <c r="L2448" t="n">
        <v>1</v>
      </c>
      <c r="M2448" t="n">
        <v>0</v>
      </c>
    </row>
    <row r="2449" spans="1:13">
      <c r="A2449" s="1">
        <f>HYPERLINK("http://www.twitter.com/NathanBLawrence/status/958087075911360512", "958087075911360512")</f>
        <v/>
      </c>
      <c r="B2449" s="2" t="n">
        <v>43129.88811342593</v>
      </c>
      <c r="C2449" t="n">
        <v>0</v>
      </c>
      <c r="D2449" t="n">
        <v>57</v>
      </c>
      <c r="E2449" t="s">
        <v>2440</v>
      </c>
      <c r="F2449">
        <f>HYPERLINK("http://pbs.twimg.com/media/DT2JimXVAAAkA_7.jpg", "http://pbs.twimg.com/media/DT2JimXVAAAkA_7.jpg")</f>
        <v/>
      </c>
      <c r="G2449" t="s"/>
      <c r="H2449" t="s"/>
      <c r="I2449" t="s"/>
      <c r="J2449" t="n">
        <v>0</v>
      </c>
      <c r="K2449" t="n">
        <v>0</v>
      </c>
      <c r="L2449" t="n">
        <v>1</v>
      </c>
      <c r="M2449" t="n">
        <v>0</v>
      </c>
    </row>
    <row r="2450" spans="1:13">
      <c r="A2450" s="1">
        <f>HYPERLINK("http://www.twitter.com/NathanBLawrence/status/958086944306745345", "958086944306745345")</f>
        <v/>
      </c>
      <c r="B2450" s="2" t="n">
        <v>43129.88775462963</v>
      </c>
      <c r="C2450" t="n">
        <v>0</v>
      </c>
      <c r="D2450" t="n">
        <v>21</v>
      </c>
      <c r="E2450" t="s">
        <v>2441</v>
      </c>
      <c r="F2450">
        <f>HYPERLINK("http://pbs.twimg.com/media/DT1ffl4XcAACfzV.jpg", "http://pbs.twimg.com/media/DT1ffl4XcAACfzV.jpg")</f>
        <v/>
      </c>
      <c r="G2450" t="s"/>
      <c r="H2450" t="s"/>
      <c r="I2450" t="s"/>
      <c r="J2450" t="n">
        <v>0.4019</v>
      </c>
      <c r="K2450" t="n">
        <v>0</v>
      </c>
      <c r="L2450" t="n">
        <v>0.787</v>
      </c>
      <c r="M2450" t="n">
        <v>0.213</v>
      </c>
    </row>
    <row r="2451" spans="1:13">
      <c r="A2451" s="1">
        <f>HYPERLINK("http://www.twitter.com/NathanBLawrence/status/958034657278418944", "958034657278418944")</f>
        <v/>
      </c>
      <c r="B2451" s="2" t="n">
        <v>43129.74347222222</v>
      </c>
      <c r="C2451" t="n">
        <v>0</v>
      </c>
      <c r="D2451" t="n">
        <v>801</v>
      </c>
      <c r="E2451" t="s">
        <v>2442</v>
      </c>
      <c r="F2451" t="s"/>
      <c r="G2451" t="s"/>
      <c r="H2451" t="s"/>
      <c r="I2451" t="s"/>
      <c r="J2451" t="n">
        <v>-0.7269</v>
      </c>
      <c r="K2451" t="n">
        <v>0.225</v>
      </c>
      <c r="L2451" t="n">
        <v>0.775</v>
      </c>
      <c r="M2451" t="n">
        <v>0</v>
      </c>
    </row>
    <row r="2452" spans="1:13">
      <c r="A2452" s="1">
        <f>HYPERLINK("http://www.twitter.com/NathanBLawrence/status/958023104286068736", "958023104286068736")</f>
        <v/>
      </c>
      <c r="B2452" s="2" t="n">
        <v>43129.71158564815</v>
      </c>
      <c r="C2452" t="n">
        <v>0</v>
      </c>
      <c r="D2452" t="n">
        <v>1442</v>
      </c>
      <c r="E2452" t="s">
        <v>2443</v>
      </c>
      <c r="F2452" t="s"/>
      <c r="G2452" t="s"/>
      <c r="H2452" t="s"/>
      <c r="I2452" t="s"/>
      <c r="J2452" t="n">
        <v>-0.6486</v>
      </c>
      <c r="K2452" t="n">
        <v>0.24</v>
      </c>
      <c r="L2452" t="n">
        <v>0.671</v>
      </c>
      <c r="M2452" t="n">
        <v>0.08799999999999999</v>
      </c>
    </row>
    <row r="2453" spans="1:13">
      <c r="A2453" s="1">
        <f>HYPERLINK("http://www.twitter.com/NathanBLawrence/status/958021675404185600", "958021675404185600")</f>
        <v/>
      </c>
      <c r="B2453" s="2" t="n">
        <v>43129.70765046297</v>
      </c>
      <c r="C2453" t="n">
        <v>0</v>
      </c>
      <c r="D2453" t="n">
        <v>7964</v>
      </c>
      <c r="E2453" t="s">
        <v>2444</v>
      </c>
      <c r="F2453" t="s"/>
      <c r="G2453" t="s"/>
      <c r="H2453" t="s"/>
      <c r="I2453" t="s"/>
      <c r="J2453" t="n">
        <v>-0.6369</v>
      </c>
      <c r="K2453" t="n">
        <v>0.206</v>
      </c>
      <c r="L2453" t="n">
        <v>0.794</v>
      </c>
      <c r="M2453" t="n">
        <v>0</v>
      </c>
    </row>
    <row r="2454" spans="1:13">
      <c r="A2454" s="1">
        <f>HYPERLINK("http://www.twitter.com/NathanBLawrence/status/957993899620012033", "957993899620012033")</f>
        <v/>
      </c>
      <c r="B2454" s="2" t="n">
        <v>43129.63099537037</v>
      </c>
      <c r="C2454" t="n">
        <v>2</v>
      </c>
      <c r="D2454" t="n">
        <v>1</v>
      </c>
      <c r="E2454" t="s">
        <v>2445</v>
      </c>
      <c r="F2454" t="s"/>
      <c r="G2454" t="s"/>
      <c r="H2454" t="s"/>
      <c r="I2454" t="s"/>
      <c r="J2454" t="n">
        <v>0</v>
      </c>
      <c r="K2454" t="n">
        <v>0</v>
      </c>
      <c r="L2454" t="n">
        <v>1</v>
      </c>
      <c r="M2454" t="n">
        <v>0</v>
      </c>
    </row>
    <row r="2455" spans="1:13">
      <c r="A2455" s="1">
        <f>HYPERLINK("http://www.twitter.com/NathanBLawrence/status/957993542084972544", "957993542084972544")</f>
        <v/>
      </c>
      <c r="B2455" s="2" t="n">
        <v>43129.63001157407</v>
      </c>
      <c r="C2455" t="n">
        <v>2</v>
      </c>
      <c r="D2455" t="n">
        <v>2</v>
      </c>
      <c r="E2455" t="s">
        <v>2446</v>
      </c>
      <c r="F2455" t="s"/>
      <c r="G2455" t="s"/>
      <c r="H2455" t="s"/>
      <c r="I2455" t="s"/>
      <c r="J2455" t="n">
        <v>0</v>
      </c>
      <c r="K2455" t="n">
        <v>0</v>
      </c>
      <c r="L2455" t="n">
        <v>1</v>
      </c>
      <c r="M2455" t="n">
        <v>0</v>
      </c>
    </row>
    <row r="2456" spans="1:13">
      <c r="A2456" s="1">
        <f>HYPERLINK("http://www.twitter.com/NathanBLawrence/status/957993356772237312", "957993356772237312")</f>
        <v/>
      </c>
      <c r="B2456" s="2" t="n">
        <v>43129.62950231481</v>
      </c>
      <c r="C2456" t="n">
        <v>3</v>
      </c>
      <c r="D2456" t="n">
        <v>2</v>
      </c>
      <c r="E2456" t="s">
        <v>2447</v>
      </c>
      <c r="F2456" t="s"/>
      <c r="G2456" t="s"/>
      <c r="H2456" t="s"/>
      <c r="I2456" t="s"/>
      <c r="J2456" t="n">
        <v>0</v>
      </c>
      <c r="K2456" t="n">
        <v>0</v>
      </c>
      <c r="L2456" t="n">
        <v>1</v>
      </c>
      <c r="M2456" t="n">
        <v>0</v>
      </c>
    </row>
    <row r="2457" spans="1:13">
      <c r="A2457" s="1">
        <f>HYPERLINK("http://www.twitter.com/NathanBLawrence/status/957993035551461376", "957993035551461376")</f>
        <v/>
      </c>
      <c r="B2457" s="2" t="n">
        <v>43129.62861111111</v>
      </c>
      <c r="C2457" t="n">
        <v>16</v>
      </c>
      <c r="D2457" t="n">
        <v>14</v>
      </c>
      <c r="E2457" t="s">
        <v>2448</v>
      </c>
      <c r="F2457" t="s"/>
      <c r="G2457" t="s"/>
      <c r="H2457" t="s"/>
      <c r="I2457" t="s"/>
      <c r="J2457" t="n">
        <v>0</v>
      </c>
      <c r="K2457" t="n">
        <v>0</v>
      </c>
      <c r="L2457" t="n">
        <v>1</v>
      </c>
      <c r="M2457" t="n">
        <v>0</v>
      </c>
    </row>
    <row r="2458" spans="1:13">
      <c r="A2458" s="1">
        <f>HYPERLINK("http://www.twitter.com/NathanBLawrence/status/957992453407158276", "957992453407158276")</f>
        <v/>
      </c>
      <c r="B2458" s="2" t="n">
        <v>43129.62701388889</v>
      </c>
      <c r="C2458" t="n">
        <v>0</v>
      </c>
      <c r="D2458" t="n">
        <v>523</v>
      </c>
      <c r="E2458" t="s">
        <v>2449</v>
      </c>
      <c r="F2458">
        <f>HYPERLINK("http://pbs.twimg.com/media/DUtzdWsVwAAmpsy.jpg", "http://pbs.twimg.com/media/DUtzdWsVwAAmpsy.jpg")</f>
        <v/>
      </c>
      <c r="G2458" t="s"/>
      <c r="H2458" t="s"/>
      <c r="I2458" t="s"/>
      <c r="J2458" t="n">
        <v>0.3612</v>
      </c>
      <c r="K2458" t="n">
        <v>0</v>
      </c>
      <c r="L2458" t="n">
        <v>0.857</v>
      </c>
      <c r="M2458" t="n">
        <v>0.143</v>
      </c>
    </row>
    <row r="2459" spans="1:13">
      <c r="A2459" s="1">
        <f>HYPERLINK("http://www.twitter.com/NathanBLawrence/status/957915124106452992", "957915124106452992")</f>
        <v/>
      </c>
      <c r="B2459" s="2" t="n">
        <v>43129.41362268518</v>
      </c>
      <c r="C2459" t="n">
        <v>0</v>
      </c>
      <c r="D2459" t="n">
        <v>96</v>
      </c>
      <c r="E2459" t="s">
        <v>2450</v>
      </c>
      <c r="F2459" t="s"/>
      <c r="G2459" t="s"/>
      <c r="H2459" t="s"/>
      <c r="I2459" t="s"/>
      <c r="J2459" t="n">
        <v>0.6124000000000001</v>
      </c>
      <c r="K2459" t="n">
        <v>0</v>
      </c>
      <c r="L2459" t="n">
        <v>0.762</v>
      </c>
      <c r="M2459" t="n">
        <v>0.238</v>
      </c>
    </row>
    <row r="2460" spans="1:13">
      <c r="A2460" s="1">
        <f>HYPERLINK("http://www.twitter.com/NathanBLawrence/status/957910096327200768", "957910096327200768")</f>
        <v/>
      </c>
      <c r="B2460" s="2" t="n">
        <v>43129.39974537037</v>
      </c>
      <c r="C2460" t="n">
        <v>0</v>
      </c>
      <c r="D2460" t="n">
        <v>230</v>
      </c>
      <c r="E2460" t="s">
        <v>2451</v>
      </c>
      <c r="F2460">
        <f>HYPERLINK("http://pbs.twimg.com/media/DTNnNV4WkAAlzkI.jpg", "http://pbs.twimg.com/media/DTNnNV4WkAAlzkI.jpg")</f>
        <v/>
      </c>
      <c r="G2460" t="s"/>
      <c r="H2460" t="s"/>
      <c r="I2460" t="s"/>
      <c r="J2460" t="n">
        <v>-0.6597</v>
      </c>
      <c r="K2460" t="n">
        <v>0.231</v>
      </c>
      <c r="L2460" t="n">
        <v>0.769</v>
      </c>
      <c r="M2460" t="n">
        <v>0</v>
      </c>
    </row>
    <row r="2461" spans="1:13">
      <c r="A2461" s="1">
        <f>HYPERLINK("http://www.twitter.com/NathanBLawrence/status/957894388600004608", "957894388600004608")</f>
        <v/>
      </c>
      <c r="B2461" s="2" t="n">
        <v>43129.35640046297</v>
      </c>
      <c r="C2461" t="n">
        <v>1</v>
      </c>
      <c r="D2461" t="n">
        <v>1</v>
      </c>
      <c r="E2461" t="s">
        <v>2452</v>
      </c>
      <c r="F2461" t="s"/>
      <c r="G2461" t="s"/>
      <c r="H2461" t="s"/>
      <c r="I2461" t="s"/>
      <c r="J2461" t="n">
        <v>0</v>
      </c>
      <c r="K2461" t="n">
        <v>0</v>
      </c>
      <c r="L2461" t="n">
        <v>1</v>
      </c>
      <c r="M2461" t="n">
        <v>0</v>
      </c>
    </row>
    <row r="2462" spans="1:13">
      <c r="A2462" s="1">
        <f>HYPERLINK("http://www.twitter.com/NathanBLawrence/status/957893417127829504", "957893417127829504")</f>
        <v/>
      </c>
      <c r="B2462" s="2" t="n">
        <v>43129.35372685185</v>
      </c>
      <c r="C2462" t="n">
        <v>0</v>
      </c>
      <c r="D2462" t="n">
        <v>6</v>
      </c>
      <c r="E2462" t="s">
        <v>2453</v>
      </c>
      <c r="F2462">
        <f>HYPERLINK("http://pbs.twimg.com/media/DUfM6vlWAAAIr5V.jpg", "http://pbs.twimg.com/media/DUfM6vlWAAAIr5V.jpg")</f>
        <v/>
      </c>
      <c r="G2462" t="s"/>
      <c r="H2462" t="s"/>
      <c r="I2462" t="s"/>
      <c r="J2462" t="n">
        <v>0</v>
      </c>
      <c r="K2462" t="n">
        <v>0</v>
      </c>
      <c r="L2462" t="n">
        <v>1</v>
      </c>
      <c r="M2462" t="n">
        <v>0</v>
      </c>
    </row>
    <row r="2463" spans="1:13">
      <c r="A2463" s="1">
        <f>HYPERLINK("http://www.twitter.com/NathanBLawrence/status/957893258239201280", "957893258239201280")</f>
        <v/>
      </c>
      <c r="B2463" s="2" t="n">
        <v>43129.35328703704</v>
      </c>
      <c r="C2463" t="n">
        <v>3</v>
      </c>
      <c r="D2463" t="n">
        <v>3</v>
      </c>
      <c r="E2463" t="s">
        <v>2454</v>
      </c>
      <c r="F2463" t="s"/>
      <c r="G2463" t="s"/>
      <c r="H2463" t="s"/>
      <c r="I2463" t="s"/>
      <c r="J2463" t="n">
        <v>0</v>
      </c>
      <c r="K2463" t="n">
        <v>0</v>
      </c>
      <c r="L2463" t="n">
        <v>1</v>
      </c>
      <c r="M2463" t="n">
        <v>0</v>
      </c>
    </row>
    <row r="2464" spans="1:13">
      <c r="A2464" s="1">
        <f>HYPERLINK("http://www.twitter.com/NathanBLawrence/status/957892323391787008", "957892323391787008")</f>
        <v/>
      </c>
      <c r="B2464" s="2" t="n">
        <v>43129.35070601852</v>
      </c>
      <c r="C2464" t="n">
        <v>2</v>
      </c>
      <c r="D2464" t="n">
        <v>1</v>
      </c>
      <c r="E2464" t="s">
        <v>2455</v>
      </c>
      <c r="F2464" t="s"/>
      <c r="G2464" t="s"/>
      <c r="H2464" t="s"/>
      <c r="I2464" t="s"/>
      <c r="J2464" t="n">
        <v>0</v>
      </c>
      <c r="K2464" t="n">
        <v>0</v>
      </c>
      <c r="L2464" t="n">
        <v>1</v>
      </c>
      <c r="M2464" t="n">
        <v>0</v>
      </c>
    </row>
    <row r="2465" spans="1:13">
      <c r="A2465" s="1">
        <f>HYPERLINK("http://www.twitter.com/NathanBLawrence/status/957850524874928128", "957850524874928128")</f>
        <v/>
      </c>
      <c r="B2465" s="2" t="n">
        <v>43129.23535879629</v>
      </c>
      <c r="C2465" t="n">
        <v>0</v>
      </c>
      <c r="D2465" t="n">
        <v>148</v>
      </c>
      <c r="E2465" t="s">
        <v>2456</v>
      </c>
      <c r="F2465">
        <f>HYPERLINK("http://pbs.twimg.com/media/DUrg0S-WAAAVpfj.jpg", "http://pbs.twimg.com/media/DUrg0S-WAAAVpfj.jpg")</f>
        <v/>
      </c>
      <c r="G2465" t="s"/>
      <c r="H2465" t="s"/>
      <c r="I2465" t="s"/>
      <c r="J2465" t="n">
        <v>0</v>
      </c>
      <c r="K2465" t="n">
        <v>0</v>
      </c>
      <c r="L2465" t="n">
        <v>1</v>
      </c>
      <c r="M2465" t="n">
        <v>0</v>
      </c>
    </row>
    <row r="2466" spans="1:13">
      <c r="A2466" s="1">
        <f>HYPERLINK("http://www.twitter.com/NathanBLawrence/status/957850305785450496", "957850305785450496")</f>
        <v/>
      </c>
      <c r="B2466" s="2" t="n">
        <v>43129.23475694445</v>
      </c>
      <c r="C2466" t="n">
        <v>0</v>
      </c>
      <c r="D2466" t="n">
        <v>12</v>
      </c>
      <c r="E2466" t="s">
        <v>2457</v>
      </c>
      <c r="F2466" t="s"/>
      <c r="G2466" t="s"/>
      <c r="H2466" t="s"/>
      <c r="I2466" t="s"/>
      <c r="J2466" t="n">
        <v>0</v>
      </c>
      <c r="K2466" t="n">
        <v>0</v>
      </c>
      <c r="L2466" t="n">
        <v>1</v>
      </c>
      <c r="M2466" t="n">
        <v>0</v>
      </c>
    </row>
    <row r="2467" spans="1:13">
      <c r="A2467" s="1">
        <f>HYPERLINK("http://www.twitter.com/NathanBLawrence/status/957850236851978240", "957850236851978240")</f>
        <v/>
      </c>
      <c r="B2467" s="2" t="n">
        <v>43129.23457175926</v>
      </c>
      <c r="C2467" t="n">
        <v>0</v>
      </c>
      <c r="D2467" t="n">
        <v>10</v>
      </c>
      <c r="E2467" t="s">
        <v>2458</v>
      </c>
      <c r="F2467" t="s"/>
      <c r="G2467" t="s"/>
      <c r="H2467" t="s"/>
      <c r="I2467" t="s"/>
      <c r="J2467" t="n">
        <v>0.5562</v>
      </c>
      <c r="K2467" t="n">
        <v>0</v>
      </c>
      <c r="L2467" t="n">
        <v>0.8169999999999999</v>
      </c>
      <c r="M2467" t="n">
        <v>0.183</v>
      </c>
    </row>
    <row r="2468" spans="1:13">
      <c r="A2468" s="1">
        <f>HYPERLINK("http://www.twitter.com/NathanBLawrence/status/957850042836152320", "957850042836152320")</f>
        <v/>
      </c>
      <c r="B2468" s="2" t="n">
        <v>43129.23402777778</v>
      </c>
      <c r="C2468" t="n">
        <v>0</v>
      </c>
      <c r="D2468" t="n">
        <v>157</v>
      </c>
      <c r="E2468" t="s">
        <v>2459</v>
      </c>
      <c r="F2468">
        <f>HYPERLINK("http://pbs.twimg.com/media/DUrhFCOW4AIycn3.jpg", "http://pbs.twimg.com/media/DUrhFCOW4AIycn3.jpg")</f>
        <v/>
      </c>
      <c r="G2468" t="s"/>
      <c r="H2468" t="s"/>
      <c r="I2468" t="s"/>
      <c r="J2468" t="n">
        <v>0</v>
      </c>
      <c r="K2468" t="n">
        <v>0</v>
      </c>
      <c r="L2468" t="n">
        <v>1</v>
      </c>
      <c r="M2468" t="n">
        <v>0</v>
      </c>
    </row>
    <row r="2469" spans="1:13">
      <c r="A2469" s="1">
        <f>HYPERLINK("http://www.twitter.com/NathanBLawrence/status/957833863052648448", "957833863052648448")</f>
        <v/>
      </c>
      <c r="B2469" s="2" t="n">
        <v>43129.18938657407</v>
      </c>
      <c r="C2469" t="n">
        <v>0</v>
      </c>
      <c r="D2469" t="n">
        <v>360</v>
      </c>
      <c r="E2469" t="s">
        <v>2460</v>
      </c>
      <c r="F2469">
        <f>HYPERLINK("http://pbs.twimg.com/media/DUrgxgFVwAAkOSs.jpg", "http://pbs.twimg.com/media/DUrgxgFVwAAkOSs.jpg")</f>
        <v/>
      </c>
      <c r="G2469" t="s"/>
      <c r="H2469" t="s"/>
      <c r="I2469" t="s"/>
      <c r="J2469" t="n">
        <v>0.5255</v>
      </c>
      <c r="K2469" t="n">
        <v>0</v>
      </c>
      <c r="L2469" t="n">
        <v>0.861</v>
      </c>
      <c r="M2469" t="n">
        <v>0.139</v>
      </c>
    </row>
    <row r="2470" spans="1:13">
      <c r="A2470" s="1">
        <f>HYPERLINK("http://www.twitter.com/NathanBLawrence/status/957821089794740225", "957821089794740225")</f>
        <v/>
      </c>
      <c r="B2470" s="2" t="n">
        <v>43129.15413194444</v>
      </c>
      <c r="C2470" t="n">
        <v>0</v>
      </c>
      <c r="D2470" t="n">
        <v>206</v>
      </c>
      <c r="E2470" t="s">
        <v>2461</v>
      </c>
      <c r="F2470">
        <f>HYPERLINK("http://pbs.twimg.com/media/DUq6m2GU0AAX_lA.jpg", "http://pbs.twimg.com/media/DUq6m2GU0AAX_lA.jpg")</f>
        <v/>
      </c>
      <c r="G2470" t="s"/>
      <c r="H2470" t="s"/>
      <c r="I2470" t="s"/>
      <c r="J2470" t="n">
        <v>0</v>
      </c>
      <c r="K2470" t="n">
        <v>0</v>
      </c>
      <c r="L2470" t="n">
        <v>1</v>
      </c>
      <c r="M2470" t="n">
        <v>0</v>
      </c>
    </row>
    <row r="2471" spans="1:13">
      <c r="A2471" s="1">
        <f>HYPERLINK("http://www.twitter.com/NathanBLawrence/status/957809464245211137", "957809464245211137")</f>
        <v/>
      </c>
      <c r="B2471" s="2" t="n">
        <v>43129.12206018518</v>
      </c>
      <c r="C2471" t="n">
        <v>0</v>
      </c>
      <c r="D2471" t="n">
        <v>2558</v>
      </c>
      <c r="E2471" t="s">
        <v>2462</v>
      </c>
      <c r="F2471">
        <f>HYPERLINK("https://video.twimg.com/ext_tw_video/957613414783901698/pu/vid/480x480/_k1obIx43U9MeuUS.mp4", "https://video.twimg.com/ext_tw_video/957613414783901698/pu/vid/480x480/_k1obIx43U9MeuUS.mp4")</f>
        <v/>
      </c>
      <c r="G2471" t="s"/>
      <c r="H2471" t="s"/>
      <c r="I2471" t="s"/>
      <c r="J2471" t="n">
        <v>-0.296</v>
      </c>
      <c r="K2471" t="n">
        <v>0.126</v>
      </c>
      <c r="L2471" t="n">
        <v>0.8080000000000001</v>
      </c>
      <c r="M2471" t="n">
        <v>0.066</v>
      </c>
    </row>
    <row r="2472" spans="1:13">
      <c r="A2472" s="1">
        <f>HYPERLINK("http://www.twitter.com/NathanBLawrence/status/957808384551550976", "957808384551550976")</f>
        <v/>
      </c>
      <c r="B2472" s="2" t="n">
        <v>43129.11907407407</v>
      </c>
      <c r="C2472" t="n">
        <v>0</v>
      </c>
      <c r="D2472" t="n">
        <v>44</v>
      </c>
      <c r="E2472" t="s">
        <v>2463</v>
      </c>
      <c r="F2472">
        <f>HYPERLINK("http://pbs.twimg.com/media/DUrOSadXcAE0Y_H.jpg", "http://pbs.twimg.com/media/DUrOSadXcAE0Y_H.jpg")</f>
        <v/>
      </c>
      <c r="G2472" t="s"/>
      <c r="H2472" t="s"/>
      <c r="I2472" t="s"/>
      <c r="J2472" t="n">
        <v>0</v>
      </c>
      <c r="K2472" t="n">
        <v>0</v>
      </c>
      <c r="L2472" t="n">
        <v>1</v>
      </c>
      <c r="M2472" t="n">
        <v>0</v>
      </c>
    </row>
    <row r="2473" spans="1:13">
      <c r="A2473" s="1">
        <f>HYPERLINK("http://www.twitter.com/NathanBLawrence/status/957776239158276097", "957776239158276097")</f>
        <v/>
      </c>
      <c r="B2473" s="2" t="n">
        <v>43129.03037037037</v>
      </c>
      <c r="C2473" t="n">
        <v>0</v>
      </c>
      <c r="D2473" t="n">
        <v>7211</v>
      </c>
      <c r="E2473" t="s">
        <v>2464</v>
      </c>
      <c r="F2473" t="s"/>
      <c r="G2473" t="s"/>
      <c r="H2473" t="s"/>
      <c r="I2473" t="s"/>
      <c r="J2473" t="n">
        <v>0</v>
      </c>
      <c r="K2473" t="n">
        <v>0</v>
      </c>
      <c r="L2473" t="n">
        <v>1</v>
      </c>
      <c r="M2473" t="n">
        <v>0</v>
      </c>
    </row>
    <row r="2474" spans="1:13">
      <c r="A2474" s="1">
        <f>HYPERLINK("http://www.twitter.com/NathanBLawrence/status/957775981347033095", "957775981347033095")</f>
        <v/>
      </c>
      <c r="B2474" s="2" t="n">
        <v>43129.02966435185</v>
      </c>
      <c r="C2474" t="n">
        <v>0</v>
      </c>
      <c r="D2474" t="n">
        <v>116</v>
      </c>
      <c r="E2474" t="s">
        <v>2465</v>
      </c>
      <c r="F2474">
        <f>HYPERLINK("http://pbs.twimg.com/media/DUqsa1GV4AA_3-B.jpg", "http://pbs.twimg.com/media/DUqsa1GV4AA_3-B.jpg")</f>
        <v/>
      </c>
      <c r="G2474" t="s"/>
      <c r="H2474" t="s"/>
      <c r="I2474" t="s"/>
      <c r="J2474" t="n">
        <v>0.4404</v>
      </c>
      <c r="K2474" t="n">
        <v>0.119</v>
      </c>
      <c r="L2474" t="n">
        <v>0.651</v>
      </c>
      <c r="M2474" t="n">
        <v>0.23</v>
      </c>
    </row>
    <row r="2475" spans="1:13">
      <c r="A2475" s="1">
        <f>HYPERLINK("http://www.twitter.com/NathanBLawrence/status/957771617995804672", "957771617995804672")</f>
        <v/>
      </c>
      <c r="B2475" s="2" t="n">
        <v>43129.01761574074</v>
      </c>
      <c r="C2475" t="n">
        <v>9</v>
      </c>
      <c r="D2475" t="n">
        <v>4</v>
      </c>
      <c r="E2475" t="s">
        <v>2466</v>
      </c>
      <c r="F2475" t="s"/>
      <c r="G2475" t="s"/>
      <c r="H2475" t="s"/>
      <c r="I2475" t="s"/>
      <c r="J2475" t="n">
        <v>0.0129</v>
      </c>
      <c r="K2475" t="n">
        <v>0</v>
      </c>
      <c r="L2475" t="n">
        <v>0.972</v>
      </c>
      <c r="M2475" t="n">
        <v>0.028</v>
      </c>
    </row>
    <row r="2476" spans="1:13">
      <c r="A2476" s="1">
        <f>HYPERLINK("http://www.twitter.com/NathanBLawrence/status/957770687753654272", "957770687753654272")</f>
        <v/>
      </c>
      <c r="B2476" s="2" t="n">
        <v>43129.01505787037</v>
      </c>
      <c r="C2476" t="n">
        <v>5</v>
      </c>
      <c r="D2476" t="n">
        <v>1</v>
      </c>
      <c r="E2476" t="s">
        <v>2467</v>
      </c>
      <c r="F2476" t="s"/>
      <c r="G2476" t="s"/>
      <c r="H2476" t="s"/>
      <c r="I2476" t="s"/>
      <c r="J2476" t="n">
        <v>0.0129</v>
      </c>
      <c r="K2476" t="n">
        <v>0</v>
      </c>
      <c r="L2476" t="n">
        <v>0.97</v>
      </c>
      <c r="M2476" t="n">
        <v>0.03</v>
      </c>
    </row>
    <row r="2477" spans="1:13">
      <c r="A2477" s="1">
        <f>HYPERLINK("http://www.twitter.com/NathanBLawrence/status/957770014878240768", "957770014878240768")</f>
        <v/>
      </c>
      <c r="B2477" s="2" t="n">
        <v>43129.01319444444</v>
      </c>
      <c r="C2477" t="n">
        <v>0</v>
      </c>
      <c r="D2477" t="n">
        <v>516</v>
      </c>
      <c r="E2477" t="s">
        <v>2468</v>
      </c>
      <c r="F2477">
        <f>HYPERLINK("http://pbs.twimg.com/media/DUqZS44VMAUBOd4.jpg", "http://pbs.twimg.com/media/DUqZS44VMAUBOd4.jpg")</f>
        <v/>
      </c>
      <c r="G2477" t="s"/>
      <c r="H2477" t="s"/>
      <c r="I2477" t="s"/>
      <c r="J2477" t="n">
        <v>0</v>
      </c>
      <c r="K2477" t="n">
        <v>0</v>
      </c>
      <c r="L2477" t="n">
        <v>1</v>
      </c>
      <c r="M2477" t="n">
        <v>0</v>
      </c>
    </row>
    <row r="2478" spans="1:13">
      <c r="A2478" s="1">
        <f>HYPERLINK("http://www.twitter.com/NathanBLawrence/status/957750736858812417", "957750736858812417")</f>
        <v/>
      </c>
      <c r="B2478" s="2" t="n">
        <v>43128.96</v>
      </c>
      <c r="C2478" t="n">
        <v>0</v>
      </c>
      <c r="D2478" t="n">
        <v>5222</v>
      </c>
      <c r="E2478" t="s">
        <v>2469</v>
      </c>
      <c r="F2478" t="s"/>
      <c r="G2478" t="s"/>
      <c r="H2478" t="s"/>
      <c r="I2478" t="s"/>
      <c r="J2478" t="n">
        <v>-0.6163</v>
      </c>
      <c r="K2478" t="n">
        <v>0.274</v>
      </c>
      <c r="L2478" t="n">
        <v>0.5590000000000001</v>
      </c>
      <c r="M2478" t="n">
        <v>0.168</v>
      </c>
    </row>
    <row r="2479" spans="1:13">
      <c r="A2479" s="1">
        <f>HYPERLINK("http://www.twitter.com/NathanBLawrence/status/957745337137074177", "957745337137074177")</f>
        <v/>
      </c>
      <c r="B2479" s="2" t="n">
        <v>43128.94510416667</v>
      </c>
      <c r="C2479" t="n">
        <v>0</v>
      </c>
      <c r="D2479" t="n">
        <v>538</v>
      </c>
      <c r="E2479" t="s">
        <v>2470</v>
      </c>
      <c r="F2479" t="s"/>
      <c r="G2479" t="s"/>
      <c r="H2479" t="s"/>
      <c r="I2479" t="s"/>
      <c r="J2479" t="n">
        <v>0.6808</v>
      </c>
      <c r="K2479" t="n">
        <v>0</v>
      </c>
      <c r="L2479" t="n">
        <v>0.804</v>
      </c>
      <c r="M2479" t="n">
        <v>0.196</v>
      </c>
    </row>
    <row r="2480" spans="1:13">
      <c r="A2480" s="1">
        <f>HYPERLINK("http://www.twitter.com/NathanBLawrence/status/957738069846822912", "957738069846822912")</f>
        <v/>
      </c>
      <c r="B2480" s="2" t="n">
        <v>43128.9250462963</v>
      </c>
      <c r="C2480" t="n">
        <v>0</v>
      </c>
      <c r="D2480" t="n">
        <v>86</v>
      </c>
      <c r="E2480" t="s">
        <v>2471</v>
      </c>
      <c r="F2480">
        <f>HYPERLINK("http://pbs.twimg.com/media/DUqDEc4X4AAMdD0.jpg", "http://pbs.twimg.com/media/DUqDEc4X4AAMdD0.jpg")</f>
        <v/>
      </c>
      <c r="G2480" t="s"/>
      <c r="H2480" t="s"/>
      <c r="I2480" t="s"/>
      <c r="J2480" t="n">
        <v>0.2714</v>
      </c>
      <c r="K2480" t="n">
        <v>0</v>
      </c>
      <c r="L2480" t="n">
        <v>0.884</v>
      </c>
      <c r="M2480" t="n">
        <v>0.116</v>
      </c>
    </row>
    <row r="2481" spans="1:13">
      <c r="A2481" s="1">
        <f>HYPERLINK("http://www.twitter.com/NathanBLawrence/status/957735134882648064", "957735134882648064")</f>
        <v/>
      </c>
      <c r="B2481" s="2" t="n">
        <v>43128.91694444444</v>
      </c>
      <c r="C2481" t="n">
        <v>0</v>
      </c>
      <c r="D2481" t="n">
        <v>440</v>
      </c>
      <c r="E2481" t="s">
        <v>2472</v>
      </c>
      <c r="F2481">
        <f>HYPERLINK("http://pbs.twimg.com/media/DUqA3qKX4AEuPNg.jpg", "http://pbs.twimg.com/media/DUqA3qKX4AEuPNg.jpg")</f>
        <v/>
      </c>
      <c r="G2481" t="s"/>
      <c r="H2481" t="s"/>
      <c r="I2481" t="s"/>
      <c r="J2481" t="n">
        <v>0.2695</v>
      </c>
      <c r="K2481" t="n">
        <v>0</v>
      </c>
      <c r="L2481" t="n">
        <v>0.896</v>
      </c>
      <c r="M2481" t="n">
        <v>0.104</v>
      </c>
    </row>
    <row r="2482" spans="1:13">
      <c r="A2482" s="1">
        <f>HYPERLINK("http://www.twitter.com/NathanBLawrence/status/957734887884238848", "957734887884238848")</f>
        <v/>
      </c>
      <c r="B2482" s="2" t="n">
        <v>43128.91626157407</v>
      </c>
      <c r="C2482" t="n">
        <v>0</v>
      </c>
      <c r="D2482" t="n">
        <v>612</v>
      </c>
      <c r="E2482" t="s">
        <v>2473</v>
      </c>
      <c r="F2482">
        <f>HYPERLINK("http://pbs.twimg.com/media/DUqNsSYVQAAuf98.jpg", "http://pbs.twimg.com/media/DUqNsSYVQAAuf98.jpg")</f>
        <v/>
      </c>
      <c r="G2482" t="s"/>
      <c r="H2482" t="s"/>
      <c r="I2482" t="s"/>
      <c r="J2482" t="n">
        <v>0.2401</v>
      </c>
      <c r="K2482" t="n">
        <v>0</v>
      </c>
      <c r="L2482" t="n">
        <v>0.869</v>
      </c>
      <c r="M2482" t="n">
        <v>0.131</v>
      </c>
    </row>
    <row r="2483" spans="1:13">
      <c r="A2483" s="1">
        <f>HYPERLINK("http://www.twitter.com/NathanBLawrence/status/957734198261043200", "957734198261043200")</f>
        <v/>
      </c>
      <c r="B2483" s="2" t="n">
        <v>43128.91436342592</v>
      </c>
      <c r="C2483" t="n">
        <v>0</v>
      </c>
      <c r="D2483" t="n">
        <v>273</v>
      </c>
      <c r="E2483" t="s">
        <v>2474</v>
      </c>
      <c r="F2483">
        <f>HYPERLINK("http://pbs.twimg.com/media/DUqCALsU8AEJpg3.jpg", "http://pbs.twimg.com/media/DUqCALsU8AEJpg3.jpg")</f>
        <v/>
      </c>
      <c r="G2483" t="s"/>
      <c r="H2483" t="s"/>
      <c r="I2483" t="s"/>
      <c r="J2483" t="n">
        <v>0.2714</v>
      </c>
      <c r="K2483" t="n">
        <v>0</v>
      </c>
      <c r="L2483" t="n">
        <v>0.89</v>
      </c>
      <c r="M2483" t="n">
        <v>0.11</v>
      </c>
    </row>
    <row r="2484" spans="1:13">
      <c r="A2484" s="1">
        <f>HYPERLINK("http://www.twitter.com/NathanBLawrence/status/957731883944734720", "957731883944734720")</f>
        <v/>
      </c>
      <c r="B2484" s="2" t="n">
        <v>43128.90797453704</v>
      </c>
      <c r="C2484" t="n">
        <v>0</v>
      </c>
      <c r="D2484" t="n">
        <v>142</v>
      </c>
      <c r="E2484" t="s">
        <v>2475</v>
      </c>
      <c r="F2484">
        <f>HYPERLINK("http://pbs.twimg.com/media/DUqH70AWAAEampQ.jpg", "http://pbs.twimg.com/media/DUqH70AWAAEampQ.jpg")</f>
        <v/>
      </c>
      <c r="G2484" t="s"/>
      <c r="H2484" t="s"/>
      <c r="I2484" t="s"/>
      <c r="J2484" t="n">
        <v>0.6166</v>
      </c>
      <c r="K2484" t="n">
        <v>0</v>
      </c>
      <c r="L2484" t="n">
        <v>0.748</v>
      </c>
      <c r="M2484" t="n">
        <v>0.252</v>
      </c>
    </row>
    <row r="2485" spans="1:13">
      <c r="A2485" s="1">
        <f>HYPERLINK("http://www.twitter.com/NathanBLawrence/status/957731604897652737", "957731604897652737")</f>
        <v/>
      </c>
      <c r="B2485" s="2" t="n">
        <v>43128.90721064815</v>
      </c>
      <c r="C2485" t="n">
        <v>5</v>
      </c>
      <c r="D2485" t="n">
        <v>2</v>
      </c>
      <c r="E2485" t="s">
        <v>2476</v>
      </c>
      <c r="F2485" t="s"/>
      <c r="G2485" t="s"/>
      <c r="H2485" t="s"/>
      <c r="I2485" t="s"/>
      <c r="J2485" t="n">
        <v>0.296</v>
      </c>
      <c r="K2485" t="n">
        <v>0</v>
      </c>
      <c r="L2485" t="n">
        <v>0.947</v>
      </c>
      <c r="M2485" t="n">
        <v>0.053</v>
      </c>
    </row>
    <row r="2486" spans="1:13">
      <c r="A2486" s="1">
        <f>HYPERLINK("http://www.twitter.com/NathanBLawrence/status/957730708344238083", "957730708344238083")</f>
        <v/>
      </c>
      <c r="B2486" s="2" t="n">
        <v>43128.9047337963</v>
      </c>
      <c r="C2486" t="n">
        <v>0</v>
      </c>
      <c r="D2486" t="n">
        <v>440</v>
      </c>
      <c r="E2486" t="s">
        <v>2477</v>
      </c>
      <c r="F2486">
        <f>HYPERLINK("http://pbs.twimg.com/media/DUqF2nMUQAAAR6n.jpg", "http://pbs.twimg.com/media/DUqF2nMUQAAAR6n.jpg")</f>
        <v/>
      </c>
      <c r="G2486" t="s"/>
      <c r="H2486" t="s"/>
      <c r="I2486" t="s"/>
      <c r="J2486" t="n">
        <v>0.6166</v>
      </c>
      <c r="K2486" t="n">
        <v>0</v>
      </c>
      <c r="L2486" t="n">
        <v>0.763</v>
      </c>
      <c r="M2486" t="n">
        <v>0.237</v>
      </c>
    </row>
    <row r="2487" spans="1:13">
      <c r="A2487" s="1">
        <f>HYPERLINK("http://www.twitter.com/NathanBLawrence/status/957730707643752448", "957730707643752448")</f>
        <v/>
      </c>
      <c r="B2487" s="2" t="n">
        <v>43128.9047337963</v>
      </c>
      <c r="C2487" t="n">
        <v>0</v>
      </c>
      <c r="D2487" t="n">
        <v>747</v>
      </c>
      <c r="E2487" t="s">
        <v>2478</v>
      </c>
      <c r="F2487">
        <f>HYPERLINK("http://pbs.twimg.com/media/DUqJ1MUVoAU9QK1.jpg", "http://pbs.twimg.com/media/DUqJ1MUVoAU9QK1.jpg")</f>
        <v/>
      </c>
      <c r="G2487" t="s"/>
      <c r="H2487" t="s"/>
      <c r="I2487" t="s"/>
      <c r="J2487" t="n">
        <v>-0.6476</v>
      </c>
      <c r="K2487" t="n">
        <v>0.386</v>
      </c>
      <c r="L2487" t="n">
        <v>0.614</v>
      </c>
      <c r="M2487" t="n">
        <v>0</v>
      </c>
    </row>
    <row r="2488" spans="1:13">
      <c r="A2488" s="1">
        <f>HYPERLINK("http://www.twitter.com/NathanBLawrence/status/957730247151181825", "957730247151181825")</f>
        <v/>
      </c>
      <c r="B2488" s="2" t="n">
        <v>43128.90346064815</v>
      </c>
      <c r="C2488" t="n">
        <v>11</v>
      </c>
      <c r="D2488" t="n">
        <v>8</v>
      </c>
      <c r="E2488" t="s">
        <v>2479</v>
      </c>
      <c r="F2488" t="s"/>
      <c r="G2488" t="s"/>
      <c r="H2488" t="s"/>
      <c r="I2488" t="s"/>
      <c r="J2488" t="n">
        <v>0.296</v>
      </c>
      <c r="K2488" t="n">
        <v>0</v>
      </c>
      <c r="L2488" t="n">
        <v>0.95</v>
      </c>
      <c r="M2488" t="n">
        <v>0.05</v>
      </c>
    </row>
    <row r="2489" spans="1:13">
      <c r="A2489" s="1">
        <f>HYPERLINK("http://www.twitter.com/NathanBLawrence/status/957725879282610176", "957725879282610176")</f>
        <v/>
      </c>
      <c r="B2489" s="2" t="n">
        <v>43128.89140046296</v>
      </c>
      <c r="C2489" t="n">
        <v>0</v>
      </c>
      <c r="D2489" t="n">
        <v>713</v>
      </c>
      <c r="E2489" t="s">
        <v>2480</v>
      </c>
      <c r="F2489">
        <f>HYPERLINK("http://pbs.twimg.com/media/DUqAKDYVwAAuzz6.jpg", "http://pbs.twimg.com/media/DUqAKDYVwAAuzz6.jpg")</f>
        <v/>
      </c>
      <c r="G2489" t="s"/>
      <c r="H2489" t="s"/>
      <c r="I2489" t="s"/>
      <c r="J2489" t="n">
        <v>0.2695</v>
      </c>
      <c r="K2489" t="n">
        <v>0</v>
      </c>
      <c r="L2489" t="n">
        <v>0.896</v>
      </c>
      <c r="M2489" t="n">
        <v>0.104</v>
      </c>
    </row>
    <row r="2490" spans="1:13">
      <c r="A2490" s="1">
        <f>HYPERLINK("http://www.twitter.com/NathanBLawrence/status/957725090061475840", "957725090061475840")</f>
        <v/>
      </c>
      <c r="B2490" s="2" t="n">
        <v>43128.88922453704</v>
      </c>
      <c r="C2490" t="n">
        <v>0</v>
      </c>
      <c r="D2490" t="n">
        <v>0</v>
      </c>
      <c r="E2490" t="s">
        <v>2481</v>
      </c>
      <c r="F2490" t="s"/>
      <c r="G2490" t="s"/>
      <c r="H2490" t="s"/>
      <c r="I2490" t="s"/>
      <c r="J2490" t="n">
        <v>0.6696</v>
      </c>
      <c r="K2490" t="n">
        <v>0</v>
      </c>
      <c r="L2490" t="n">
        <v>0.791</v>
      </c>
      <c r="M2490" t="n">
        <v>0.209</v>
      </c>
    </row>
    <row r="2491" spans="1:13">
      <c r="A2491" s="1">
        <f>HYPERLINK("http://www.twitter.com/NathanBLawrence/status/957724205587554305", "957724205587554305")</f>
        <v/>
      </c>
      <c r="B2491" s="2" t="n">
        <v>43128.8867824074</v>
      </c>
      <c r="C2491" t="n">
        <v>0</v>
      </c>
      <c r="D2491" t="n">
        <v>93</v>
      </c>
      <c r="E2491" t="s">
        <v>2482</v>
      </c>
      <c r="F2491" t="s"/>
      <c r="G2491" t="s"/>
      <c r="H2491" t="s"/>
      <c r="I2491" t="s"/>
      <c r="J2491" t="n">
        <v>0</v>
      </c>
      <c r="K2491" t="n">
        <v>0</v>
      </c>
      <c r="L2491" t="n">
        <v>1</v>
      </c>
      <c r="M2491" t="n">
        <v>0</v>
      </c>
    </row>
    <row r="2492" spans="1:13">
      <c r="A2492" s="1">
        <f>HYPERLINK("http://www.twitter.com/NathanBLawrence/status/957721607165923328", "957721607165923328")</f>
        <v/>
      </c>
      <c r="B2492" s="2" t="n">
        <v>43128.87961805556</v>
      </c>
      <c r="C2492" t="n">
        <v>0</v>
      </c>
      <c r="D2492" t="n">
        <v>0</v>
      </c>
      <c r="E2492" t="s">
        <v>2483</v>
      </c>
      <c r="F2492" t="s"/>
      <c r="G2492" t="s"/>
      <c r="H2492" t="s"/>
      <c r="I2492" t="s"/>
      <c r="J2492" t="n">
        <v>0.6688</v>
      </c>
      <c r="K2492" t="n">
        <v>0</v>
      </c>
      <c r="L2492" t="n">
        <v>0.527</v>
      </c>
      <c r="M2492" t="n">
        <v>0.473</v>
      </c>
    </row>
    <row r="2493" spans="1:13">
      <c r="A2493" s="1">
        <f>HYPERLINK("http://www.twitter.com/NathanBLawrence/status/957721180856881153", "957721180856881153")</f>
        <v/>
      </c>
      <c r="B2493" s="2" t="n">
        <v>43128.8784375</v>
      </c>
      <c r="C2493" t="n">
        <v>0</v>
      </c>
      <c r="D2493" t="n">
        <v>8</v>
      </c>
      <c r="E2493" t="s">
        <v>2484</v>
      </c>
      <c r="F2493">
        <f>HYPERLINK("http://pbs.twimg.com/media/DUp9WaYVAAAjhDb.jpg", "http://pbs.twimg.com/media/DUp9WaYVAAAjhDb.jpg")</f>
        <v/>
      </c>
      <c r="G2493">
        <f>HYPERLINK("http://pbs.twimg.com/media/DUp9YAeV4AAOZpJ.jpg", "http://pbs.twimg.com/media/DUp9YAeV4AAOZpJ.jpg")</f>
        <v/>
      </c>
      <c r="H2493" t="s"/>
      <c r="I2493" t="s"/>
      <c r="J2493" t="n">
        <v>0.25</v>
      </c>
      <c r="K2493" t="n">
        <v>0.097</v>
      </c>
      <c r="L2493" t="n">
        <v>0.738</v>
      </c>
      <c r="M2493" t="n">
        <v>0.164</v>
      </c>
    </row>
    <row r="2494" spans="1:13">
      <c r="A2494" s="1">
        <f>HYPERLINK("http://www.twitter.com/NathanBLawrence/status/957720991211425792", "957720991211425792")</f>
        <v/>
      </c>
      <c r="B2494" s="2" t="n">
        <v>43128.87791666666</v>
      </c>
      <c r="C2494" t="n">
        <v>0</v>
      </c>
      <c r="D2494" t="n">
        <v>47</v>
      </c>
      <c r="E2494" t="s">
        <v>2485</v>
      </c>
      <c r="F2494" t="s"/>
      <c r="G2494" t="s"/>
      <c r="H2494" t="s"/>
      <c r="I2494" t="s"/>
      <c r="J2494" t="n">
        <v>-0.4404</v>
      </c>
      <c r="K2494" t="n">
        <v>0.121</v>
      </c>
      <c r="L2494" t="n">
        <v>0.879</v>
      </c>
      <c r="M2494" t="n">
        <v>0</v>
      </c>
    </row>
    <row r="2495" spans="1:13">
      <c r="A2495" s="1">
        <f>HYPERLINK("http://www.twitter.com/NathanBLawrence/status/957719714821758977", "957719714821758977")</f>
        <v/>
      </c>
      <c r="B2495" s="2" t="n">
        <v>43128.87439814815</v>
      </c>
      <c r="C2495" t="n">
        <v>0</v>
      </c>
      <c r="D2495" t="n">
        <v>109</v>
      </c>
      <c r="E2495" t="s">
        <v>2486</v>
      </c>
      <c r="F2495">
        <f>HYPERLINK("http://pbs.twimg.com/media/DUnEDibVwAAyq0M.jpg", "http://pbs.twimg.com/media/DUnEDibVwAAyq0M.jpg")</f>
        <v/>
      </c>
      <c r="G2495">
        <f>HYPERLINK("http://pbs.twimg.com/media/DUnEHL_VwAANuGu.jpg", "http://pbs.twimg.com/media/DUnEHL_VwAANuGu.jpg")</f>
        <v/>
      </c>
      <c r="H2495">
        <f>HYPERLINK("http://pbs.twimg.com/media/DUnEJYtVQAEMxnQ.jpg", "http://pbs.twimg.com/media/DUnEJYtVQAEMxnQ.jpg")</f>
        <v/>
      </c>
      <c r="I2495">
        <f>HYPERLINK("http://pbs.twimg.com/media/DUnEKj6VQAAlKnA.jpg", "http://pbs.twimg.com/media/DUnEKj6VQAAlKnA.jpg")</f>
        <v/>
      </c>
      <c r="J2495" t="n">
        <v>0.1197</v>
      </c>
      <c r="K2495" t="n">
        <v>0.1</v>
      </c>
      <c r="L2495" t="n">
        <v>0.784</v>
      </c>
      <c r="M2495" t="n">
        <v>0.116</v>
      </c>
    </row>
    <row r="2496" spans="1:13">
      <c r="A2496" s="1">
        <f>HYPERLINK("http://www.twitter.com/NathanBLawrence/status/957716826187882496", "957716826187882496")</f>
        <v/>
      </c>
      <c r="B2496" s="2" t="n">
        <v>43128.86642361111</v>
      </c>
      <c r="C2496" t="n">
        <v>9</v>
      </c>
      <c r="D2496" t="n">
        <v>10</v>
      </c>
      <c r="E2496" t="s">
        <v>2487</v>
      </c>
      <c r="F2496" t="s"/>
      <c r="G2496" t="s"/>
      <c r="H2496" t="s"/>
      <c r="I2496" t="s"/>
      <c r="J2496" t="n">
        <v>0.5562</v>
      </c>
      <c r="K2496" t="n">
        <v>0</v>
      </c>
      <c r="L2496" t="n">
        <v>0.796</v>
      </c>
      <c r="M2496" t="n">
        <v>0.204</v>
      </c>
    </row>
    <row r="2497" spans="1:13">
      <c r="A2497" s="1">
        <f>HYPERLINK("http://www.twitter.com/NathanBLawrence/status/957713948815646721", "957713948815646721")</f>
        <v/>
      </c>
      <c r="B2497" s="2" t="n">
        <v>43128.8584837963</v>
      </c>
      <c r="C2497" t="n">
        <v>1</v>
      </c>
      <c r="D2497" t="n">
        <v>1</v>
      </c>
      <c r="E2497" t="s">
        <v>2488</v>
      </c>
      <c r="F2497" t="s"/>
      <c r="G2497" t="s"/>
      <c r="H2497" t="s"/>
      <c r="I2497" t="s"/>
      <c r="J2497" t="n">
        <v>0.829</v>
      </c>
      <c r="K2497" t="n">
        <v>0</v>
      </c>
      <c r="L2497" t="n">
        <v>0.748</v>
      </c>
      <c r="M2497" t="n">
        <v>0.252</v>
      </c>
    </row>
    <row r="2498" spans="1:13">
      <c r="A2498" s="1">
        <f>HYPERLINK("http://www.twitter.com/NathanBLawrence/status/957708125318066177", "957708125318066177")</f>
        <v/>
      </c>
      <c r="B2498" s="2" t="n">
        <v>43128.84241898148</v>
      </c>
      <c r="C2498" t="n">
        <v>14</v>
      </c>
      <c r="D2498" t="n">
        <v>12</v>
      </c>
      <c r="E2498" t="s">
        <v>2489</v>
      </c>
      <c r="F2498" t="s"/>
      <c r="G2498" t="s"/>
      <c r="H2498" t="s"/>
      <c r="I2498" t="s"/>
      <c r="J2498" t="n">
        <v>0</v>
      </c>
      <c r="K2498" t="n">
        <v>0</v>
      </c>
      <c r="L2498" t="n">
        <v>1</v>
      </c>
      <c r="M2498" t="n">
        <v>0</v>
      </c>
    </row>
    <row r="2499" spans="1:13">
      <c r="A2499" s="1">
        <f>HYPERLINK("http://www.twitter.com/NathanBLawrence/status/957663789213782016", "957663789213782016")</f>
        <v/>
      </c>
      <c r="B2499" s="2" t="n">
        <v>43128.72006944445</v>
      </c>
      <c r="C2499" t="n">
        <v>0</v>
      </c>
      <c r="D2499" t="n">
        <v>93</v>
      </c>
      <c r="E2499" t="s">
        <v>2490</v>
      </c>
      <c r="F2499" t="s"/>
      <c r="G2499" t="s"/>
      <c r="H2499" t="s"/>
      <c r="I2499" t="s"/>
      <c r="J2499" t="n">
        <v>-0.7065</v>
      </c>
      <c r="K2499" t="n">
        <v>0.236</v>
      </c>
      <c r="L2499" t="n">
        <v>0.764</v>
      </c>
      <c r="M2499" t="n">
        <v>0</v>
      </c>
    </row>
    <row r="2500" spans="1:13">
      <c r="A2500" s="1">
        <f>HYPERLINK("http://www.twitter.com/NathanBLawrence/status/957492421406978053", "957492421406978053")</f>
        <v/>
      </c>
      <c r="B2500" s="2" t="n">
        <v>43128.2471875</v>
      </c>
      <c r="C2500" t="n">
        <v>0</v>
      </c>
      <c r="D2500" t="n">
        <v>933</v>
      </c>
      <c r="E2500" t="s">
        <v>2491</v>
      </c>
      <c r="F2500" t="s"/>
      <c r="G2500" t="s"/>
      <c r="H2500" t="s"/>
      <c r="I2500" t="s"/>
      <c r="J2500" t="n">
        <v>0.4738</v>
      </c>
      <c r="K2500" t="n">
        <v>0.051</v>
      </c>
      <c r="L2500" t="n">
        <v>0.8090000000000001</v>
      </c>
      <c r="M2500" t="n">
        <v>0.14</v>
      </c>
    </row>
    <row r="2501" spans="1:13">
      <c r="A2501" s="1">
        <f>HYPERLINK("http://www.twitter.com/NathanBLawrence/status/957491734992343040", "957491734992343040")</f>
        <v/>
      </c>
      <c r="B2501" s="2" t="n">
        <v>43128.24528935185</v>
      </c>
      <c r="C2501" t="n">
        <v>0</v>
      </c>
      <c r="D2501" t="n">
        <v>4</v>
      </c>
      <c r="E2501" t="s">
        <v>2492</v>
      </c>
      <c r="F2501">
        <f>HYPERLINK("http://pbs.twimg.com/media/DUVn7EXX4AAI-yg.jpg", "http://pbs.twimg.com/media/DUVn7EXX4AAI-yg.jpg")</f>
        <v/>
      </c>
      <c r="G2501" t="s"/>
      <c r="H2501" t="s"/>
      <c r="I2501" t="s"/>
      <c r="J2501" t="n">
        <v>0</v>
      </c>
      <c r="K2501" t="n">
        <v>0</v>
      </c>
      <c r="L2501" t="n">
        <v>1</v>
      </c>
      <c r="M2501" t="n">
        <v>0</v>
      </c>
    </row>
    <row r="2502" spans="1:13">
      <c r="A2502" s="1">
        <f>HYPERLINK("http://www.twitter.com/NathanBLawrence/status/957467627844235264", "957467627844235264")</f>
        <v/>
      </c>
      <c r="B2502" s="2" t="n">
        <v>43128.17877314815</v>
      </c>
      <c r="C2502" t="n">
        <v>0</v>
      </c>
      <c r="D2502" t="n">
        <v>1998</v>
      </c>
      <c r="E2502" t="s">
        <v>2493</v>
      </c>
      <c r="F2502">
        <f>HYPERLINK("http://pbs.twimg.com/media/DUmX0sEU8AAiR4A.jpg", "http://pbs.twimg.com/media/DUmX0sEU8AAiR4A.jpg")</f>
        <v/>
      </c>
      <c r="G2502" t="s"/>
      <c r="H2502" t="s"/>
      <c r="I2502" t="s"/>
      <c r="J2502" t="n">
        <v>0</v>
      </c>
      <c r="K2502" t="n">
        <v>0</v>
      </c>
      <c r="L2502" t="n">
        <v>1</v>
      </c>
      <c r="M2502" t="n">
        <v>0</v>
      </c>
    </row>
    <row r="2503" spans="1:13">
      <c r="A2503" s="1">
        <f>HYPERLINK("http://www.twitter.com/NathanBLawrence/status/957466659291312128", "957466659291312128")</f>
        <v/>
      </c>
      <c r="B2503" s="2" t="n">
        <v>43128.17609953704</v>
      </c>
      <c r="C2503" t="n">
        <v>0</v>
      </c>
      <c r="D2503" t="n">
        <v>2403</v>
      </c>
      <c r="E2503" t="s">
        <v>2494</v>
      </c>
      <c r="F2503">
        <f>HYPERLINK("http://pbs.twimg.com/media/DUjev0TVwAEBEts.jpg", "http://pbs.twimg.com/media/DUjev0TVwAEBEts.jpg")</f>
        <v/>
      </c>
      <c r="G2503" t="s"/>
      <c r="H2503" t="s"/>
      <c r="I2503" t="s"/>
      <c r="J2503" t="n">
        <v>0</v>
      </c>
      <c r="K2503" t="n">
        <v>0</v>
      </c>
      <c r="L2503" t="n">
        <v>1</v>
      </c>
      <c r="M2503" t="n">
        <v>0</v>
      </c>
    </row>
    <row r="2504" spans="1:13">
      <c r="A2504" s="1">
        <f>HYPERLINK("http://www.twitter.com/NathanBLawrence/status/957465759243997184", "957465759243997184")</f>
        <v/>
      </c>
      <c r="B2504" s="2" t="n">
        <v>43128.17361111111</v>
      </c>
      <c r="C2504" t="n">
        <v>0</v>
      </c>
      <c r="D2504" t="n">
        <v>628</v>
      </c>
      <c r="E2504" t="s">
        <v>2495</v>
      </c>
      <c r="F2504">
        <f>HYPERLINK("http://pbs.twimg.com/media/DUmZ0UAVoAEViy-.jpg", "http://pbs.twimg.com/media/DUmZ0UAVoAEViy-.jpg")</f>
        <v/>
      </c>
      <c r="G2504" t="s"/>
      <c r="H2504" t="s"/>
      <c r="I2504" t="s"/>
      <c r="J2504" t="n">
        <v>0</v>
      </c>
      <c r="K2504" t="n">
        <v>0</v>
      </c>
      <c r="L2504" t="n">
        <v>1</v>
      </c>
      <c r="M2504" t="n">
        <v>0</v>
      </c>
    </row>
    <row r="2505" spans="1:13">
      <c r="A2505" s="1">
        <f>HYPERLINK("http://www.twitter.com/NathanBLawrence/status/957435312451485703", "957435312451485703")</f>
        <v/>
      </c>
      <c r="B2505" s="2" t="n">
        <v>43128.0895949074</v>
      </c>
      <c r="C2505" t="n">
        <v>0</v>
      </c>
      <c r="D2505" t="n">
        <v>6116</v>
      </c>
      <c r="E2505" t="s">
        <v>2496</v>
      </c>
      <c r="F2505" t="s"/>
      <c r="G2505" t="s"/>
      <c r="H2505" t="s"/>
      <c r="I2505" t="s"/>
      <c r="J2505" t="n">
        <v>0.296</v>
      </c>
      <c r="K2505" t="n">
        <v>0.18</v>
      </c>
      <c r="L2505" t="n">
        <v>0.599</v>
      </c>
      <c r="M2505" t="n">
        <v>0.222</v>
      </c>
    </row>
    <row r="2506" spans="1:13">
      <c r="A2506" s="1">
        <f>HYPERLINK("http://www.twitter.com/NathanBLawrence/status/957434501843636224", "957434501843636224")</f>
        <v/>
      </c>
      <c r="B2506" s="2" t="n">
        <v>43128.08736111111</v>
      </c>
      <c r="C2506" t="n">
        <v>0</v>
      </c>
      <c r="D2506" t="n">
        <v>20</v>
      </c>
      <c r="E2506" t="s">
        <v>2497</v>
      </c>
      <c r="F2506">
        <f>HYPERLINK("http://pbs.twimg.com/media/DUl8ZOiU0AAulg7.jpg", "http://pbs.twimg.com/media/DUl8ZOiU0AAulg7.jpg")</f>
        <v/>
      </c>
      <c r="G2506" t="s"/>
      <c r="H2506" t="s"/>
      <c r="I2506" t="s"/>
      <c r="J2506" t="n">
        <v>0</v>
      </c>
      <c r="K2506" t="n">
        <v>0</v>
      </c>
      <c r="L2506" t="n">
        <v>1</v>
      </c>
      <c r="M2506" t="n">
        <v>0</v>
      </c>
    </row>
    <row r="2507" spans="1:13">
      <c r="A2507" s="1">
        <f>HYPERLINK("http://www.twitter.com/NathanBLawrence/status/957433125067509760", "957433125067509760")</f>
        <v/>
      </c>
      <c r="B2507" s="2" t="n">
        <v>43128.08355324074</v>
      </c>
      <c r="C2507" t="n">
        <v>0</v>
      </c>
      <c r="D2507" t="n">
        <v>0</v>
      </c>
      <c r="E2507" t="s">
        <v>2498</v>
      </c>
      <c r="F2507" t="s"/>
      <c r="G2507" t="s"/>
      <c r="H2507" t="s"/>
      <c r="I2507" t="s"/>
      <c r="J2507" t="n">
        <v>0</v>
      </c>
      <c r="K2507" t="n">
        <v>0</v>
      </c>
      <c r="L2507" t="n">
        <v>1</v>
      </c>
      <c r="M2507" t="n">
        <v>0</v>
      </c>
    </row>
    <row r="2508" spans="1:13">
      <c r="A2508" s="1">
        <f>HYPERLINK("http://www.twitter.com/NathanBLawrence/status/957430379354509312", "957430379354509312")</f>
        <v/>
      </c>
      <c r="B2508" s="2" t="n">
        <v>43128.0759837963</v>
      </c>
      <c r="C2508" t="n">
        <v>0</v>
      </c>
      <c r="D2508" t="n">
        <v>11</v>
      </c>
      <c r="E2508" t="s">
        <v>2499</v>
      </c>
      <c r="F2508" t="s"/>
      <c r="G2508" t="s"/>
      <c r="H2508" t="s"/>
      <c r="I2508" t="s"/>
      <c r="J2508" t="n">
        <v>0</v>
      </c>
      <c r="K2508" t="n">
        <v>0</v>
      </c>
      <c r="L2508" t="n">
        <v>1</v>
      </c>
      <c r="M2508" t="n">
        <v>0</v>
      </c>
    </row>
    <row r="2509" spans="1:13">
      <c r="A2509" s="1">
        <f>HYPERLINK("http://www.twitter.com/NathanBLawrence/status/957429499221757952", "957429499221757952")</f>
        <v/>
      </c>
      <c r="B2509" s="2" t="n">
        <v>43128.07355324074</v>
      </c>
      <c r="C2509" t="n">
        <v>0</v>
      </c>
      <c r="D2509" t="n">
        <v>0</v>
      </c>
      <c r="E2509" t="s">
        <v>2500</v>
      </c>
      <c r="F2509" t="s"/>
      <c r="G2509" t="s"/>
      <c r="H2509" t="s"/>
      <c r="I2509" t="s"/>
      <c r="J2509" t="n">
        <v>0.296</v>
      </c>
      <c r="K2509" t="n">
        <v>0</v>
      </c>
      <c r="L2509" t="n">
        <v>0.804</v>
      </c>
      <c r="M2509" t="n">
        <v>0.196</v>
      </c>
    </row>
    <row r="2510" spans="1:13">
      <c r="A2510" s="1">
        <f>HYPERLINK("http://www.twitter.com/NathanBLawrence/status/957420539471155200", "957420539471155200")</f>
        <v/>
      </c>
      <c r="B2510" s="2" t="n">
        <v>43128.04883101852</v>
      </c>
      <c r="C2510" t="n">
        <v>0</v>
      </c>
      <c r="D2510" t="n">
        <v>0</v>
      </c>
      <c r="E2510" t="s">
        <v>2501</v>
      </c>
      <c r="F2510" t="s"/>
      <c r="G2510" t="s"/>
      <c r="H2510" t="s"/>
      <c r="I2510" t="s"/>
      <c r="J2510" t="n">
        <v>0</v>
      </c>
      <c r="K2510" t="n">
        <v>0</v>
      </c>
      <c r="L2510" t="n">
        <v>1</v>
      </c>
      <c r="M2510" t="n">
        <v>0</v>
      </c>
    </row>
    <row r="2511" spans="1:13">
      <c r="A2511" s="1">
        <f>HYPERLINK("http://www.twitter.com/NathanBLawrence/status/957411839750627331", "957411839750627331")</f>
        <v/>
      </c>
      <c r="B2511" s="2" t="n">
        <v>43128.02482638889</v>
      </c>
      <c r="C2511" t="n">
        <v>0</v>
      </c>
      <c r="D2511" t="n">
        <v>20567</v>
      </c>
      <c r="E2511" t="s">
        <v>2502</v>
      </c>
      <c r="F2511" t="s"/>
      <c r="G2511" t="s"/>
      <c r="H2511" t="s"/>
      <c r="I2511" t="s"/>
      <c r="J2511" t="n">
        <v>0.8176</v>
      </c>
      <c r="K2511" t="n">
        <v>0</v>
      </c>
      <c r="L2511" t="n">
        <v>0.702</v>
      </c>
      <c r="M2511" t="n">
        <v>0.298</v>
      </c>
    </row>
    <row r="2512" spans="1:13">
      <c r="A2512" s="1">
        <f>HYPERLINK("http://www.twitter.com/NathanBLawrence/status/957411754253971457", "957411754253971457")</f>
        <v/>
      </c>
      <c r="B2512" s="2" t="n">
        <v>43128.02458333333</v>
      </c>
      <c r="C2512" t="n">
        <v>2</v>
      </c>
      <c r="D2512" t="n">
        <v>0</v>
      </c>
      <c r="E2512" t="s">
        <v>2503</v>
      </c>
      <c r="F2512" t="s"/>
      <c r="G2512" t="s"/>
      <c r="H2512" t="s"/>
      <c r="I2512" t="s"/>
      <c r="J2512" t="n">
        <v>0</v>
      </c>
      <c r="K2512" t="n">
        <v>0</v>
      </c>
      <c r="L2512" t="n">
        <v>1</v>
      </c>
      <c r="M2512" t="n">
        <v>0</v>
      </c>
    </row>
    <row r="2513" spans="1:13">
      <c r="A2513" s="1">
        <f>HYPERLINK("http://www.twitter.com/NathanBLawrence/status/957408500623257600", "957408500623257600")</f>
        <v/>
      </c>
      <c r="B2513" s="2" t="n">
        <v>43128.01560185185</v>
      </c>
      <c r="C2513" t="n">
        <v>0</v>
      </c>
      <c r="D2513" t="n">
        <v>0</v>
      </c>
      <c r="E2513" t="s">
        <v>2504</v>
      </c>
      <c r="F2513" t="s"/>
      <c r="G2513" t="s"/>
      <c r="H2513" t="s"/>
      <c r="I2513" t="s"/>
      <c r="J2513" t="n">
        <v>0</v>
      </c>
      <c r="K2513" t="n">
        <v>0</v>
      </c>
      <c r="L2513" t="n">
        <v>1</v>
      </c>
      <c r="M2513" t="n">
        <v>0</v>
      </c>
    </row>
    <row r="2514" spans="1:13">
      <c r="A2514" s="1">
        <f>HYPERLINK("http://www.twitter.com/NathanBLawrence/status/957402522079186949", "957402522079186949")</f>
        <v/>
      </c>
      <c r="B2514" s="2" t="n">
        <v>43127.9991087963</v>
      </c>
      <c r="C2514" t="n">
        <v>2</v>
      </c>
      <c r="D2514" t="n">
        <v>2</v>
      </c>
      <c r="E2514" t="s">
        <v>2505</v>
      </c>
      <c r="F2514" t="s"/>
      <c r="G2514" t="s"/>
      <c r="H2514" t="s"/>
      <c r="I2514" t="s"/>
      <c r="J2514" t="n">
        <v>0</v>
      </c>
      <c r="K2514" t="n">
        <v>0</v>
      </c>
      <c r="L2514" t="n">
        <v>1</v>
      </c>
      <c r="M2514" t="n">
        <v>0</v>
      </c>
    </row>
    <row r="2515" spans="1:13">
      <c r="A2515" s="1">
        <f>HYPERLINK("http://www.twitter.com/NathanBLawrence/status/957400876804657152", "957400876804657152")</f>
        <v/>
      </c>
      <c r="B2515" s="2" t="n">
        <v>43127.99457175926</v>
      </c>
      <c r="C2515" t="n">
        <v>0</v>
      </c>
      <c r="D2515" t="n">
        <v>0</v>
      </c>
      <c r="E2515" t="s">
        <v>2506</v>
      </c>
      <c r="F2515" t="s"/>
      <c r="G2515" t="s"/>
      <c r="H2515" t="s"/>
      <c r="I2515" t="s"/>
      <c r="J2515" t="n">
        <v>0</v>
      </c>
      <c r="K2515" t="n">
        <v>0</v>
      </c>
      <c r="L2515" t="n">
        <v>1</v>
      </c>
      <c r="M2515" t="n">
        <v>0</v>
      </c>
    </row>
    <row r="2516" spans="1:13">
      <c r="A2516" s="1">
        <f>HYPERLINK("http://www.twitter.com/NathanBLawrence/status/957400520683130882", "957400520683130882")</f>
        <v/>
      </c>
      <c r="B2516" s="2" t="n">
        <v>43127.99358796296</v>
      </c>
      <c r="C2516" t="n">
        <v>0</v>
      </c>
      <c r="D2516" t="n">
        <v>0</v>
      </c>
      <c r="E2516" t="s">
        <v>2507</v>
      </c>
      <c r="F2516" t="s"/>
      <c r="G2516" t="s"/>
      <c r="H2516" t="s"/>
      <c r="I2516" t="s"/>
      <c r="J2516" t="n">
        <v>0</v>
      </c>
      <c r="K2516" t="n">
        <v>0</v>
      </c>
      <c r="L2516" t="n">
        <v>1</v>
      </c>
      <c r="M2516" t="n">
        <v>0</v>
      </c>
    </row>
    <row r="2517" spans="1:13">
      <c r="A2517" s="1">
        <f>HYPERLINK("http://www.twitter.com/NathanBLawrence/status/957400155069788161", "957400155069788161")</f>
        <v/>
      </c>
      <c r="B2517" s="2" t="n">
        <v>43127.99258101852</v>
      </c>
      <c r="C2517" t="n">
        <v>0</v>
      </c>
      <c r="D2517" t="n">
        <v>86</v>
      </c>
      <c r="E2517" t="s">
        <v>2508</v>
      </c>
      <c r="F2517">
        <f>HYPERLINK("http://pbs.twimg.com/media/DUi_P_DVoAAZW5L.jpg", "http://pbs.twimg.com/media/DUi_P_DVoAAZW5L.jpg")</f>
        <v/>
      </c>
      <c r="G2517" t="s"/>
      <c r="H2517" t="s"/>
      <c r="I2517" t="s"/>
      <c r="J2517" t="n">
        <v>0.7125</v>
      </c>
      <c r="K2517" t="n">
        <v>0</v>
      </c>
      <c r="L2517" t="n">
        <v>0.8169999999999999</v>
      </c>
      <c r="M2517" t="n">
        <v>0.183</v>
      </c>
    </row>
    <row r="2518" spans="1:13">
      <c r="A2518" s="1">
        <f>HYPERLINK("http://www.twitter.com/NathanBLawrence/status/957399719382278146", "957399719382278146")</f>
        <v/>
      </c>
      <c r="B2518" s="2" t="n">
        <v>43127.99137731481</v>
      </c>
      <c r="C2518" t="n">
        <v>0</v>
      </c>
      <c r="D2518" t="n">
        <v>36</v>
      </c>
      <c r="E2518" t="s">
        <v>2509</v>
      </c>
      <c r="F2518" t="s"/>
      <c r="G2518" t="s"/>
      <c r="H2518" t="s"/>
      <c r="I2518" t="s"/>
      <c r="J2518" t="n">
        <v>0.9339</v>
      </c>
      <c r="K2518" t="n">
        <v>0</v>
      </c>
      <c r="L2518" t="n">
        <v>0.534</v>
      </c>
      <c r="M2518" t="n">
        <v>0.466</v>
      </c>
    </row>
    <row r="2519" spans="1:13">
      <c r="A2519" s="1">
        <f>HYPERLINK("http://www.twitter.com/NathanBLawrence/status/957399206884409344", "957399206884409344")</f>
        <v/>
      </c>
      <c r="B2519" s="2" t="n">
        <v>43127.98996527777</v>
      </c>
      <c r="C2519" t="n">
        <v>0</v>
      </c>
      <c r="D2519" t="n">
        <v>6</v>
      </c>
      <c r="E2519" t="s">
        <v>2510</v>
      </c>
      <c r="F2519" t="s"/>
      <c r="G2519" t="s"/>
      <c r="H2519" t="s"/>
      <c r="I2519" t="s"/>
      <c r="J2519" t="n">
        <v>0</v>
      </c>
      <c r="K2519" t="n">
        <v>0</v>
      </c>
      <c r="L2519" t="n">
        <v>1</v>
      </c>
      <c r="M2519" t="n">
        <v>0</v>
      </c>
    </row>
    <row r="2520" spans="1:13">
      <c r="A2520" s="1">
        <f>HYPERLINK("http://www.twitter.com/NathanBLawrence/status/957393304743800832", "957393304743800832")</f>
        <v/>
      </c>
      <c r="B2520" s="2" t="n">
        <v>43127.97368055556</v>
      </c>
      <c r="C2520" t="n">
        <v>1</v>
      </c>
      <c r="D2520" t="n">
        <v>0</v>
      </c>
      <c r="E2520" t="s">
        <v>2511</v>
      </c>
      <c r="F2520" t="s"/>
      <c r="G2520" t="s"/>
      <c r="H2520" t="s"/>
      <c r="I2520" t="s"/>
      <c r="J2520" t="n">
        <v>0.3818</v>
      </c>
      <c r="K2520" t="n">
        <v>0.118</v>
      </c>
      <c r="L2520" t="n">
        <v>0.676</v>
      </c>
      <c r="M2520" t="n">
        <v>0.206</v>
      </c>
    </row>
    <row r="2521" spans="1:13">
      <c r="A2521" s="1">
        <f>HYPERLINK("http://www.twitter.com/NathanBLawrence/status/957392181316157440", "957392181316157440")</f>
        <v/>
      </c>
      <c r="B2521" s="2" t="n">
        <v>43127.9705787037</v>
      </c>
      <c r="C2521" t="n">
        <v>3</v>
      </c>
      <c r="D2521" t="n">
        <v>0</v>
      </c>
      <c r="E2521" t="s">
        <v>2512</v>
      </c>
      <c r="F2521" t="s"/>
      <c r="G2521" t="s"/>
      <c r="H2521" t="s"/>
      <c r="I2521" t="s"/>
      <c r="J2521" t="n">
        <v>0.4215</v>
      </c>
      <c r="K2521" t="n">
        <v>0</v>
      </c>
      <c r="L2521" t="n">
        <v>0.741</v>
      </c>
      <c r="M2521" t="n">
        <v>0.259</v>
      </c>
    </row>
    <row r="2522" spans="1:13">
      <c r="A2522" s="1">
        <f>HYPERLINK("http://www.twitter.com/NathanBLawrence/status/957391805833728000", "957391805833728000")</f>
        <v/>
      </c>
      <c r="B2522" s="2" t="n">
        <v>43127.96953703704</v>
      </c>
      <c r="C2522" t="n">
        <v>1</v>
      </c>
      <c r="D2522" t="n">
        <v>0</v>
      </c>
      <c r="E2522" t="s">
        <v>2513</v>
      </c>
      <c r="F2522" t="s"/>
      <c r="G2522" t="s"/>
      <c r="H2522" t="s"/>
      <c r="I2522" t="s"/>
      <c r="J2522" t="n">
        <v>0</v>
      </c>
      <c r="K2522" t="n">
        <v>0</v>
      </c>
      <c r="L2522" t="n">
        <v>1</v>
      </c>
      <c r="M2522" t="n">
        <v>0</v>
      </c>
    </row>
    <row r="2523" spans="1:13">
      <c r="A2523" s="1">
        <f>HYPERLINK("http://www.twitter.com/NathanBLawrence/status/957328891592544257", "957328891592544257")</f>
        <v/>
      </c>
      <c r="B2523" s="2" t="n">
        <v>43127.79592592592</v>
      </c>
      <c r="C2523" t="n">
        <v>0</v>
      </c>
      <c r="D2523" t="n">
        <v>57</v>
      </c>
      <c r="E2523" t="s">
        <v>2514</v>
      </c>
      <c r="F2523">
        <f>HYPERLINK("http://pbs.twimg.com/media/DUkaGxFUQAEBsGi.jpg", "http://pbs.twimg.com/media/DUkaGxFUQAEBsGi.jpg")</f>
        <v/>
      </c>
      <c r="G2523" t="s"/>
      <c r="H2523" t="s"/>
      <c r="I2523" t="s"/>
      <c r="J2523" t="n">
        <v>0</v>
      </c>
      <c r="K2523" t="n">
        <v>0</v>
      </c>
      <c r="L2523" t="n">
        <v>1</v>
      </c>
      <c r="M2523" t="n">
        <v>0</v>
      </c>
    </row>
    <row r="2524" spans="1:13">
      <c r="A2524" s="1">
        <f>HYPERLINK("http://www.twitter.com/NathanBLawrence/status/957326172693716992", "957326172693716992")</f>
        <v/>
      </c>
      <c r="B2524" s="2" t="n">
        <v>43127.78842592592</v>
      </c>
      <c r="C2524" t="n">
        <v>0</v>
      </c>
      <c r="D2524" t="n">
        <v>9161</v>
      </c>
      <c r="E2524" t="s">
        <v>2515</v>
      </c>
      <c r="F2524">
        <f>HYPERLINK("http://pbs.twimg.com/media/DUeIZ4IW4AAmgD0.jpg", "http://pbs.twimg.com/media/DUeIZ4IW4AAmgD0.jpg")</f>
        <v/>
      </c>
      <c r="G2524" t="s"/>
      <c r="H2524" t="s"/>
      <c r="I2524" t="s"/>
      <c r="J2524" t="n">
        <v>0.1027</v>
      </c>
      <c r="K2524" t="n">
        <v>0.092</v>
      </c>
      <c r="L2524" t="n">
        <v>0.8</v>
      </c>
      <c r="M2524" t="n">
        <v>0.108</v>
      </c>
    </row>
    <row r="2525" spans="1:13">
      <c r="A2525" s="1">
        <f>HYPERLINK("http://www.twitter.com/NathanBLawrence/status/957317009997533184", "957317009997533184")</f>
        <v/>
      </c>
      <c r="B2525" s="2" t="n">
        <v>43127.76313657407</v>
      </c>
      <c r="C2525" t="n">
        <v>0</v>
      </c>
      <c r="D2525" t="n">
        <v>9546</v>
      </c>
      <c r="E2525" t="s">
        <v>2516</v>
      </c>
      <c r="F2525" t="s"/>
      <c r="G2525" t="s"/>
      <c r="H2525" t="s"/>
      <c r="I2525" t="s"/>
      <c r="J2525" t="n">
        <v>0.079</v>
      </c>
      <c r="K2525" t="n">
        <v>0.092</v>
      </c>
      <c r="L2525" t="n">
        <v>0.803</v>
      </c>
      <c r="M2525" t="n">
        <v>0.104</v>
      </c>
    </row>
    <row r="2526" spans="1:13">
      <c r="A2526" s="1">
        <f>HYPERLINK("http://www.twitter.com/NathanBLawrence/status/957316989197934593", "957316989197934593")</f>
        <v/>
      </c>
      <c r="B2526" s="2" t="n">
        <v>43127.76307870371</v>
      </c>
      <c r="C2526" t="n">
        <v>0</v>
      </c>
      <c r="D2526" t="n">
        <v>9</v>
      </c>
      <c r="E2526" t="s">
        <v>2517</v>
      </c>
      <c r="F2526" t="s"/>
      <c r="G2526" t="s"/>
      <c r="H2526" t="s"/>
      <c r="I2526" t="s"/>
      <c r="J2526" t="n">
        <v>-0.0056</v>
      </c>
      <c r="K2526" t="n">
        <v>0.141</v>
      </c>
      <c r="L2526" t="n">
        <v>0.719</v>
      </c>
      <c r="M2526" t="n">
        <v>0.14</v>
      </c>
    </row>
    <row r="2527" spans="1:13">
      <c r="A2527" s="1">
        <f>HYPERLINK("http://www.twitter.com/NathanBLawrence/status/957316878329925633", "957316878329925633")</f>
        <v/>
      </c>
      <c r="B2527" s="2" t="n">
        <v>43127.76277777777</v>
      </c>
      <c r="C2527" t="n">
        <v>14</v>
      </c>
      <c r="D2527" t="n">
        <v>9</v>
      </c>
      <c r="E2527" t="s">
        <v>2518</v>
      </c>
      <c r="F2527" t="s"/>
      <c r="G2527" t="s"/>
      <c r="H2527" t="s"/>
      <c r="I2527" t="s"/>
      <c r="J2527" t="n">
        <v>0.7692</v>
      </c>
      <c r="K2527" t="n">
        <v>0.062</v>
      </c>
      <c r="L2527" t="n">
        <v>0.765</v>
      </c>
      <c r="M2527" t="n">
        <v>0.173</v>
      </c>
    </row>
    <row r="2528" spans="1:13">
      <c r="A2528" s="1">
        <f>HYPERLINK("http://www.twitter.com/NathanBLawrence/status/957312930994900992", "957312930994900992")</f>
        <v/>
      </c>
      <c r="B2528" s="2" t="n">
        <v>43127.75188657407</v>
      </c>
      <c r="C2528" t="n">
        <v>0</v>
      </c>
      <c r="D2528" t="n">
        <v>0</v>
      </c>
      <c r="E2528" t="s">
        <v>2519</v>
      </c>
      <c r="F2528" t="s"/>
      <c r="G2528" t="s"/>
      <c r="H2528" t="s"/>
      <c r="I2528" t="s"/>
      <c r="J2528" t="n">
        <v>-0.974</v>
      </c>
      <c r="K2528" t="n">
        <v>0.387</v>
      </c>
      <c r="L2528" t="n">
        <v>0.509</v>
      </c>
      <c r="M2528" t="n">
        <v>0.103</v>
      </c>
    </row>
    <row r="2529" spans="1:13">
      <c r="A2529" s="1">
        <f>HYPERLINK("http://www.twitter.com/NathanBLawrence/status/957302946286403585", "957302946286403585")</f>
        <v/>
      </c>
      <c r="B2529" s="2" t="n">
        <v>43127.72432870371</v>
      </c>
      <c r="C2529" t="n">
        <v>0</v>
      </c>
      <c r="D2529" t="n">
        <v>240</v>
      </c>
      <c r="E2529" t="s">
        <v>2520</v>
      </c>
      <c r="F2529" t="s"/>
      <c r="G2529" t="s"/>
      <c r="H2529" t="s"/>
      <c r="I2529" t="s"/>
      <c r="J2529" t="n">
        <v>0</v>
      </c>
      <c r="K2529" t="n">
        <v>0</v>
      </c>
      <c r="L2529" t="n">
        <v>1</v>
      </c>
      <c r="M2529" t="n">
        <v>0</v>
      </c>
    </row>
    <row r="2530" spans="1:13">
      <c r="A2530" s="1">
        <f>HYPERLINK("http://www.twitter.com/NathanBLawrence/status/957302899574558720", "957302899574558720")</f>
        <v/>
      </c>
      <c r="B2530" s="2" t="n">
        <v>43127.72420138889</v>
      </c>
      <c r="C2530" t="n">
        <v>1</v>
      </c>
      <c r="D2530" t="n">
        <v>0</v>
      </c>
      <c r="E2530" t="s">
        <v>2521</v>
      </c>
      <c r="F2530" t="s"/>
      <c r="G2530" t="s"/>
      <c r="H2530" t="s"/>
      <c r="I2530" t="s"/>
      <c r="J2530" t="n">
        <v>0</v>
      </c>
      <c r="K2530" t="n">
        <v>0</v>
      </c>
      <c r="L2530" t="n">
        <v>1</v>
      </c>
      <c r="M2530" t="n">
        <v>0</v>
      </c>
    </row>
    <row r="2531" spans="1:13">
      <c r="A2531" s="1">
        <f>HYPERLINK("http://www.twitter.com/NathanBLawrence/status/957295186043981824", "957295186043981824")</f>
        <v/>
      </c>
      <c r="B2531" s="2" t="n">
        <v>43127.70291666667</v>
      </c>
      <c r="C2531" t="n">
        <v>0</v>
      </c>
      <c r="D2531" t="n">
        <v>0</v>
      </c>
      <c r="E2531" t="s">
        <v>2522</v>
      </c>
      <c r="F2531" t="s"/>
      <c r="G2531" t="s"/>
      <c r="H2531" t="s"/>
      <c r="I2531" t="s"/>
      <c r="J2531" t="n">
        <v>-0.4542</v>
      </c>
      <c r="K2531" t="n">
        <v>0.168</v>
      </c>
      <c r="L2531" t="n">
        <v>0.753</v>
      </c>
      <c r="M2531" t="n">
        <v>0.08</v>
      </c>
    </row>
    <row r="2532" spans="1:13">
      <c r="A2532" s="1">
        <f>HYPERLINK("http://www.twitter.com/NathanBLawrence/status/957292686716948481", "957292686716948481")</f>
        <v/>
      </c>
      <c r="B2532" s="2" t="n">
        <v>43127.69601851852</v>
      </c>
      <c r="C2532" t="n">
        <v>0</v>
      </c>
      <c r="D2532" t="n">
        <v>0</v>
      </c>
      <c r="E2532" t="s">
        <v>2523</v>
      </c>
      <c r="F2532" t="s"/>
      <c r="G2532" t="s"/>
      <c r="H2532" t="s"/>
      <c r="I2532" t="s"/>
      <c r="J2532" t="n">
        <v>0</v>
      </c>
      <c r="K2532" t="n">
        <v>0</v>
      </c>
      <c r="L2532" t="n">
        <v>1</v>
      </c>
      <c r="M2532" t="n">
        <v>0</v>
      </c>
    </row>
    <row r="2533" spans="1:13">
      <c r="A2533" s="1">
        <f>HYPERLINK("http://www.twitter.com/NathanBLawrence/status/957291495454904320", "957291495454904320")</f>
        <v/>
      </c>
      <c r="B2533" s="2" t="n">
        <v>43127.69273148148</v>
      </c>
      <c r="C2533" t="n">
        <v>0</v>
      </c>
      <c r="D2533" t="n">
        <v>0</v>
      </c>
      <c r="E2533" t="s">
        <v>2524</v>
      </c>
      <c r="F2533" t="s"/>
      <c r="G2533" t="s"/>
      <c r="H2533" t="s"/>
      <c r="I2533" t="s"/>
      <c r="J2533" t="n">
        <v>0.0772</v>
      </c>
      <c r="K2533" t="n">
        <v>0</v>
      </c>
      <c r="L2533" t="n">
        <v>0.929</v>
      </c>
      <c r="M2533" t="n">
        <v>0.07099999999999999</v>
      </c>
    </row>
    <row r="2534" spans="1:13">
      <c r="A2534" s="1">
        <f>HYPERLINK("http://www.twitter.com/NathanBLawrence/status/957289278610067461", "957289278610067461")</f>
        <v/>
      </c>
      <c r="B2534" s="2" t="n">
        <v>43127.68662037037</v>
      </c>
      <c r="C2534" t="n">
        <v>1</v>
      </c>
      <c r="D2534" t="n">
        <v>0</v>
      </c>
      <c r="E2534" t="s">
        <v>2525</v>
      </c>
      <c r="F2534" t="s"/>
      <c r="G2534" t="s"/>
      <c r="H2534" t="s"/>
      <c r="I2534" t="s"/>
      <c r="J2534" t="n">
        <v>0</v>
      </c>
      <c r="K2534" t="n">
        <v>0</v>
      </c>
      <c r="L2534" t="n">
        <v>1</v>
      </c>
      <c r="M2534" t="n">
        <v>0</v>
      </c>
    </row>
    <row r="2535" spans="1:13">
      <c r="A2535" s="1">
        <f>HYPERLINK("http://www.twitter.com/NathanBLawrence/status/957286298292752384", "957286298292752384")</f>
        <v/>
      </c>
      <c r="B2535" s="2" t="n">
        <v>43127.67839120371</v>
      </c>
      <c r="C2535" t="n">
        <v>7</v>
      </c>
      <c r="D2535" t="n">
        <v>0</v>
      </c>
      <c r="E2535" t="s">
        <v>2526</v>
      </c>
      <c r="F2535" t="s"/>
      <c r="G2535" t="s"/>
      <c r="H2535" t="s"/>
      <c r="I2535" t="s"/>
      <c r="J2535" t="n">
        <v>0</v>
      </c>
      <c r="K2535" t="n">
        <v>0</v>
      </c>
      <c r="L2535" t="n">
        <v>1</v>
      </c>
      <c r="M2535" t="n">
        <v>0</v>
      </c>
    </row>
    <row r="2536" spans="1:13">
      <c r="A2536" s="1">
        <f>HYPERLINK("http://www.twitter.com/NathanBLawrence/status/957283381041123330", "957283381041123330")</f>
        <v/>
      </c>
      <c r="B2536" s="2" t="n">
        <v>43127.67034722222</v>
      </c>
      <c r="C2536" t="n">
        <v>0</v>
      </c>
      <c r="D2536" t="n">
        <v>3</v>
      </c>
      <c r="E2536" t="s">
        <v>2527</v>
      </c>
      <c r="F2536" t="s"/>
      <c r="G2536" t="s"/>
      <c r="H2536" t="s"/>
      <c r="I2536" t="s"/>
      <c r="J2536" t="n">
        <v>0</v>
      </c>
      <c r="K2536" t="n">
        <v>0</v>
      </c>
      <c r="L2536" t="n">
        <v>1</v>
      </c>
      <c r="M2536" t="n">
        <v>0</v>
      </c>
    </row>
    <row r="2537" spans="1:13">
      <c r="A2537" s="1">
        <f>HYPERLINK("http://www.twitter.com/NathanBLawrence/status/957279721288544257", "957279721288544257")</f>
        <v/>
      </c>
      <c r="B2537" s="2" t="n">
        <v>43127.66024305556</v>
      </c>
      <c r="C2537" t="n">
        <v>0</v>
      </c>
      <c r="D2537" t="n">
        <v>5745</v>
      </c>
      <c r="E2537" t="s">
        <v>2528</v>
      </c>
      <c r="F2537" t="s"/>
      <c r="G2537" t="s"/>
      <c r="H2537" t="s"/>
      <c r="I2537" t="s"/>
      <c r="J2537" t="n">
        <v>0.3612</v>
      </c>
      <c r="K2537" t="n">
        <v>0</v>
      </c>
      <c r="L2537" t="n">
        <v>0.902</v>
      </c>
      <c r="M2537" t="n">
        <v>0.098</v>
      </c>
    </row>
    <row r="2538" spans="1:13">
      <c r="A2538" s="1">
        <f>HYPERLINK("http://www.twitter.com/NathanBLawrence/status/957279444594561025", "957279444594561025")</f>
        <v/>
      </c>
      <c r="B2538" s="2" t="n">
        <v>43127.65947916666</v>
      </c>
      <c r="C2538" t="n">
        <v>0</v>
      </c>
      <c r="D2538" t="n">
        <v>45</v>
      </c>
      <c r="E2538" t="s">
        <v>2529</v>
      </c>
      <c r="F2538" t="s"/>
      <c r="G2538" t="s"/>
      <c r="H2538" t="s"/>
      <c r="I2538" t="s"/>
      <c r="J2538" t="n">
        <v>0.4404</v>
      </c>
      <c r="K2538" t="n">
        <v>0.141</v>
      </c>
      <c r="L2538" t="n">
        <v>0.623</v>
      </c>
      <c r="M2538" t="n">
        <v>0.236</v>
      </c>
    </row>
    <row r="2539" spans="1:13">
      <c r="A2539" s="1">
        <f>HYPERLINK("http://www.twitter.com/NathanBLawrence/status/957278391257960450", "957278391257960450")</f>
        <v/>
      </c>
      <c r="B2539" s="2" t="n">
        <v>43127.65657407408</v>
      </c>
      <c r="C2539" t="n">
        <v>0</v>
      </c>
      <c r="D2539" t="n">
        <v>1838</v>
      </c>
      <c r="E2539" t="s">
        <v>2530</v>
      </c>
      <c r="F2539">
        <f>HYPERLINK("http://pbs.twimg.com/media/DUjuH_wUMAAbYNn.jpg", "http://pbs.twimg.com/media/DUjuH_wUMAAbYNn.jpg")</f>
        <v/>
      </c>
      <c r="G2539" t="s"/>
      <c r="H2539" t="s"/>
      <c r="I2539" t="s"/>
      <c r="J2539" t="n">
        <v>-0.3291</v>
      </c>
      <c r="K2539" t="n">
        <v>0.097</v>
      </c>
      <c r="L2539" t="n">
        <v>0.903</v>
      </c>
      <c r="M2539" t="n">
        <v>0</v>
      </c>
    </row>
    <row r="2540" spans="1:13">
      <c r="A2540" s="1">
        <f>HYPERLINK("http://www.twitter.com/NathanBLawrence/status/957272393503911936", "957272393503911936")</f>
        <v/>
      </c>
      <c r="B2540" s="2" t="n">
        <v>43127.64002314815</v>
      </c>
      <c r="C2540" t="n">
        <v>0</v>
      </c>
      <c r="D2540" t="n">
        <v>0</v>
      </c>
      <c r="E2540" t="s">
        <v>2531</v>
      </c>
      <c r="F2540" t="s"/>
      <c r="G2540" t="s"/>
      <c r="H2540" t="s"/>
      <c r="I2540" t="s"/>
      <c r="J2540" t="n">
        <v>0</v>
      </c>
      <c r="K2540" t="n">
        <v>0</v>
      </c>
      <c r="L2540" t="n">
        <v>1</v>
      </c>
      <c r="M2540" t="n">
        <v>0</v>
      </c>
    </row>
    <row r="2541" spans="1:13">
      <c r="A2541" s="1">
        <f>HYPERLINK("http://www.twitter.com/NathanBLawrence/status/957272061688401920", "957272061688401920")</f>
        <v/>
      </c>
      <c r="B2541" s="2" t="n">
        <v>43127.6391087963</v>
      </c>
      <c r="C2541" t="n">
        <v>0</v>
      </c>
      <c r="D2541" t="n">
        <v>25</v>
      </c>
      <c r="E2541" t="s">
        <v>2532</v>
      </c>
      <c r="F2541">
        <f>HYPERLINK("http://pbs.twimg.com/media/DUjo9HMU8AQiWhQ.jpg", "http://pbs.twimg.com/media/DUjo9HMU8AQiWhQ.jpg")</f>
        <v/>
      </c>
      <c r="G2541" t="s"/>
      <c r="H2541" t="s"/>
      <c r="I2541" t="s"/>
      <c r="J2541" t="n">
        <v>0</v>
      </c>
      <c r="K2541" t="n">
        <v>0.102</v>
      </c>
      <c r="L2541" t="n">
        <v>0.795</v>
      </c>
      <c r="M2541" t="n">
        <v>0.102</v>
      </c>
    </row>
    <row r="2542" spans="1:13">
      <c r="A2542" s="1">
        <f>HYPERLINK("http://www.twitter.com/NathanBLawrence/status/957271897418461184", "957271897418461184")</f>
        <v/>
      </c>
      <c r="B2542" s="2" t="n">
        <v>43127.63865740741</v>
      </c>
      <c r="C2542" t="n">
        <v>0</v>
      </c>
      <c r="D2542" t="n">
        <v>32</v>
      </c>
      <c r="E2542" t="s">
        <v>2533</v>
      </c>
      <c r="F2542" t="s"/>
      <c r="G2542" t="s"/>
      <c r="H2542" t="s"/>
      <c r="I2542" t="s"/>
      <c r="J2542" t="n">
        <v>0.4767</v>
      </c>
      <c r="K2542" t="n">
        <v>0</v>
      </c>
      <c r="L2542" t="n">
        <v>0.86</v>
      </c>
      <c r="M2542" t="n">
        <v>0.14</v>
      </c>
    </row>
    <row r="2543" spans="1:13">
      <c r="A2543" s="1">
        <f>HYPERLINK("http://www.twitter.com/NathanBLawrence/status/957271480194207745", "957271480194207745")</f>
        <v/>
      </c>
      <c r="B2543" s="2" t="n">
        <v>43127.6375</v>
      </c>
      <c r="C2543" t="n">
        <v>0</v>
      </c>
      <c r="D2543" t="n">
        <v>0</v>
      </c>
      <c r="E2543" t="s">
        <v>2534</v>
      </c>
      <c r="F2543" t="s"/>
      <c r="G2543" t="s"/>
      <c r="H2543" t="s"/>
      <c r="I2543" t="s"/>
      <c r="J2543" t="n">
        <v>0</v>
      </c>
      <c r="K2543" t="n">
        <v>0</v>
      </c>
      <c r="L2543" t="n">
        <v>1</v>
      </c>
      <c r="M2543" t="n">
        <v>0</v>
      </c>
    </row>
    <row r="2544" spans="1:13">
      <c r="A2544" s="1">
        <f>HYPERLINK("http://www.twitter.com/NathanBLawrence/status/957271160873455616", "957271160873455616")</f>
        <v/>
      </c>
      <c r="B2544" s="2" t="n">
        <v>43127.63662037037</v>
      </c>
      <c r="C2544" t="n">
        <v>0</v>
      </c>
      <c r="D2544" t="n">
        <v>0</v>
      </c>
      <c r="E2544" t="s">
        <v>2535</v>
      </c>
      <c r="F2544" t="s"/>
      <c r="G2544" t="s"/>
      <c r="H2544" t="s"/>
      <c r="I2544" t="s"/>
      <c r="J2544" t="n">
        <v>0</v>
      </c>
      <c r="K2544" t="n">
        <v>0</v>
      </c>
      <c r="L2544" t="n">
        <v>1</v>
      </c>
      <c r="M2544" t="n">
        <v>0</v>
      </c>
    </row>
    <row r="2545" spans="1:13">
      <c r="A2545" s="1">
        <f>HYPERLINK("http://www.twitter.com/NathanBLawrence/status/957270530448609280", "957270530448609280")</f>
        <v/>
      </c>
      <c r="B2545" s="2" t="n">
        <v>43127.63488425926</v>
      </c>
      <c r="C2545" t="n">
        <v>1</v>
      </c>
      <c r="D2545" t="n">
        <v>0</v>
      </c>
      <c r="E2545" t="s">
        <v>2536</v>
      </c>
      <c r="F2545" t="s"/>
      <c r="G2545" t="s"/>
      <c r="H2545" t="s"/>
      <c r="I2545" t="s"/>
      <c r="J2545" t="n">
        <v>0.1531</v>
      </c>
      <c r="K2545" t="n">
        <v>0.136</v>
      </c>
      <c r="L2545" t="n">
        <v>0.718</v>
      </c>
      <c r="M2545" t="n">
        <v>0.146</v>
      </c>
    </row>
    <row r="2546" spans="1:13">
      <c r="A2546" s="1">
        <f>HYPERLINK("http://www.twitter.com/NathanBLawrence/status/957153972384657408", "957153972384657408")</f>
        <v/>
      </c>
      <c r="B2546" s="2" t="n">
        <v>43127.31324074074</v>
      </c>
      <c r="C2546" t="n">
        <v>0</v>
      </c>
      <c r="D2546" t="n">
        <v>3648</v>
      </c>
      <c r="E2546" t="s">
        <v>2537</v>
      </c>
      <c r="F2546">
        <f>HYPERLINK("https://video.twimg.com/amplify_video/956872019278254081/vid/1280x720/mo1uQgjyBLo5iY_U.mp4", "https://video.twimg.com/amplify_video/956872019278254081/vid/1280x720/mo1uQgjyBLo5iY_U.mp4")</f>
        <v/>
      </c>
      <c r="G2546" t="s"/>
      <c r="H2546" t="s"/>
      <c r="I2546" t="s"/>
      <c r="J2546" t="n">
        <v>-0.2263</v>
      </c>
      <c r="K2546" t="n">
        <v>0.079</v>
      </c>
      <c r="L2546" t="n">
        <v>0.921</v>
      </c>
      <c r="M2546" t="n">
        <v>0</v>
      </c>
    </row>
    <row r="2547" spans="1:13">
      <c r="A2547" s="1">
        <f>HYPERLINK("http://www.twitter.com/NathanBLawrence/status/957149036066279425", "957149036066279425")</f>
        <v/>
      </c>
      <c r="B2547" s="2" t="n">
        <v>43127.29961805556</v>
      </c>
      <c r="C2547" t="n">
        <v>0</v>
      </c>
      <c r="D2547" t="n">
        <v>856</v>
      </c>
      <c r="E2547" t="s">
        <v>2537</v>
      </c>
      <c r="F2547">
        <f>HYPERLINK("https://video.twimg.com/amplify_video/956872019278254081/vid/1280x720/mo1uQgjyBLo5iY_U.mp4", "https://video.twimg.com/amplify_video/956872019278254081/vid/1280x720/mo1uQgjyBLo5iY_U.mp4")</f>
        <v/>
      </c>
      <c r="G2547" t="s"/>
      <c r="H2547" t="s"/>
      <c r="I2547" t="s"/>
      <c r="J2547" t="n">
        <v>-0.2263</v>
      </c>
      <c r="K2547" t="n">
        <v>0.079</v>
      </c>
      <c r="L2547" t="n">
        <v>0.921</v>
      </c>
      <c r="M2547" t="n">
        <v>0</v>
      </c>
    </row>
    <row r="2548" spans="1:13">
      <c r="A2548" s="1">
        <f>HYPERLINK("http://www.twitter.com/NathanBLawrence/status/957090656719122434", "957090656719122434")</f>
        <v/>
      </c>
      <c r="B2548" s="2" t="n">
        <v>43127.13853009259</v>
      </c>
      <c r="C2548" t="n">
        <v>0</v>
      </c>
      <c r="D2548" t="n">
        <v>2830</v>
      </c>
      <c r="E2548" t="s">
        <v>2538</v>
      </c>
      <c r="F2548" t="s"/>
      <c r="G2548" t="s"/>
      <c r="H2548" t="s"/>
      <c r="I2548" t="s"/>
      <c r="J2548" t="n">
        <v>0.4389</v>
      </c>
      <c r="K2548" t="n">
        <v>0.105</v>
      </c>
      <c r="L2548" t="n">
        <v>0.725</v>
      </c>
      <c r="M2548" t="n">
        <v>0.17</v>
      </c>
    </row>
    <row r="2549" spans="1:13">
      <c r="A2549" s="1">
        <f>HYPERLINK("http://www.twitter.com/NathanBLawrence/status/957090424556007424", "957090424556007424")</f>
        <v/>
      </c>
      <c r="B2549" s="2" t="n">
        <v>43127.13788194444</v>
      </c>
      <c r="C2549" t="n">
        <v>0</v>
      </c>
      <c r="D2549" t="n">
        <v>3992</v>
      </c>
      <c r="E2549" t="s">
        <v>2539</v>
      </c>
      <c r="F2549" t="s"/>
      <c r="G2549" t="s"/>
      <c r="H2549" t="s"/>
      <c r="I2549" t="s"/>
      <c r="J2549" t="n">
        <v>0</v>
      </c>
      <c r="K2549" t="n">
        <v>0</v>
      </c>
      <c r="L2549" t="n">
        <v>1</v>
      </c>
      <c r="M2549" t="n">
        <v>0</v>
      </c>
    </row>
    <row r="2550" spans="1:13">
      <c r="A2550" s="1">
        <f>HYPERLINK("http://www.twitter.com/NathanBLawrence/status/957089875999813632", "957089875999813632")</f>
        <v/>
      </c>
      <c r="B2550" s="2" t="n">
        <v>43127.13636574074</v>
      </c>
      <c r="C2550" t="n">
        <v>0</v>
      </c>
      <c r="D2550" t="n">
        <v>0</v>
      </c>
      <c r="E2550" t="s">
        <v>2540</v>
      </c>
      <c r="F2550" t="s"/>
      <c r="G2550" t="s"/>
      <c r="H2550" t="s"/>
      <c r="I2550" t="s"/>
      <c r="J2550" t="n">
        <v>-0.3506</v>
      </c>
      <c r="K2550" t="n">
        <v>0.109</v>
      </c>
      <c r="L2550" t="n">
        <v>0.823</v>
      </c>
      <c r="M2550" t="n">
        <v>0.068</v>
      </c>
    </row>
    <row r="2551" spans="1:13">
      <c r="A2551" s="1">
        <f>HYPERLINK("http://www.twitter.com/NathanBLawrence/status/957079298736869376", "957079298736869376")</f>
        <v/>
      </c>
      <c r="B2551" s="2" t="n">
        <v>43127.1071875</v>
      </c>
      <c r="C2551" t="n">
        <v>0</v>
      </c>
      <c r="D2551" t="n">
        <v>44</v>
      </c>
      <c r="E2551" t="s">
        <v>2541</v>
      </c>
      <c r="F2551" t="s"/>
      <c r="G2551" t="s"/>
      <c r="H2551" t="s"/>
      <c r="I2551" t="s"/>
      <c r="J2551" t="n">
        <v>0.4767</v>
      </c>
      <c r="K2551" t="n">
        <v>0</v>
      </c>
      <c r="L2551" t="n">
        <v>0.846</v>
      </c>
      <c r="M2551" t="n">
        <v>0.154</v>
      </c>
    </row>
    <row r="2552" spans="1:13">
      <c r="A2552" s="1">
        <f>HYPERLINK("http://www.twitter.com/NathanBLawrence/status/957075181549375488", "957075181549375488")</f>
        <v/>
      </c>
      <c r="B2552" s="2" t="n">
        <v>43127.09582175926</v>
      </c>
      <c r="C2552" t="n">
        <v>0</v>
      </c>
      <c r="D2552" t="n">
        <v>10819</v>
      </c>
      <c r="E2552" t="s">
        <v>2542</v>
      </c>
      <c r="F2552" t="s"/>
      <c r="G2552" t="s"/>
      <c r="H2552" t="s"/>
      <c r="I2552" t="s"/>
      <c r="J2552" t="n">
        <v>0.3612</v>
      </c>
      <c r="K2552" t="n">
        <v>0</v>
      </c>
      <c r="L2552" t="n">
        <v>0.894</v>
      </c>
      <c r="M2552" t="n">
        <v>0.106</v>
      </c>
    </row>
    <row r="2553" spans="1:13">
      <c r="A2553" s="1">
        <f>HYPERLINK("http://www.twitter.com/NathanBLawrence/status/957067133384568833", "957067133384568833")</f>
        <v/>
      </c>
      <c r="B2553" s="2" t="n">
        <v>43127.07361111111</v>
      </c>
      <c r="C2553" t="n">
        <v>0</v>
      </c>
      <c r="D2553" t="n">
        <v>0</v>
      </c>
      <c r="E2553" t="s">
        <v>2543</v>
      </c>
      <c r="F2553" t="s"/>
      <c r="G2553" t="s"/>
      <c r="H2553" t="s"/>
      <c r="I2553" t="s"/>
      <c r="J2553" t="n">
        <v>0.2185</v>
      </c>
      <c r="K2553" t="n">
        <v>0.241</v>
      </c>
      <c r="L2553" t="n">
        <v>0.487</v>
      </c>
      <c r="M2553" t="n">
        <v>0.271</v>
      </c>
    </row>
    <row r="2554" spans="1:13">
      <c r="A2554" s="1">
        <f>HYPERLINK("http://www.twitter.com/NathanBLawrence/status/957059489001279488", "957059489001279488")</f>
        <v/>
      </c>
      <c r="B2554" s="2" t="n">
        <v>43127.05252314815</v>
      </c>
      <c r="C2554" t="n">
        <v>0</v>
      </c>
      <c r="D2554" t="n">
        <v>2546</v>
      </c>
      <c r="E2554" t="s">
        <v>2544</v>
      </c>
      <c r="F2554" t="s"/>
      <c r="G2554" t="s"/>
      <c r="H2554" t="s"/>
      <c r="I2554" t="s"/>
      <c r="J2554" t="n">
        <v>0</v>
      </c>
      <c r="K2554" t="n">
        <v>0</v>
      </c>
      <c r="L2554" t="n">
        <v>1</v>
      </c>
      <c r="M2554" t="n">
        <v>0</v>
      </c>
    </row>
    <row r="2555" spans="1:13">
      <c r="A2555" s="1">
        <f>HYPERLINK("http://www.twitter.com/NathanBLawrence/status/957053183037145089", "957053183037145089")</f>
        <v/>
      </c>
      <c r="B2555" s="2" t="n">
        <v>43127.03511574074</v>
      </c>
      <c r="C2555" t="n">
        <v>0</v>
      </c>
      <c r="D2555" t="n">
        <v>0</v>
      </c>
      <c r="E2555" t="s">
        <v>2545</v>
      </c>
      <c r="F2555" t="s"/>
      <c r="G2555" t="s"/>
      <c r="H2555" t="s"/>
      <c r="I2555" t="s"/>
      <c r="J2555" t="n">
        <v>0</v>
      </c>
      <c r="K2555" t="n">
        <v>0</v>
      </c>
      <c r="L2555" t="n">
        <v>1</v>
      </c>
      <c r="M2555" t="n">
        <v>0</v>
      </c>
    </row>
    <row r="2556" spans="1:13">
      <c r="A2556" s="1">
        <f>HYPERLINK("http://www.twitter.com/NathanBLawrence/status/957052723089870849", "957052723089870849")</f>
        <v/>
      </c>
      <c r="B2556" s="2" t="n">
        <v>43127.03385416666</v>
      </c>
      <c r="C2556" t="n">
        <v>4</v>
      </c>
      <c r="D2556" t="n">
        <v>2</v>
      </c>
      <c r="E2556" t="s">
        <v>2546</v>
      </c>
      <c r="F2556" t="s"/>
      <c r="G2556" t="s"/>
      <c r="H2556" t="s"/>
      <c r="I2556" t="s"/>
      <c r="J2556" t="n">
        <v>0.5091</v>
      </c>
      <c r="K2556" t="n">
        <v>0.181</v>
      </c>
      <c r="L2556" t="n">
        <v>0.553</v>
      </c>
      <c r="M2556" t="n">
        <v>0.266</v>
      </c>
    </row>
    <row r="2557" spans="1:13">
      <c r="A2557" s="1">
        <f>HYPERLINK("http://www.twitter.com/NathanBLawrence/status/957047907127037952", "957047907127037952")</f>
        <v/>
      </c>
      <c r="B2557" s="2" t="n">
        <v>43127.02055555556</v>
      </c>
      <c r="C2557" t="n">
        <v>0</v>
      </c>
      <c r="D2557" t="n">
        <v>0</v>
      </c>
      <c r="E2557" t="s">
        <v>2547</v>
      </c>
      <c r="F2557" t="s"/>
      <c r="G2557" t="s"/>
      <c r="H2557" t="s"/>
      <c r="I2557" t="s"/>
      <c r="J2557" t="n">
        <v>0.9727</v>
      </c>
      <c r="K2557" t="n">
        <v>0.099</v>
      </c>
      <c r="L2557" t="n">
        <v>0.477</v>
      </c>
      <c r="M2557" t="n">
        <v>0.424</v>
      </c>
    </row>
    <row r="2558" spans="1:13">
      <c r="A2558" s="1">
        <f>HYPERLINK("http://www.twitter.com/NathanBLawrence/status/957023186616508416", "957023186616508416")</f>
        <v/>
      </c>
      <c r="B2558" s="2" t="n">
        <v>43126.95233796296</v>
      </c>
      <c r="C2558" t="n">
        <v>0</v>
      </c>
      <c r="D2558" t="n">
        <v>18</v>
      </c>
      <c r="E2558" t="s">
        <v>2548</v>
      </c>
      <c r="F2558" t="s"/>
      <c r="G2558" t="s"/>
      <c r="H2558" t="s"/>
      <c r="I2558" t="s"/>
      <c r="J2558" t="n">
        <v>0</v>
      </c>
      <c r="K2558" t="n">
        <v>0</v>
      </c>
      <c r="L2558" t="n">
        <v>1</v>
      </c>
      <c r="M2558" t="n">
        <v>0</v>
      </c>
    </row>
    <row r="2559" spans="1:13">
      <c r="A2559" s="1">
        <f>HYPERLINK("http://www.twitter.com/NathanBLawrence/status/957021591065513984", "957021591065513984")</f>
        <v/>
      </c>
      <c r="B2559" s="2" t="n">
        <v>43126.94793981482</v>
      </c>
      <c r="C2559" t="n">
        <v>0</v>
      </c>
      <c r="D2559" t="n">
        <v>0</v>
      </c>
      <c r="E2559" t="s">
        <v>2549</v>
      </c>
      <c r="F2559" t="s"/>
      <c r="G2559" t="s"/>
      <c r="H2559" t="s"/>
      <c r="I2559" t="s"/>
      <c r="J2559" t="n">
        <v>0.7959000000000001</v>
      </c>
      <c r="K2559" t="n">
        <v>0</v>
      </c>
      <c r="L2559" t="n">
        <v>0.819</v>
      </c>
      <c r="M2559" t="n">
        <v>0.181</v>
      </c>
    </row>
    <row r="2560" spans="1:13">
      <c r="A2560" s="1">
        <f>HYPERLINK("http://www.twitter.com/NathanBLawrence/status/957016890253152256", "957016890253152256")</f>
        <v/>
      </c>
      <c r="B2560" s="2" t="n">
        <v>43126.93496527777</v>
      </c>
      <c r="C2560" t="n">
        <v>0</v>
      </c>
      <c r="D2560" t="n">
        <v>0</v>
      </c>
      <c r="E2560" t="s">
        <v>2550</v>
      </c>
      <c r="F2560" t="s"/>
      <c r="G2560" t="s"/>
      <c r="H2560" t="s"/>
      <c r="I2560" t="s"/>
      <c r="J2560" t="n">
        <v>0.7249</v>
      </c>
      <c r="K2560" t="n">
        <v>0</v>
      </c>
      <c r="L2560" t="n">
        <v>0.496</v>
      </c>
      <c r="M2560" t="n">
        <v>0.504</v>
      </c>
    </row>
    <row r="2561" spans="1:13">
      <c r="A2561" s="1">
        <f>HYPERLINK("http://www.twitter.com/NathanBLawrence/status/957016731104546817", "957016731104546817")</f>
        <v/>
      </c>
      <c r="B2561" s="2" t="n">
        <v>43126.93452546297</v>
      </c>
      <c r="C2561" t="n">
        <v>0</v>
      </c>
      <c r="D2561" t="n">
        <v>2</v>
      </c>
      <c r="E2561" t="s">
        <v>2551</v>
      </c>
      <c r="F2561" t="s"/>
      <c r="G2561" t="s"/>
      <c r="H2561" t="s"/>
      <c r="I2561" t="s"/>
      <c r="J2561" t="n">
        <v>0</v>
      </c>
      <c r="K2561" t="n">
        <v>0</v>
      </c>
      <c r="L2561" t="n">
        <v>1</v>
      </c>
      <c r="M2561" t="n">
        <v>0</v>
      </c>
    </row>
    <row r="2562" spans="1:13">
      <c r="A2562" s="1">
        <f>HYPERLINK("http://www.twitter.com/NathanBLawrence/status/957016213409943553", "957016213409943553")</f>
        <v/>
      </c>
      <c r="B2562" s="2" t="n">
        <v>43126.93310185185</v>
      </c>
      <c r="C2562" t="n">
        <v>0</v>
      </c>
      <c r="D2562" t="n">
        <v>22</v>
      </c>
      <c r="E2562" t="s">
        <v>2552</v>
      </c>
      <c r="F2562">
        <f>HYPERLINK("http://pbs.twimg.com/media/DUfIpanX4AI_YNc.jpg", "http://pbs.twimg.com/media/DUfIpanX4AI_YNc.jpg")</f>
        <v/>
      </c>
      <c r="G2562" t="s"/>
      <c r="H2562" t="s"/>
      <c r="I2562" t="s"/>
      <c r="J2562" t="n">
        <v>-0.516</v>
      </c>
      <c r="K2562" t="n">
        <v>0.156</v>
      </c>
      <c r="L2562" t="n">
        <v>0.844</v>
      </c>
      <c r="M2562" t="n">
        <v>0</v>
      </c>
    </row>
    <row r="2563" spans="1:13">
      <c r="A2563" s="1">
        <f>HYPERLINK("http://www.twitter.com/NathanBLawrence/status/957016054076727297", "957016054076727297")</f>
        <v/>
      </c>
      <c r="B2563" s="2" t="n">
        <v>43126.93266203703</v>
      </c>
      <c r="C2563" t="n">
        <v>0</v>
      </c>
      <c r="D2563" t="n">
        <v>99</v>
      </c>
      <c r="E2563" t="s">
        <v>2553</v>
      </c>
      <c r="F2563" t="s"/>
      <c r="G2563" t="s"/>
      <c r="H2563" t="s"/>
      <c r="I2563" t="s"/>
      <c r="J2563" t="n">
        <v>0.7003</v>
      </c>
      <c r="K2563" t="n">
        <v>0</v>
      </c>
      <c r="L2563" t="n">
        <v>0.746</v>
      </c>
      <c r="M2563" t="n">
        <v>0.254</v>
      </c>
    </row>
    <row r="2564" spans="1:13">
      <c r="A2564" s="1">
        <f>HYPERLINK("http://www.twitter.com/NathanBLawrence/status/957015140884414464", "957015140884414464")</f>
        <v/>
      </c>
      <c r="B2564" s="2" t="n">
        <v>43126.93013888889</v>
      </c>
      <c r="C2564" t="n">
        <v>7</v>
      </c>
      <c r="D2564" t="n">
        <v>0</v>
      </c>
      <c r="E2564" t="s">
        <v>2554</v>
      </c>
      <c r="F2564" t="s"/>
      <c r="G2564" t="s"/>
      <c r="H2564" t="s"/>
      <c r="I2564" t="s"/>
      <c r="J2564" t="n">
        <v>-0.2082</v>
      </c>
      <c r="K2564" t="n">
        <v>0.092</v>
      </c>
      <c r="L2564" t="n">
        <v>0.837</v>
      </c>
      <c r="M2564" t="n">
        <v>0.07000000000000001</v>
      </c>
    </row>
    <row r="2565" spans="1:13">
      <c r="A2565" s="1">
        <f>HYPERLINK("http://www.twitter.com/NathanBLawrence/status/957013000132710400", "957013000132710400")</f>
        <v/>
      </c>
      <c r="B2565" s="2" t="n">
        <v>43126.92423611111</v>
      </c>
      <c r="C2565" t="n">
        <v>1</v>
      </c>
      <c r="D2565" t="n">
        <v>0</v>
      </c>
      <c r="E2565" t="s">
        <v>2555</v>
      </c>
      <c r="F2565" t="s"/>
      <c r="G2565" t="s"/>
      <c r="H2565" t="s"/>
      <c r="I2565" t="s"/>
      <c r="J2565" t="n">
        <v>-0.6739000000000001</v>
      </c>
      <c r="K2565" t="n">
        <v>0.173</v>
      </c>
      <c r="L2565" t="n">
        <v>0.721</v>
      </c>
      <c r="M2565" t="n">
        <v>0.105</v>
      </c>
    </row>
    <row r="2566" spans="1:13">
      <c r="A2566" s="1">
        <f>HYPERLINK("http://www.twitter.com/NathanBLawrence/status/957001725856092160", "957001725856092160")</f>
        <v/>
      </c>
      <c r="B2566" s="2" t="n">
        <v>43126.893125</v>
      </c>
      <c r="C2566" t="n">
        <v>3</v>
      </c>
      <c r="D2566" t="n">
        <v>2</v>
      </c>
      <c r="E2566" t="s">
        <v>2556</v>
      </c>
      <c r="F2566" t="s"/>
      <c r="G2566" t="s"/>
      <c r="H2566" t="s"/>
      <c r="I2566" t="s"/>
      <c r="J2566" t="n">
        <v>0.5893</v>
      </c>
      <c r="K2566" t="n">
        <v>0</v>
      </c>
      <c r="L2566" t="n">
        <v>0.857</v>
      </c>
      <c r="M2566" t="n">
        <v>0.143</v>
      </c>
    </row>
    <row r="2567" spans="1:13">
      <c r="A2567" s="1">
        <f>HYPERLINK("http://www.twitter.com/NathanBLawrence/status/957001408011698178", "957001408011698178")</f>
        <v/>
      </c>
      <c r="B2567" s="2" t="n">
        <v>43126.89224537037</v>
      </c>
      <c r="C2567" t="n">
        <v>0</v>
      </c>
      <c r="D2567" t="n">
        <v>2947</v>
      </c>
      <c r="E2567" t="s">
        <v>2557</v>
      </c>
      <c r="F2567">
        <f>HYPERLINK("http://pbs.twimg.com/media/DUflxdQV4AA0tgB.jpg", "http://pbs.twimg.com/media/DUflxdQV4AA0tgB.jpg")</f>
        <v/>
      </c>
      <c r="G2567" t="s"/>
      <c r="H2567" t="s"/>
      <c r="I2567" t="s"/>
      <c r="J2567" t="n">
        <v>-0.6908</v>
      </c>
      <c r="K2567" t="n">
        <v>0.19</v>
      </c>
      <c r="L2567" t="n">
        <v>0.8100000000000001</v>
      </c>
      <c r="M2567" t="n">
        <v>0</v>
      </c>
    </row>
    <row r="2568" spans="1:13">
      <c r="A2568" s="1">
        <f>HYPERLINK("http://www.twitter.com/NathanBLawrence/status/957000224920297472", "957000224920297472")</f>
        <v/>
      </c>
      <c r="B2568" s="2" t="n">
        <v>43126.88898148148</v>
      </c>
      <c r="C2568" t="n">
        <v>25</v>
      </c>
      <c r="D2568" t="n">
        <v>22</v>
      </c>
      <c r="E2568" t="s">
        <v>2558</v>
      </c>
      <c r="F2568" t="s"/>
      <c r="G2568" t="s"/>
      <c r="H2568" t="s"/>
      <c r="I2568" t="s"/>
      <c r="J2568" t="n">
        <v>-0.5538</v>
      </c>
      <c r="K2568" t="n">
        <v>0.14</v>
      </c>
      <c r="L2568" t="n">
        <v>0.86</v>
      </c>
      <c r="M2568" t="n">
        <v>0</v>
      </c>
    </row>
    <row r="2569" spans="1:13">
      <c r="A2569" s="1">
        <f>HYPERLINK("http://www.twitter.com/NathanBLawrence/status/956992274105294848", "956992274105294848")</f>
        <v/>
      </c>
      <c r="B2569" s="2" t="n">
        <v>43126.86703703704</v>
      </c>
      <c r="C2569" t="n">
        <v>10</v>
      </c>
      <c r="D2569" t="n">
        <v>8</v>
      </c>
      <c r="E2569" t="s">
        <v>2559</v>
      </c>
      <c r="F2569" t="s"/>
      <c r="G2569" t="s"/>
      <c r="H2569" t="s"/>
      <c r="I2569" t="s"/>
      <c r="J2569" t="n">
        <v>0.9496</v>
      </c>
      <c r="K2569" t="n">
        <v>0</v>
      </c>
      <c r="L2569" t="n">
        <v>0.642</v>
      </c>
      <c r="M2569" t="n">
        <v>0.358</v>
      </c>
    </row>
    <row r="2570" spans="1:13">
      <c r="A2570" s="1">
        <f>HYPERLINK("http://www.twitter.com/NathanBLawrence/status/956990055549194240", "956990055549194240")</f>
        <v/>
      </c>
      <c r="B2570" s="2" t="n">
        <v>43126.86091435186</v>
      </c>
      <c r="C2570" t="n">
        <v>0</v>
      </c>
      <c r="D2570" t="n">
        <v>1</v>
      </c>
      <c r="E2570" t="s">
        <v>2560</v>
      </c>
      <c r="F2570" t="s"/>
      <c r="G2570" t="s"/>
      <c r="H2570" t="s"/>
      <c r="I2570" t="s"/>
      <c r="J2570" t="n">
        <v>0.1779</v>
      </c>
      <c r="K2570" t="n">
        <v>0.156</v>
      </c>
      <c r="L2570" t="n">
        <v>0.631</v>
      </c>
      <c r="M2570" t="n">
        <v>0.213</v>
      </c>
    </row>
    <row r="2571" spans="1:13">
      <c r="A2571" s="1">
        <f>HYPERLINK("http://www.twitter.com/NathanBLawrence/status/956988741482172416", "956988741482172416")</f>
        <v/>
      </c>
      <c r="B2571" s="2" t="n">
        <v>43126.85729166667</v>
      </c>
      <c r="C2571" t="n">
        <v>3</v>
      </c>
      <c r="D2571" t="n">
        <v>1</v>
      </c>
      <c r="E2571" t="s">
        <v>2561</v>
      </c>
      <c r="F2571" t="s"/>
      <c r="G2571" t="s"/>
      <c r="H2571" t="s"/>
      <c r="I2571" t="s"/>
      <c r="J2571" t="n">
        <v>-0.2263</v>
      </c>
      <c r="K2571" t="n">
        <v>0.142</v>
      </c>
      <c r="L2571" t="n">
        <v>0.75</v>
      </c>
      <c r="M2571" t="n">
        <v>0.108</v>
      </c>
    </row>
    <row r="2572" spans="1:13">
      <c r="A2572" s="1">
        <f>HYPERLINK("http://www.twitter.com/NathanBLawrence/status/956981355379941376", "956981355379941376")</f>
        <v/>
      </c>
      <c r="B2572" s="2" t="n">
        <v>43126.83690972222</v>
      </c>
      <c r="C2572" t="n">
        <v>26</v>
      </c>
      <c r="D2572" t="n">
        <v>24</v>
      </c>
      <c r="E2572" t="s">
        <v>2562</v>
      </c>
      <c r="F2572" t="s"/>
      <c r="G2572" t="s"/>
      <c r="H2572" t="s"/>
      <c r="I2572" t="s"/>
      <c r="J2572" t="n">
        <v>0.2103</v>
      </c>
      <c r="K2572" t="n">
        <v>0.064</v>
      </c>
      <c r="L2572" t="n">
        <v>0.856</v>
      </c>
      <c r="M2572" t="n">
        <v>0.08</v>
      </c>
    </row>
    <row r="2573" spans="1:13">
      <c r="A2573" s="1">
        <f>HYPERLINK("http://www.twitter.com/NathanBLawrence/status/956974896751480834", "956974896751480834")</f>
        <v/>
      </c>
      <c r="B2573" s="2" t="n">
        <v>43126.81908564815</v>
      </c>
      <c r="C2573" t="n">
        <v>0</v>
      </c>
      <c r="D2573" t="n">
        <v>38</v>
      </c>
      <c r="E2573" t="s">
        <v>2563</v>
      </c>
      <c r="F2573" t="s"/>
      <c r="G2573" t="s"/>
      <c r="H2573" t="s"/>
      <c r="I2573" t="s"/>
      <c r="J2573" t="n">
        <v>0.8957000000000001</v>
      </c>
      <c r="K2573" t="n">
        <v>0</v>
      </c>
      <c r="L2573" t="n">
        <v>0.612</v>
      </c>
      <c r="M2573" t="n">
        <v>0.388</v>
      </c>
    </row>
    <row r="2574" spans="1:13">
      <c r="A2574" s="1">
        <f>HYPERLINK("http://www.twitter.com/NathanBLawrence/status/956974870902001665", "956974870902001665")</f>
        <v/>
      </c>
      <c r="B2574" s="2" t="n">
        <v>43126.81901620371</v>
      </c>
      <c r="C2574" t="n">
        <v>0</v>
      </c>
      <c r="D2574" t="n">
        <v>23</v>
      </c>
      <c r="E2574" t="s">
        <v>2564</v>
      </c>
      <c r="F2574" t="s"/>
      <c r="G2574" t="s"/>
      <c r="H2574" t="s"/>
      <c r="I2574" t="s"/>
      <c r="J2574" t="n">
        <v>-0.9423</v>
      </c>
      <c r="K2574" t="n">
        <v>0.422</v>
      </c>
      <c r="L2574" t="n">
        <v>0.578</v>
      </c>
      <c r="M2574" t="n">
        <v>0</v>
      </c>
    </row>
    <row r="2575" spans="1:13">
      <c r="A2575" s="1">
        <f>HYPERLINK("http://www.twitter.com/NathanBLawrence/status/956974506802900993", "956974506802900993")</f>
        <v/>
      </c>
      <c r="B2575" s="2" t="n">
        <v>43126.81800925926</v>
      </c>
      <c r="C2575" t="n">
        <v>34</v>
      </c>
      <c r="D2575" t="n">
        <v>23</v>
      </c>
      <c r="E2575" t="s">
        <v>2565</v>
      </c>
      <c r="F2575" t="s"/>
      <c r="G2575" t="s"/>
      <c r="H2575" t="s"/>
      <c r="I2575" t="s"/>
      <c r="J2575" t="n">
        <v>-0.9691</v>
      </c>
      <c r="K2575" t="n">
        <v>0.331</v>
      </c>
      <c r="L2575" t="n">
        <v>0.625</v>
      </c>
      <c r="M2575" t="n">
        <v>0.045</v>
      </c>
    </row>
    <row r="2576" spans="1:13">
      <c r="A2576" s="1">
        <f>HYPERLINK("http://www.twitter.com/NathanBLawrence/status/956964047995490305", "956964047995490305")</f>
        <v/>
      </c>
      <c r="B2576" s="2" t="n">
        <v>43126.78915509259</v>
      </c>
      <c r="C2576" t="n">
        <v>0</v>
      </c>
      <c r="D2576" t="n">
        <v>20</v>
      </c>
      <c r="E2576" t="s">
        <v>2566</v>
      </c>
      <c r="F2576" t="s"/>
      <c r="G2576" t="s"/>
      <c r="H2576" t="s"/>
      <c r="I2576" t="s"/>
      <c r="J2576" t="n">
        <v>-0.25</v>
      </c>
      <c r="K2576" t="n">
        <v>0.08</v>
      </c>
      <c r="L2576" t="n">
        <v>0.92</v>
      </c>
      <c r="M2576" t="n">
        <v>0</v>
      </c>
    </row>
    <row r="2577" spans="1:13">
      <c r="A2577" s="1">
        <f>HYPERLINK("http://www.twitter.com/NathanBLawrence/status/956964033613193221", "956964033613193221")</f>
        <v/>
      </c>
      <c r="B2577" s="2" t="n">
        <v>43126.7891087963</v>
      </c>
      <c r="C2577" t="n">
        <v>0</v>
      </c>
      <c r="D2577" t="n">
        <v>22</v>
      </c>
      <c r="E2577" t="s">
        <v>2567</v>
      </c>
      <c r="F2577" t="s"/>
      <c r="G2577" t="s"/>
      <c r="H2577" t="s"/>
      <c r="I2577" t="s"/>
      <c r="J2577" t="n">
        <v>0.5106000000000001</v>
      </c>
      <c r="K2577" t="n">
        <v>0</v>
      </c>
      <c r="L2577" t="n">
        <v>0.837</v>
      </c>
      <c r="M2577" t="n">
        <v>0.163</v>
      </c>
    </row>
    <row r="2578" spans="1:13">
      <c r="A2578" s="1">
        <f>HYPERLINK("http://www.twitter.com/NathanBLawrence/status/956963822547456000", "956963822547456000")</f>
        <v/>
      </c>
      <c r="B2578" s="2" t="n">
        <v>43126.78853009259</v>
      </c>
      <c r="C2578" t="n">
        <v>24</v>
      </c>
      <c r="D2578" t="n">
        <v>22</v>
      </c>
      <c r="E2578" t="s">
        <v>2568</v>
      </c>
      <c r="F2578" t="s"/>
      <c r="G2578" t="s"/>
      <c r="H2578" t="s"/>
      <c r="I2578" t="s"/>
      <c r="J2578" t="n">
        <v>-0.3129</v>
      </c>
      <c r="K2578" t="n">
        <v>0.114</v>
      </c>
      <c r="L2578" t="n">
        <v>0.8179999999999999</v>
      </c>
      <c r="M2578" t="n">
        <v>0.068</v>
      </c>
    </row>
    <row r="2579" spans="1:13">
      <c r="A2579" s="1">
        <f>HYPERLINK("http://www.twitter.com/NathanBLawrence/status/956954082266238976", "956954082266238976")</f>
        <v/>
      </c>
      <c r="B2579" s="2" t="n">
        <v>43126.7616550926</v>
      </c>
      <c r="C2579" t="n">
        <v>26</v>
      </c>
      <c r="D2579" t="n">
        <v>22</v>
      </c>
      <c r="E2579" t="s">
        <v>2569</v>
      </c>
      <c r="F2579">
        <f>HYPERLINK("http://pbs.twimg.com/media/DUfIpanX4AI_YNc.jpg", "http://pbs.twimg.com/media/DUfIpanX4AI_YNc.jpg")</f>
        <v/>
      </c>
      <c r="G2579" t="s"/>
      <c r="H2579" t="s"/>
      <c r="I2579" t="s"/>
      <c r="J2579" t="n">
        <v>0.5513</v>
      </c>
      <c r="K2579" t="n">
        <v>0.065</v>
      </c>
      <c r="L2579" t="n">
        <v>0.8</v>
      </c>
      <c r="M2579" t="n">
        <v>0.135</v>
      </c>
    </row>
    <row r="2580" spans="1:13">
      <c r="A2580" s="1">
        <f>HYPERLINK("http://www.twitter.com/NathanBLawrence/status/956942561159139328", "956942561159139328")</f>
        <v/>
      </c>
      <c r="B2580" s="2" t="n">
        <v>43126.72986111111</v>
      </c>
      <c r="C2580" t="n">
        <v>0</v>
      </c>
      <c r="D2580" t="n">
        <v>1</v>
      </c>
      <c r="E2580" t="s">
        <v>2570</v>
      </c>
      <c r="F2580" t="s"/>
      <c r="G2580" t="s"/>
      <c r="H2580" t="s"/>
      <c r="I2580" t="s"/>
      <c r="J2580" t="n">
        <v>0.6808</v>
      </c>
      <c r="K2580" t="n">
        <v>0</v>
      </c>
      <c r="L2580" t="n">
        <v>0.752</v>
      </c>
      <c r="M2580" t="n">
        <v>0.248</v>
      </c>
    </row>
    <row r="2581" spans="1:13">
      <c r="A2581" s="1">
        <f>HYPERLINK("http://www.twitter.com/NathanBLawrence/status/956933091448315911", "956933091448315911")</f>
        <v/>
      </c>
      <c r="B2581" s="2" t="n">
        <v>43126.70372685185</v>
      </c>
      <c r="C2581" t="n">
        <v>0</v>
      </c>
      <c r="D2581" t="n">
        <v>518</v>
      </c>
      <c r="E2581" t="s">
        <v>2571</v>
      </c>
      <c r="F2581">
        <f>HYPERLINK("http://pbs.twimg.com/media/DUd0q7OUQAAyXaK.jpg", "http://pbs.twimg.com/media/DUd0q7OUQAAyXaK.jpg")</f>
        <v/>
      </c>
      <c r="G2581" t="s"/>
      <c r="H2581" t="s"/>
      <c r="I2581" t="s"/>
      <c r="J2581" t="n">
        <v>-0.7695</v>
      </c>
      <c r="K2581" t="n">
        <v>0.294</v>
      </c>
      <c r="L2581" t="n">
        <v>0.706</v>
      </c>
      <c r="M2581" t="n">
        <v>0</v>
      </c>
    </row>
    <row r="2582" spans="1:13">
      <c r="A2582" s="1">
        <f>HYPERLINK("http://www.twitter.com/NathanBLawrence/status/956923734048337921", "956923734048337921")</f>
        <v/>
      </c>
      <c r="B2582" s="2" t="n">
        <v>43126.67790509259</v>
      </c>
      <c r="C2582" t="n">
        <v>1</v>
      </c>
      <c r="D2582" t="n">
        <v>0</v>
      </c>
      <c r="E2582" t="s">
        <v>2572</v>
      </c>
      <c r="F2582" t="s"/>
      <c r="G2582" t="s"/>
      <c r="H2582" t="s"/>
      <c r="I2582" t="s"/>
      <c r="J2582" t="n">
        <v>-0.0772</v>
      </c>
      <c r="K2582" t="n">
        <v>0.075</v>
      </c>
      <c r="L2582" t="n">
        <v>0.925</v>
      </c>
      <c r="M2582" t="n">
        <v>0</v>
      </c>
    </row>
    <row r="2583" spans="1:13">
      <c r="A2583" s="1">
        <f>HYPERLINK("http://www.twitter.com/NathanBLawrence/status/956919439617912834", "956919439617912834")</f>
        <v/>
      </c>
      <c r="B2583" s="2" t="n">
        <v>43126.66605324074</v>
      </c>
      <c r="C2583" t="n">
        <v>0</v>
      </c>
      <c r="D2583" t="n">
        <v>325</v>
      </c>
      <c r="E2583" t="s">
        <v>2573</v>
      </c>
      <c r="F2583" t="s"/>
      <c r="G2583" t="s"/>
      <c r="H2583" t="s"/>
      <c r="I2583" t="s"/>
      <c r="J2583" t="n">
        <v>-0.128</v>
      </c>
      <c r="K2583" t="n">
        <v>0.129</v>
      </c>
      <c r="L2583" t="n">
        <v>0.76</v>
      </c>
      <c r="M2583" t="n">
        <v>0.11</v>
      </c>
    </row>
    <row r="2584" spans="1:13">
      <c r="A2584" s="1">
        <f>HYPERLINK("http://www.twitter.com/NathanBLawrence/status/956911432662159362", "956911432662159362")</f>
        <v/>
      </c>
      <c r="B2584" s="2" t="n">
        <v>43126.64395833333</v>
      </c>
      <c r="C2584" t="n">
        <v>0</v>
      </c>
      <c r="D2584" t="n">
        <v>42</v>
      </c>
      <c r="E2584" t="s">
        <v>2574</v>
      </c>
      <c r="F2584">
        <f>HYPERLINK("http://pbs.twimg.com/media/DUebbMtWsAYX7iF.jpg", "http://pbs.twimg.com/media/DUebbMtWsAYX7iF.jpg")</f>
        <v/>
      </c>
      <c r="G2584" t="s"/>
      <c r="H2584" t="s"/>
      <c r="I2584" t="s"/>
      <c r="J2584" t="n">
        <v>-0.7959000000000001</v>
      </c>
      <c r="K2584" t="n">
        <v>0.299</v>
      </c>
      <c r="L2584" t="n">
        <v>0.701</v>
      </c>
      <c r="M2584" t="n">
        <v>0</v>
      </c>
    </row>
    <row r="2585" spans="1:13">
      <c r="A2585" s="1">
        <f>HYPERLINK("http://www.twitter.com/NathanBLawrence/status/956906551025045505", "956906551025045505")</f>
        <v/>
      </c>
      <c r="B2585" s="2" t="n">
        <v>43126.63048611111</v>
      </c>
      <c r="C2585" t="n">
        <v>0</v>
      </c>
      <c r="D2585" t="n">
        <v>13</v>
      </c>
      <c r="E2585" t="s">
        <v>2575</v>
      </c>
      <c r="F2585">
        <f>HYPERLINK("http://pbs.twimg.com/media/DUeZkCkWkAA7E7p.jpg", "http://pbs.twimg.com/media/DUeZkCkWkAA7E7p.jpg")</f>
        <v/>
      </c>
      <c r="G2585" t="s"/>
      <c r="H2585" t="s"/>
      <c r="I2585" t="s"/>
      <c r="J2585" t="n">
        <v>0</v>
      </c>
      <c r="K2585" t="n">
        <v>0</v>
      </c>
      <c r="L2585" t="n">
        <v>1</v>
      </c>
      <c r="M2585" t="n">
        <v>0</v>
      </c>
    </row>
    <row r="2586" spans="1:13">
      <c r="A2586" s="1">
        <f>HYPERLINK("http://www.twitter.com/NathanBLawrence/status/956745313301159938", "956745313301159938")</f>
        <v/>
      </c>
      <c r="B2586" s="2" t="n">
        <v>43126.18555555555</v>
      </c>
      <c r="C2586" t="n">
        <v>0</v>
      </c>
      <c r="D2586" t="n">
        <v>66</v>
      </c>
      <c r="E2586" t="s">
        <v>2576</v>
      </c>
      <c r="F2586" t="s"/>
      <c r="G2586" t="s"/>
      <c r="H2586" t="s"/>
      <c r="I2586" t="s"/>
      <c r="J2586" t="n">
        <v>0</v>
      </c>
      <c r="K2586" t="n">
        <v>0</v>
      </c>
      <c r="L2586" t="n">
        <v>1</v>
      </c>
      <c r="M2586" t="n">
        <v>0</v>
      </c>
    </row>
    <row r="2587" spans="1:13">
      <c r="A2587" s="1">
        <f>HYPERLINK("http://www.twitter.com/NathanBLawrence/status/956738232510754816", "956738232510754816")</f>
        <v/>
      </c>
      <c r="B2587" s="2" t="n">
        <v>43126.16601851852</v>
      </c>
      <c r="C2587" t="n">
        <v>5</v>
      </c>
      <c r="D2587" t="n">
        <v>6</v>
      </c>
      <c r="E2587" t="s">
        <v>2577</v>
      </c>
      <c r="F2587" t="s"/>
      <c r="G2587" t="s"/>
      <c r="H2587" t="s"/>
      <c r="I2587" t="s"/>
      <c r="J2587" t="n">
        <v>0</v>
      </c>
      <c r="K2587" t="n">
        <v>0</v>
      </c>
      <c r="L2587" t="n">
        <v>1</v>
      </c>
      <c r="M2587" t="n">
        <v>0</v>
      </c>
    </row>
    <row r="2588" spans="1:13">
      <c r="A2588" s="1">
        <f>HYPERLINK("http://www.twitter.com/NathanBLawrence/status/956726691849736193", "956726691849736193")</f>
        <v/>
      </c>
      <c r="B2588" s="2" t="n">
        <v>43126.13417824074</v>
      </c>
      <c r="C2588" t="n">
        <v>0</v>
      </c>
      <c r="D2588" t="n">
        <v>1049</v>
      </c>
      <c r="E2588" t="s">
        <v>2578</v>
      </c>
      <c r="F2588" t="s"/>
      <c r="G2588" t="s"/>
      <c r="H2588" t="s"/>
      <c r="I2588" t="s"/>
      <c r="J2588" t="n">
        <v>0.4754</v>
      </c>
      <c r="K2588" t="n">
        <v>0</v>
      </c>
      <c r="L2588" t="n">
        <v>0.866</v>
      </c>
      <c r="M2588" t="n">
        <v>0.134</v>
      </c>
    </row>
    <row r="2589" spans="1:13">
      <c r="A2589" s="1">
        <f>HYPERLINK("http://www.twitter.com/NathanBLawrence/status/956726050741981185", "956726050741981185")</f>
        <v/>
      </c>
      <c r="B2589" s="2" t="n">
        <v>43126.13240740741</v>
      </c>
      <c r="C2589" t="n">
        <v>0</v>
      </c>
      <c r="D2589" t="n">
        <v>2200</v>
      </c>
      <c r="E2589" t="s">
        <v>2579</v>
      </c>
      <c r="F2589" t="s"/>
      <c r="G2589" t="s"/>
      <c r="H2589" t="s"/>
      <c r="I2589" t="s"/>
      <c r="J2589" t="n">
        <v>-0.0516</v>
      </c>
      <c r="K2589" t="n">
        <v>0.116</v>
      </c>
      <c r="L2589" t="n">
        <v>0.776</v>
      </c>
      <c r="M2589" t="n">
        <v>0.108</v>
      </c>
    </row>
    <row r="2590" spans="1:13">
      <c r="A2590" s="1">
        <f>HYPERLINK("http://www.twitter.com/NathanBLawrence/status/956717524690841600", "956717524690841600")</f>
        <v/>
      </c>
      <c r="B2590" s="2" t="n">
        <v>43126.10887731481</v>
      </c>
      <c r="C2590" t="n">
        <v>0</v>
      </c>
      <c r="D2590" t="n">
        <v>16</v>
      </c>
      <c r="E2590" t="s">
        <v>2580</v>
      </c>
      <c r="F2590">
        <f>HYPERLINK("http://pbs.twimg.com/media/DUbwVj7VoAA6sUU.jpg", "http://pbs.twimg.com/media/DUbwVj7VoAA6sUU.jpg")</f>
        <v/>
      </c>
      <c r="G2590" t="s"/>
      <c r="H2590" t="s"/>
      <c r="I2590" t="s"/>
      <c r="J2590" t="n">
        <v>0.4215</v>
      </c>
      <c r="K2590" t="n">
        <v>0</v>
      </c>
      <c r="L2590" t="n">
        <v>0.865</v>
      </c>
      <c r="M2590" t="n">
        <v>0.135</v>
      </c>
    </row>
    <row r="2591" spans="1:13">
      <c r="A2591" s="1">
        <f>HYPERLINK("http://www.twitter.com/NathanBLawrence/status/956706239286796288", "956706239286796288")</f>
        <v/>
      </c>
      <c r="B2591" s="2" t="n">
        <v>43126.07773148148</v>
      </c>
      <c r="C2591" t="n">
        <v>0</v>
      </c>
      <c r="D2591" t="n">
        <v>46</v>
      </c>
      <c r="E2591" t="s">
        <v>2581</v>
      </c>
      <c r="F2591" t="s"/>
      <c r="G2591" t="s"/>
      <c r="H2591" t="s"/>
      <c r="I2591" t="s"/>
      <c r="J2591" t="n">
        <v>0</v>
      </c>
      <c r="K2591" t="n">
        <v>0</v>
      </c>
      <c r="L2591" t="n">
        <v>1</v>
      </c>
      <c r="M2591" t="n">
        <v>0</v>
      </c>
    </row>
    <row r="2592" spans="1:13">
      <c r="A2592" s="1">
        <f>HYPERLINK("http://www.twitter.com/NathanBLawrence/status/956678549821362176", "956678549821362176")</f>
        <v/>
      </c>
      <c r="B2592" s="2" t="n">
        <v>43126.00133101852</v>
      </c>
      <c r="C2592" t="n">
        <v>0</v>
      </c>
      <c r="D2592" t="n">
        <v>68</v>
      </c>
      <c r="E2592" t="s">
        <v>2582</v>
      </c>
      <c r="F2592" t="s"/>
      <c r="G2592" t="s"/>
      <c r="H2592" t="s"/>
      <c r="I2592" t="s"/>
      <c r="J2592" t="n">
        <v>0</v>
      </c>
      <c r="K2592" t="n">
        <v>0</v>
      </c>
      <c r="L2592" t="n">
        <v>1</v>
      </c>
      <c r="M2592" t="n">
        <v>0</v>
      </c>
    </row>
    <row r="2593" spans="1:13">
      <c r="A2593" s="1">
        <f>HYPERLINK("http://www.twitter.com/NathanBLawrence/status/956678520780087296", "956678520780087296")</f>
        <v/>
      </c>
      <c r="B2593" s="2" t="n">
        <v>43126.00125</v>
      </c>
      <c r="C2593" t="n">
        <v>0</v>
      </c>
      <c r="D2593" t="n">
        <v>1</v>
      </c>
      <c r="E2593" t="s">
        <v>2583</v>
      </c>
      <c r="F2593" t="s"/>
      <c r="G2593" t="s"/>
      <c r="H2593" t="s"/>
      <c r="I2593" t="s"/>
      <c r="J2593" t="n">
        <v>0</v>
      </c>
      <c r="K2593" t="n">
        <v>0</v>
      </c>
      <c r="L2593" t="n">
        <v>1</v>
      </c>
      <c r="M2593" t="n">
        <v>0</v>
      </c>
    </row>
    <row r="2594" spans="1:13">
      <c r="A2594" s="1">
        <f>HYPERLINK("http://www.twitter.com/NathanBLawrence/status/956678498822905856", "956678498822905856")</f>
        <v/>
      </c>
      <c r="B2594" s="2" t="n">
        <v>43126.00119212963</v>
      </c>
      <c r="C2594" t="n">
        <v>0</v>
      </c>
      <c r="D2594" t="n">
        <v>4</v>
      </c>
      <c r="E2594" t="s">
        <v>2584</v>
      </c>
      <c r="F2594" t="s"/>
      <c r="G2594" t="s"/>
      <c r="H2594" t="s"/>
      <c r="I2594" t="s"/>
      <c r="J2594" t="n">
        <v>0.3182</v>
      </c>
      <c r="K2594" t="n">
        <v>0</v>
      </c>
      <c r="L2594" t="n">
        <v>0.881</v>
      </c>
      <c r="M2594" t="n">
        <v>0.119</v>
      </c>
    </row>
    <row r="2595" spans="1:13">
      <c r="A2595" s="1">
        <f>HYPERLINK("http://www.twitter.com/NathanBLawrence/status/956677946454003712", "956677946454003712")</f>
        <v/>
      </c>
      <c r="B2595" s="2" t="n">
        <v>43125.99966435185</v>
      </c>
      <c r="C2595" t="n">
        <v>1</v>
      </c>
      <c r="D2595" t="n">
        <v>1</v>
      </c>
      <c r="E2595" t="s">
        <v>2585</v>
      </c>
      <c r="F2595" t="s"/>
      <c r="G2595" t="s"/>
      <c r="H2595" t="s"/>
      <c r="I2595" t="s"/>
      <c r="J2595" t="n">
        <v>0</v>
      </c>
      <c r="K2595" t="n">
        <v>0</v>
      </c>
      <c r="L2595" t="n">
        <v>1</v>
      </c>
      <c r="M2595" t="n">
        <v>0</v>
      </c>
    </row>
    <row r="2596" spans="1:13">
      <c r="A2596" s="1">
        <f>HYPERLINK("http://www.twitter.com/NathanBLawrence/status/956670931706970112", "956670931706970112")</f>
        <v/>
      </c>
      <c r="B2596" s="2" t="n">
        <v>43125.98030092593</v>
      </c>
      <c r="C2596" t="n">
        <v>0</v>
      </c>
      <c r="D2596" t="n">
        <v>57</v>
      </c>
      <c r="E2596" t="s">
        <v>2586</v>
      </c>
      <c r="F2596" t="s"/>
      <c r="G2596" t="s"/>
      <c r="H2596" t="s"/>
      <c r="I2596" t="s"/>
      <c r="J2596" t="n">
        <v>0.4019</v>
      </c>
      <c r="K2596" t="n">
        <v>0</v>
      </c>
      <c r="L2596" t="n">
        <v>0.856</v>
      </c>
      <c r="M2596" t="n">
        <v>0.144</v>
      </c>
    </row>
    <row r="2597" spans="1:13">
      <c r="A2597" s="1">
        <f>HYPERLINK("http://www.twitter.com/NathanBLawrence/status/956670640307802113", "956670640307802113")</f>
        <v/>
      </c>
      <c r="B2597" s="2" t="n">
        <v>43125.97950231482</v>
      </c>
      <c r="C2597" t="n">
        <v>0</v>
      </c>
      <c r="D2597" t="n">
        <v>3</v>
      </c>
      <c r="E2597" t="s">
        <v>2587</v>
      </c>
      <c r="F2597" t="s"/>
      <c r="G2597" t="s"/>
      <c r="H2597" t="s"/>
      <c r="I2597" t="s"/>
      <c r="J2597" t="n">
        <v>0.636</v>
      </c>
      <c r="K2597" t="n">
        <v>0</v>
      </c>
      <c r="L2597" t="n">
        <v>0.756</v>
      </c>
      <c r="M2597" t="n">
        <v>0.244</v>
      </c>
    </row>
    <row r="2598" spans="1:13">
      <c r="A2598" s="1">
        <f>HYPERLINK("http://www.twitter.com/NathanBLawrence/status/956669526459985921", "956669526459985921")</f>
        <v/>
      </c>
      <c r="B2598" s="2" t="n">
        <v>43125.97642361111</v>
      </c>
      <c r="C2598" t="n">
        <v>5</v>
      </c>
      <c r="D2598" t="n">
        <v>4</v>
      </c>
      <c r="E2598" t="s">
        <v>2588</v>
      </c>
      <c r="F2598" t="s"/>
      <c r="G2598" t="s"/>
      <c r="H2598" t="s"/>
      <c r="I2598" t="s"/>
      <c r="J2598" t="n">
        <v>0.8966</v>
      </c>
      <c r="K2598" t="n">
        <v>0</v>
      </c>
      <c r="L2598" t="n">
        <v>0.67</v>
      </c>
      <c r="M2598" t="n">
        <v>0.33</v>
      </c>
    </row>
    <row r="2599" spans="1:13">
      <c r="A2599" s="1">
        <f>HYPERLINK("http://www.twitter.com/NathanBLawrence/status/956642594322309121", "956642594322309121")</f>
        <v/>
      </c>
      <c r="B2599" s="2" t="n">
        <v>43125.90210648148</v>
      </c>
      <c r="C2599" t="n">
        <v>0</v>
      </c>
      <c r="D2599" t="n">
        <v>303</v>
      </c>
      <c r="E2599" t="s">
        <v>2589</v>
      </c>
      <c r="F2599">
        <f>HYPERLINK("http://pbs.twimg.com/media/DUaGvTKXcAIcEsP.jpg", "http://pbs.twimg.com/media/DUaGvTKXcAIcEsP.jpg")</f>
        <v/>
      </c>
      <c r="G2599" t="s"/>
      <c r="H2599" t="s"/>
      <c r="I2599" t="s"/>
      <c r="J2599" t="n">
        <v>0.296</v>
      </c>
      <c r="K2599" t="n">
        <v>0</v>
      </c>
      <c r="L2599" t="n">
        <v>0.856</v>
      </c>
      <c r="M2599" t="n">
        <v>0.144</v>
      </c>
    </row>
    <row r="2600" spans="1:13">
      <c r="A2600" s="1">
        <f>HYPERLINK("http://www.twitter.com/NathanBLawrence/status/956619704029908992", "956619704029908992")</f>
        <v/>
      </c>
      <c r="B2600" s="2" t="n">
        <v>43125.83894675926</v>
      </c>
      <c r="C2600" t="n">
        <v>0</v>
      </c>
      <c r="D2600" t="n">
        <v>2</v>
      </c>
      <c r="E2600" t="s">
        <v>2590</v>
      </c>
      <c r="F2600" t="s"/>
      <c r="G2600" t="s"/>
      <c r="H2600" t="s"/>
      <c r="I2600" t="s"/>
      <c r="J2600" t="n">
        <v>-0.6523</v>
      </c>
      <c r="K2600" t="n">
        <v>0.224</v>
      </c>
      <c r="L2600" t="n">
        <v>0.776</v>
      </c>
      <c r="M2600" t="n">
        <v>0</v>
      </c>
    </row>
    <row r="2601" spans="1:13">
      <c r="A2601" s="1">
        <f>HYPERLINK("http://www.twitter.com/NathanBLawrence/status/956615438590533632", "956615438590533632")</f>
        <v/>
      </c>
      <c r="B2601" s="2" t="n">
        <v>43125.82717592592</v>
      </c>
      <c r="C2601" t="n">
        <v>0</v>
      </c>
      <c r="D2601" t="n">
        <v>66</v>
      </c>
      <c r="E2601" t="s">
        <v>2591</v>
      </c>
      <c r="F2601" t="s"/>
      <c r="G2601" t="s"/>
      <c r="H2601" t="s"/>
      <c r="I2601" t="s"/>
      <c r="J2601" t="n">
        <v>0.9042</v>
      </c>
      <c r="K2601" t="n">
        <v>0</v>
      </c>
      <c r="L2601" t="n">
        <v>0.551</v>
      </c>
      <c r="M2601" t="n">
        <v>0.449</v>
      </c>
    </row>
    <row r="2602" spans="1:13">
      <c r="A2602" s="1">
        <f>HYPERLINK("http://www.twitter.com/NathanBLawrence/status/956614532553682947", "956614532553682947")</f>
        <v/>
      </c>
      <c r="B2602" s="2" t="n">
        <v>43125.82467592593</v>
      </c>
      <c r="C2602" t="n">
        <v>0</v>
      </c>
      <c r="D2602" t="n">
        <v>40</v>
      </c>
      <c r="E2602" t="s">
        <v>2592</v>
      </c>
      <c r="F2602" t="s"/>
      <c r="G2602" t="s"/>
      <c r="H2602" t="s"/>
      <c r="I2602" t="s"/>
      <c r="J2602" t="n">
        <v>0.4767</v>
      </c>
      <c r="K2602" t="n">
        <v>0</v>
      </c>
      <c r="L2602" t="n">
        <v>0.819</v>
      </c>
      <c r="M2602" t="n">
        <v>0.181</v>
      </c>
    </row>
    <row r="2603" spans="1:13">
      <c r="A2603" s="1">
        <f>HYPERLINK("http://www.twitter.com/NathanBLawrence/status/956613156025131009", "956613156025131009")</f>
        <v/>
      </c>
      <c r="B2603" s="2" t="n">
        <v>43125.82087962963</v>
      </c>
      <c r="C2603" t="n">
        <v>0</v>
      </c>
      <c r="D2603" t="n">
        <v>6</v>
      </c>
      <c r="E2603" t="s">
        <v>2593</v>
      </c>
      <c r="F2603" t="s"/>
      <c r="G2603" t="s"/>
      <c r="H2603" t="s"/>
      <c r="I2603" t="s"/>
      <c r="J2603" t="n">
        <v>0.3732</v>
      </c>
      <c r="K2603" t="n">
        <v>0.209</v>
      </c>
      <c r="L2603" t="n">
        <v>0.523</v>
      </c>
      <c r="M2603" t="n">
        <v>0.268</v>
      </c>
    </row>
    <row r="2604" spans="1:13">
      <c r="A2604" s="1">
        <f>HYPERLINK("http://www.twitter.com/NathanBLawrence/status/956610219886379009", "956610219886379009")</f>
        <v/>
      </c>
      <c r="B2604" s="2" t="n">
        <v>43125.81277777778</v>
      </c>
      <c r="C2604" t="n">
        <v>5</v>
      </c>
      <c r="D2604" t="n">
        <v>6</v>
      </c>
      <c r="E2604" t="s">
        <v>2594</v>
      </c>
      <c r="F2604" t="s"/>
      <c r="G2604" t="s"/>
      <c r="H2604" t="s"/>
      <c r="I2604" t="s"/>
      <c r="J2604" t="n">
        <v>0.8869</v>
      </c>
      <c r="K2604" t="n">
        <v>0.113</v>
      </c>
      <c r="L2604" t="n">
        <v>0.584</v>
      </c>
      <c r="M2604" t="n">
        <v>0.303</v>
      </c>
    </row>
    <row r="2605" spans="1:13">
      <c r="A2605" s="1">
        <f>HYPERLINK("http://www.twitter.com/NathanBLawrence/status/956607571795816448", "956607571795816448")</f>
        <v/>
      </c>
      <c r="B2605" s="2" t="n">
        <v>43125.80546296296</v>
      </c>
      <c r="C2605" t="n">
        <v>0</v>
      </c>
      <c r="D2605" t="n">
        <v>47</v>
      </c>
      <c r="E2605" t="s">
        <v>2595</v>
      </c>
      <c r="F2605" t="s"/>
      <c r="G2605" t="s"/>
      <c r="H2605" t="s"/>
      <c r="I2605" t="s"/>
      <c r="J2605" t="n">
        <v>-0.224</v>
      </c>
      <c r="K2605" t="n">
        <v>0.167</v>
      </c>
      <c r="L2605" t="n">
        <v>0.7</v>
      </c>
      <c r="M2605" t="n">
        <v>0.134</v>
      </c>
    </row>
    <row r="2606" spans="1:13">
      <c r="A2606" s="1">
        <f>HYPERLINK("http://www.twitter.com/NathanBLawrence/status/956605862986092544", "956605862986092544")</f>
        <v/>
      </c>
      <c r="B2606" s="2" t="n">
        <v>43125.80075231481</v>
      </c>
      <c r="C2606" t="n">
        <v>0</v>
      </c>
      <c r="D2606" t="n">
        <v>2</v>
      </c>
      <c r="E2606" t="s">
        <v>2596</v>
      </c>
      <c r="F2606" t="s"/>
      <c r="G2606" t="s"/>
      <c r="H2606" t="s"/>
      <c r="I2606" t="s"/>
      <c r="J2606" t="n">
        <v>-0.5610000000000001</v>
      </c>
      <c r="K2606" t="n">
        <v>0.341</v>
      </c>
      <c r="L2606" t="n">
        <v>0.659</v>
      </c>
      <c r="M2606" t="n">
        <v>0</v>
      </c>
    </row>
    <row r="2607" spans="1:13">
      <c r="A2607" s="1">
        <f>HYPERLINK("http://www.twitter.com/NathanBLawrence/status/956605755695788032", "956605755695788032")</f>
        <v/>
      </c>
      <c r="B2607" s="2" t="n">
        <v>43125.80045138889</v>
      </c>
      <c r="C2607" t="n">
        <v>0</v>
      </c>
      <c r="D2607" t="n">
        <v>0</v>
      </c>
      <c r="E2607" t="s">
        <v>2597</v>
      </c>
      <c r="F2607" t="s"/>
      <c r="G2607" t="s"/>
      <c r="H2607" t="s"/>
      <c r="I2607" t="s"/>
      <c r="J2607" t="n">
        <v>0</v>
      </c>
      <c r="K2607" t="n">
        <v>0</v>
      </c>
      <c r="L2607" t="n">
        <v>1</v>
      </c>
      <c r="M2607" t="n">
        <v>0</v>
      </c>
    </row>
    <row r="2608" spans="1:13">
      <c r="A2608" s="1">
        <f>HYPERLINK("http://www.twitter.com/NathanBLawrence/status/956597844617637888", "956597844617637888")</f>
        <v/>
      </c>
      <c r="B2608" s="2" t="n">
        <v>43125.77862268518</v>
      </c>
      <c r="C2608" t="n">
        <v>0</v>
      </c>
      <c r="D2608" t="n">
        <v>1387</v>
      </c>
      <c r="E2608" t="s">
        <v>2598</v>
      </c>
      <c r="F2608">
        <f>HYPERLINK("http://pbs.twimg.com/media/DUWxZP3W4AAt887.jpg", "http://pbs.twimg.com/media/DUWxZP3W4AAt887.jpg")</f>
        <v/>
      </c>
      <c r="G2608" t="s"/>
      <c r="H2608" t="s"/>
      <c r="I2608" t="s"/>
      <c r="J2608" t="n">
        <v>0</v>
      </c>
      <c r="K2608" t="n">
        <v>0</v>
      </c>
      <c r="L2608" t="n">
        <v>1</v>
      </c>
      <c r="M2608" t="n">
        <v>0</v>
      </c>
    </row>
    <row r="2609" spans="1:13">
      <c r="A2609" s="1">
        <f>HYPERLINK("http://www.twitter.com/NathanBLawrence/status/956594368546332672", "956594368546332672")</f>
        <v/>
      </c>
      <c r="B2609" s="2" t="n">
        <v>43125.76902777778</v>
      </c>
      <c r="C2609" t="n">
        <v>0</v>
      </c>
      <c r="D2609" t="n">
        <v>33</v>
      </c>
      <c r="E2609" t="s">
        <v>2599</v>
      </c>
      <c r="F2609" t="s"/>
      <c r="G2609" t="s"/>
      <c r="H2609" t="s"/>
      <c r="I2609" t="s"/>
      <c r="J2609" t="n">
        <v>0.296</v>
      </c>
      <c r="K2609" t="n">
        <v>0.097</v>
      </c>
      <c r="L2609" t="n">
        <v>0.752</v>
      </c>
      <c r="M2609" t="n">
        <v>0.15</v>
      </c>
    </row>
    <row r="2610" spans="1:13">
      <c r="A2610" s="1">
        <f>HYPERLINK("http://www.twitter.com/NathanBLawrence/status/956594177260904451", "956594177260904451")</f>
        <v/>
      </c>
      <c r="B2610" s="2" t="n">
        <v>43125.76850694444</v>
      </c>
      <c r="C2610" t="n">
        <v>0</v>
      </c>
      <c r="D2610" t="n">
        <v>13694</v>
      </c>
      <c r="E2610" t="s">
        <v>2600</v>
      </c>
      <c r="F2610" t="s"/>
      <c r="G2610" t="s"/>
      <c r="H2610" t="s"/>
      <c r="I2610" t="s"/>
      <c r="J2610" t="n">
        <v>0.5563</v>
      </c>
      <c r="K2610" t="n">
        <v>0</v>
      </c>
      <c r="L2610" t="n">
        <v>0.86</v>
      </c>
      <c r="M2610" t="n">
        <v>0.14</v>
      </c>
    </row>
    <row r="2611" spans="1:13">
      <c r="A2611" s="1">
        <f>HYPERLINK("http://www.twitter.com/NathanBLawrence/status/956589680396587009", "956589680396587009")</f>
        <v/>
      </c>
      <c r="B2611" s="2" t="n">
        <v>43125.75609953704</v>
      </c>
      <c r="C2611" t="n">
        <v>0</v>
      </c>
      <c r="D2611" t="n">
        <v>4554</v>
      </c>
      <c r="E2611" t="s">
        <v>2601</v>
      </c>
      <c r="F2611" t="s"/>
      <c r="G2611" t="s"/>
      <c r="H2611" t="s"/>
      <c r="I2611" t="s"/>
      <c r="J2611" t="n">
        <v>0.5106000000000001</v>
      </c>
      <c r="K2611" t="n">
        <v>0</v>
      </c>
      <c r="L2611" t="n">
        <v>0.645</v>
      </c>
      <c r="M2611" t="n">
        <v>0.355</v>
      </c>
    </row>
    <row r="2612" spans="1:13">
      <c r="A2612" s="1">
        <f>HYPERLINK("http://www.twitter.com/NathanBLawrence/status/956581862264266752", "956581862264266752")</f>
        <v/>
      </c>
      <c r="B2612" s="2" t="n">
        <v>43125.73452546296</v>
      </c>
      <c r="C2612" t="n">
        <v>0</v>
      </c>
      <c r="D2612" t="n">
        <v>592</v>
      </c>
      <c r="E2612" t="s">
        <v>2602</v>
      </c>
      <c r="F2612">
        <f>HYPERLINK("http://pbs.twimg.com/media/DUZzjKzXcAAxgiN.jpg", "http://pbs.twimg.com/media/DUZzjKzXcAAxgiN.jpg")</f>
        <v/>
      </c>
      <c r="G2612" t="s"/>
      <c r="H2612" t="s"/>
      <c r="I2612" t="s"/>
      <c r="J2612" t="n">
        <v>-0.4588</v>
      </c>
      <c r="K2612" t="n">
        <v>0.128</v>
      </c>
      <c r="L2612" t="n">
        <v>0.826</v>
      </c>
      <c r="M2612" t="n">
        <v>0.045</v>
      </c>
    </row>
    <row r="2613" spans="1:13">
      <c r="A2613" s="1">
        <f>HYPERLINK("http://www.twitter.com/NathanBLawrence/status/956580270416769031", "956580270416769031")</f>
        <v/>
      </c>
      <c r="B2613" s="2" t="n">
        <v>43125.73012731481</v>
      </c>
      <c r="C2613" t="n">
        <v>0</v>
      </c>
      <c r="D2613" t="n">
        <v>15542</v>
      </c>
      <c r="E2613" t="s">
        <v>2603</v>
      </c>
      <c r="F2613" t="s"/>
      <c r="G2613" t="s"/>
      <c r="H2613" t="s"/>
      <c r="I2613" t="s"/>
      <c r="J2613" t="n">
        <v>0.0772</v>
      </c>
      <c r="K2613" t="n">
        <v>0</v>
      </c>
      <c r="L2613" t="n">
        <v>0.902</v>
      </c>
      <c r="M2613" t="n">
        <v>0.098</v>
      </c>
    </row>
    <row r="2614" spans="1:13">
      <c r="A2614" s="1">
        <f>HYPERLINK("http://www.twitter.com/NathanBLawrence/status/956578647489556480", "956578647489556480")</f>
        <v/>
      </c>
      <c r="B2614" s="2" t="n">
        <v>43125.72564814815</v>
      </c>
      <c r="C2614" t="n">
        <v>0</v>
      </c>
      <c r="D2614" t="n">
        <v>0</v>
      </c>
      <c r="E2614" t="s">
        <v>2604</v>
      </c>
      <c r="F2614" t="s"/>
      <c r="G2614" t="s"/>
      <c r="H2614" t="s"/>
      <c r="I2614" t="s"/>
      <c r="J2614" t="n">
        <v>-0.68</v>
      </c>
      <c r="K2614" t="n">
        <v>0.413</v>
      </c>
      <c r="L2614" t="n">
        <v>0.459</v>
      </c>
      <c r="M2614" t="n">
        <v>0.128</v>
      </c>
    </row>
    <row r="2615" spans="1:13">
      <c r="A2615" s="1">
        <f>HYPERLINK("http://www.twitter.com/NathanBLawrence/status/956572245354311680", "956572245354311680")</f>
        <v/>
      </c>
      <c r="B2615" s="2" t="n">
        <v>43125.70798611111</v>
      </c>
      <c r="C2615" t="n">
        <v>0</v>
      </c>
      <c r="D2615" t="n">
        <v>50</v>
      </c>
      <c r="E2615" t="s">
        <v>2605</v>
      </c>
      <c r="F2615" t="s"/>
      <c r="G2615" t="s"/>
      <c r="H2615" t="s"/>
      <c r="I2615" t="s"/>
      <c r="J2615" t="n">
        <v>0.1225</v>
      </c>
      <c r="K2615" t="n">
        <v>0.135</v>
      </c>
      <c r="L2615" t="n">
        <v>0.75</v>
      </c>
      <c r="M2615" t="n">
        <v>0.115</v>
      </c>
    </row>
    <row r="2616" spans="1:13">
      <c r="A2616" s="1">
        <f>HYPERLINK("http://www.twitter.com/NathanBLawrence/status/956569332301037568", "956569332301037568")</f>
        <v/>
      </c>
      <c r="B2616" s="2" t="n">
        <v>43125.69994212963</v>
      </c>
      <c r="C2616" t="n">
        <v>0</v>
      </c>
      <c r="D2616" t="n">
        <v>347</v>
      </c>
      <c r="E2616" t="s">
        <v>2606</v>
      </c>
      <c r="F2616">
        <f>HYPERLINK("http://pbs.twimg.com/media/DUWLjLYWkAAdEkT.jpg", "http://pbs.twimg.com/media/DUWLjLYWkAAdEkT.jpg")</f>
        <v/>
      </c>
      <c r="G2616">
        <f>HYPERLINK("http://pbs.twimg.com/media/DUWLjXtWAAIY5ZR.jpg", "http://pbs.twimg.com/media/DUWLjXtWAAIY5ZR.jpg")</f>
        <v/>
      </c>
      <c r="H2616">
        <f>HYPERLINK("http://pbs.twimg.com/media/DUWLjhlWsAAZWL6.jpg", "http://pbs.twimg.com/media/DUWLjhlWsAAZWL6.jpg")</f>
        <v/>
      </c>
      <c r="I2616">
        <f>HYPERLINK("http://pbs.twimg.com/media/DUWLjqXWkAAx1ny.jpg", "http://pbs.twimg.com/media/DUWLjqXWkAAx1ny.jpg")</f>
        <v/>
      </c>
      <c r="J2616" t="n">
        <v>-0.8176</v>
      </c>
      <c r="K2616" t="n">
        <v>0.273</v>
      </c>
      <c r="L2616" t="n">
        <v>0.727</v>
      </c>
      <c r="M2616" t="n">
        <v>0</v>
      </c>
    </row>
    <row r="2617" spans="1:13">
      <c r="A2617" s="1">
        <f>HYPERLINK("http://www.twitter.com/NathanBLawrence/status/956568583651446789", "956568583651446789")</f>
        <v/>
      </c>
      <c r="B2617" s="2" t="n">
        <v>43125.69788194444</v>
      </c>
      <c r="C2617" t="n">
        <v>0</v>
      </c>
      <c r="D2617" t="n">
        <v>167</v>
      </c>
      <c r="E2617" t="s">
        <v>2607</v>
      </c>
      <c r="F2617" t="s"/>
      <c r="G2617" t="s"/>
      <c r="H2617" t="s"/>
      <c r="I2617" t="s"/>
      <c r="J2617" t="n">
        <v>-0.4588</v>
      </c>
      <c r="K2617" t="n">
        <v>0.161</v>
      </c>
      <c r="L2617" t="n">
        <v>0.781</v>
      </c>
      <c r="M2617" t="n">
        <v>0.057</v>
      </c>
    </row>
    <row r="2618" spans="1:13">
      <c r="A2618" s="1">
        <f>HYPERLINK("http://www.twitter.com/NathanBLawrence/status/956568483483004928", "956568483483004928")</f>
        <v/>
      </c>
      <c r="B2618" s="2" t="n">
        <v>43125.69760416666</v>
      </c>
      <c r="C2618" t="n">
        <v>0</v>
      </c>
      <c r="D2618" t="n">
        <v>95</v>
      </c>
      <c r="E2618" t="s">
        <v>2608</v>
      </c>
      <c r="F2618" t="s"/>
      <c r="G2618" t="s"/>
      <c r="H2618" t="s"/>
      <c r="I2618" t="s"/>
      <c r="J2618" t="n">
        <v>0</v>
      </c>
      <c r="K2618" t="n">
        <v>0</v>
      </c>
      <c r="L2618" t="n">
        <v>1</v>
      </c>
      <c r="M2618" t="n">
        <v>0</v>
      </c>
    </row>
    <row r="2619" spans="1:13">
      <c r="A2619" s="1">
        <f>HYPERLINK("http://www.twitter.com/NathanBLawrence/status/956558984697303042", "956558984697303042")</f>
        <v/>
      </c>
      <c r="B2619" s="2" t="n">
        <v>43125.67138888889</v>
      </c>
      <c r="C2619" t="n">
        <v>0</v>
      </c>
      <c r="D2619" t="n">
        <v>6</v>
      </c>
      <c r="E2619" t="s">
        <v>2609</v>
      </c>
      <c r="F2619" t="s"/>
      <c r="G2619" t="s"/>
      <c r="H2619" t="s"/>
      <c r="I2619" t="s"/>
      <c r="J2619" t="n">
        <v>-0.4767</v>
      </c>
      <c r="K2619" t="n">
        <v>0.129</v>
      </c>
      <c r="L2619" t="n">
        <v>0.871</v>
      </c>
      <c r="M2619" t="n">
        <v>0</v>
      </c>
    </row>
    <row r="2620" spans="1:13">
      <c r="A2620" s="1">
        <f>HYPERLINK("http://www.twitter.com/NathanBLawrence/status/956558639187333120", "956558639187333120")</f>
        <v/>
      </c>
      <c r="B2620" s="2" t="n">
        <v>43125.67043981481</v>
      </c>
      <c r="C2620" t="n">
        <v>4</v>
      </c>
      <c r="D2620" t="n">
        <v>1</v>
      </c>
      <c r="E2620" t="s">
        <v>2610</v>
      </c>
      <c r="F2620" t="s"/>
      <c r="G2620" t="s"/>
      <c r="H2620" t="s"/>
      <c r="I2620" t="s"/>
      <c r="J2620" t="n">
        <v>0.5411</v>
      </c>
      <c r="K2620" t="n">
        <v>0</v>
      </c>
      <c r="L2620" t="n">
        <v>0.534</v>
      </c>
      <c r="M2620" t="n">
        <v>0.466</v>
      </c>
    </row>
    <row r="2621" spans="1:13">
      <c r="A2621" s="1">
        <f>HYPERLINK("http://www.twitter.com/NathanBLawrence/status/956558432500375552", "956558432500375552")</f>
        <v/>
      </c>
      <c r="B2621" s="2" t="n">
        <v>43125.66986111111</v>
      </c>
      <c r="C2621" t="n">
        <v>0</v>
      </c>
      <c r="D2621" t="n">
        <v>331</v>
      </c>
      <c r="E2621" t="s">
        <v>2611</v>
      </c>
      <c r="F2621">
        <f>HYPERLINK("http://pbs.twimg.com/media/DUZc8LAVwAADstY.jpg", "http://pbs.twimg.com/media/DUZc8LAVwAADstY.jpg")</f>
        <v/>
      </c>
      <c r="G2621" t="s"/>
      <c r="H2621" t="s"/>
      <c r="I2621" t="s"/>
      <c r="J2621" t="n">
        <v>0</v>
      </c>
      <c r="K2621" t="n">
        <v>0</v>
      </c>
      <c r="L2621" t="n">
        <v>1</v>
      </c>
      <c r="M2621" t="n">
        <v>0</v>
      </c>
    </row>
    <row r="2622" spans="1:13">
      <c r="A2622" s="1">
        <f>HYPERLINK("http://www.twitter.com/NathanBLawrence/status/956552070873657344", "956552070873657344")</f>
        <v/>
      </c>
      <c r="B2622" s="2" t="n">
        <v>43125.65231481481</v>
      </c>
      <c r="C2622" t="n">
        <v>0</v>
      </c>
      <c r="D2622" t="n">
        <v>3</v>
      </c>
      <c r="E2622" t="s">
        <v>2612</v>
      </c>
      <c r="F2622" t="s"/>
      <c r="G2622" t="s"/>
      <c r="H2622" t="s"/>
      <c r="I2622" t="s"/>
      <c r="J2622" t="n">
        <v>0.2732</v>
      </c>
      <c r="K2622" t="n">
        <v>0</v>
      </c>
      <c r="L2622" t="n">
        <v>0.905</v>
      </c>
      <c r="M2622" t="n">
        <v>0.095</v>
      </c>
    </row>
    <row r="2623" spans="1:13">
      <c r="A2623" s="1">
        <f>HYPERLINK("http://www.twitter.com/NathanBLawrence/status/956388447933095936", "956388447933095936")</f>
        <v/>
      </c>
      <c r="B2623" s="2" t="n">
        <v>43125.20079861111</v>
      </c>
      <c r="C2623" t="n">
        <v>0</v>
      </c>
      <c r="D2623" t="n">
        <v>6479</v>
      </c>
      <c r="E2623" t="s">
        <v>2613</v>
      </c>
      <c r="F2623">
        <f>HYPERLINK("https://video.twimg.com/ext_tw_video/956300028338896897/pu/vid/322x180/dApD1-5UA_aBMYoa.mp4", "https://video.twimg.com/ext_tw_video/956300028338896897/pu/vid/322x180/dApD1-5UA_aBMYoa.mp4")</f>
        <v/>
      </c>
      <c r="G2623" t="s"/>
      <c r="H2623" t="s"/>
      <c r="I2623" t="s"/>
      <c r="J2623" t="n">
        <v>0.656</v>
      </c>
      <c r="K2623" t="n">
        <v>0</v>
      </c>
      <c r="L2623" t="n">
        <v>0.715</v>
      </c>
      <c r="M2623" t="n">
        <v>0.285</v>
      </c>
    </row>
    <row r="2624" spans="1:13">
      <c r="A2624" s="1">
        <f>HYPERLINK("http://www.twitter.com/NathanBLawrence/status/956387835661217794", "956387835661217794")</f>
        <v/>
      </c>
      <c r="B2624" s="2" t="n">
        <v>43125.1991087963</v>
      </c>
      <c r="C2624" t="n">
        <v>0</v>
      </c>
      <c r="D2624" t="n">
        <v>111</v>
      </c>
      <c r="E2624" t="s">
        <v>2614</v>
      </c>
      <c r="F2624">
        <f>HYPERLINK("http://pbs.twimg.com/media/DUXCzodWsAARFcR.jpg", "http://pbs.twimg.com/media/DUXCzodWsAARFcR.jpg")</f>
        <v/>
      </c>
      <c r="G2624" t="s"/>
      <c r="H2624" t="s"/>
      <c r="I2624" t="s"/>
      <c r="J2624" t="n">
        <v>-0.6341</v>
      </c>
      <c r="K2624" t="n">
        <v>0.173</v>
      </c>
      <c r="L2624" t="n">
        <v>0.827</v>
      </c>
      <c r="M2624" t="n">
        <v>0</v>
      </c>
    </row>
    <row r="2625" spans="1:13">
      <c r="A2625" s="1">
        <f>HYPERLINK("http://www.twitter.com/NathanBLawrence/status/956387660431544320", "956387660431544320")</f>
        <v/>
      </c>
      <c r="B2625" s="2" t="n">
        <v>43125.19862268519</v>
      </c>
      <c r="C2625" t="n">
        <v>0</v>
      </c>
      <c r="D2625" t="n">
        <v>290</v>
      </c>
      <c r="E2625" t="s">
        <v>2615</v>
      </c>
      <c r="F2625">
        <f>HYPERLINK("http://pbs.twimg.com/media/DUWSmRlUMAA7Vk3.jpg", "http://pbs.twimg.com/media/DUWSmRlUMAA7Vk3.jpg")</f>
        <v/>
      </c>
      <c r="G2625" t="s"/>
      <c r="H2625" t="s"/>
      <c r="I2625" t="s"/>
      <c r="J2625" t="n">
        <v>0.5106000000000001</v>
      </c>
      <c r="K2625" t="n">
        <v>0</v>
      </c>
      <c r="L2625" t="n">
        <v>0.852</v>
      </c>
      <c r="M2625" t="n">
        <v>0.148</v>
      </c>
    </row>
    <row r="2626" spans="1:13">
      <c r="A2626" s="1">
        <f>HYPERLINK("http://www.twitter.com/NathanBLawrence/status/956376878662803456", "956376878662803456")</f>
        <v/>
      </c>
      <c r="B2626" s="2" t="n">
        <v>43125.16887731481</v>
      </c>
      <c r="C2626" t="n">
        <v>18</v>
      </c>
      <c r="D2626" t="n">
        <v>14</v>
      </c>
      <c r="E2626" t="s">
        <v>2616</v>
      </c>
      <c r="F2626" t="s"/>
      <c r="G2626" t="s"/>
      <c r="H2626" t="s"/>
      <c r="I2626" t="s"/>
      <c r="J2626" t="n">
        <v>0.8942</v>
      </c>
      <c r="K2626" t="n">
        <v>0.066</v>
      </c>
      <c r="L2626" t="n">
        <v>0.633</v>
      </c>
      <c r="M2626" t="n">
        <v>0.301</v>
      </c>
    </row>
    <row r="2627" spans="1:13">
      <c r="A2627" s="1">
        <f>HYPERLINK("http://www.twitter.com/NathanBLawrence/status/956368225608044544", "956368225608044544")</f>
        <v/>
      </c>
      <c r="B2627" s="2" t="n">
        <v>43125.145</v>
      </c>
      <c r="C2627" t="n">
        <v>0</v>
      </c>
      <c r="D2627" t="n">
        <v>13</v>
      </c>
      <c r="E2627" t="s">
        <v>2617</v>
      </c>
      <c r="F2627" t="s"/>
      <c r="G2627" t="s"/>
      <c r="H2627" t="s"/>
      <c r="I2627" t="s"/>
      <c r="J2627" t="n">
        <v>0.5106000000000001</v>
      </c>
      <c r="K2627" t="n">
        <v>0</v>
      </c>
      <c r="L2627" t="n">
        <v>0.864</v>
      </c>
      <c r="M2627" t="n">
        <v>0.136</v>
      </c>
    </row>
    <row r="2628" spans="1:13">
      <c r="A2628" s="1">
        <f>HYPERLINK("http://www.twitter.com/NathanBLawrence/status/956368021307777024", "956368021307777024")</f>
        <v/>
      </c>
      <c r="B2628" s="2" t="n">
        <v>43125.14443287037</v>
      </c>
      <c r="C2628" t="n">
        <v>0</v>
      </c>
      <c r="D2628" t="n">
        <v>37</v>
      </c>
      <c r="E2628" t="s">
        <v>2618</v>
      </c>
      <c r="F2628">
        <f>HYPERLINK("http://pbs.twimg.com/media/DUVrUPxWAAAMEs2.jpg", "http://pbs.twimg.com/media/DUVrUPxWAAAMEs2.jpg")</f>
        <v/>
      </c>
      <c r="G2628" t="s"/>
      <c r="H2628" t="s"/>
      <c r="I2628" t="s"/>
      <c r="J2628" t="n">
        <v>-0.6415999999999999</v>
      </c>
      <c r="K2628" t="n">
        <v>0.216</v>
      </c>
      <c r="L2628" t="n">
        <v>0.784</v>
      </c>
      <c r="M2628" t="n">
        <v>0</v>
      </c>
    </row>
    <row r="2629" spans="1:13">
      <c r="A2629" s="1">
        <f>HYPERLINK("http://www.twitter.com/NathanBLawrence/status/956367815996530690", "956367815996530690")</f>
        <v/>
      </c>
      <c r="B2629" s="2" t="n">
        <v>43125.14386574074</v>
      </c>
      <c r="C2629" t="n">
        <v>0</v>
      </c>
      <c r="D2629" t="n">
        <v>1251</v>
      </c>
      <c r="E2629" t="s">
        <v>2619</v>
      </c>
      <c r="F2629">
        <f>HYPERLINK("http://pbs.twimg.com/media/DUWQ_KpUMAEdK8K.jpg", "http://pbs.twimg.com/media/DUWQ_KpUMAEdK8K.jpg")</f>
        <v/>
      </c>
      <c r="G2629" t="s"/>
      <c r="H2629" t="s"/>
      <c r="I2629" t="s"/>
      <c r="J2629" t="n">
        <v>0</v>
      </c>
      <c r="K2629" t="n">
        <v>0</v>
      </c>
      <c r="L2629" t="n">
        <v>1</v>
      </c>
      <c r="M2629" t="n">
        <v>0</v>
      </c>
    </row>
    <row r="2630" spans="1:13">
      <c r="A2630" s="1">
        <f>HYPERLINK("http://www.twitter.com/NathanBLawrence/status/956336710757085184", "956336710757085184")</f>
        <v/>
      </c>
      <c r="B2630" s="2" t="n">
        <v>43125.05803240741</v>
      </c>
      <c r="C2630" t="n">
        <v>0</v>
      </c>
      <c r="D2630" t="n">
        <v>783</v>
      </c>
      <c r="E2630" t="s">
        <v>2620</v>
      </c>
      <c r="F2630">
        <f>HYPERLINK("http://pbs.twimg.com/media/DUQLmrZXcAEs214.jpg", "http://pbs.twimg.com/media/DUQLmrZXcAEs214.jpg")</f>
        <v/>
      </c>
      <c r="G2630" t="s"/>
      <c r="H2630" t="s"/>
      <c r="I2630" t="s"/>
      <c r="J2630" t="n">
        <v>-0.5848</v>
      </c>
      <c r="K2630" t="n">
        <v>0.174</v>
      </c>
      <c r="L2630" t="n">
        <v>0.826</v>
      </c>
      <c r="M2630" t="n">
        <v>0</v>
      </c>
    </row>
    <row r="2631" spans="1:13">
      <c r="A2631" s="1">
        <f>HYPERLINK("http://www.twitter.com/NathanBLawrence/status/956288255468752896", "956288255468752896")</f>
        <v/>
      </c>
      <c r="B2631" s="2" t="n">
        <v>43124.92431712963</v>
      </c>
      <c r="C2631" t="n">
        <v>0</v>
      </c>
      <c r="D2631" t="n">
        <v>52</v>
      </c>
      <c r="E2631" t="s">
        <v>2621</v>
      </c>
      <c r="F2631" t="s"/>
      <c r="G2631" t="s"/>
      <c r="H2631" t="s"/>
      <c r="I2631" t="s"/>
      <c r="J2631" t="n">
        <v>0</v>
      </c>
      <c r="K2631" t="n">
        <v>0</v>
      </c>
      <c r="L2631" t="n">
        <v>1</v>
      </c>
      <c r="M2631" t="n">
        <v>0</v>
      </c>
    </row>
    <row r="2632" spans="1:13">
      <c r="A2632" s="1">
        <f>HYPERLINK("http://www.twitter.com/NathanBLawrence/status/956286039915712512", "956286039915712512")</f>
        <v/>
      </c>
      <c r="B2632" s="2" t="n">
        <v>43124.91820601852</v>
      </c>
      <c r="C2632" t="n">
        <v>0</v>
      </c>
      <c r="D2632" t="n">
        <v>11</v>
      </c>
      <c r="E2632" t="s">
        <v>2622</v>
      </c>
      <c r="F2632">
        <f>HYPERLINK("http://pbs.twimg.com/media/DUVivS3U8AIxh_1.jpg", "http://pbs.twimg.com/media/DUVivS3U8AIxh_1.jpg")</f>
        <v/>
      </c>
      <c r="G2632" t="s"/>
      <c r="H2632" t="s"/>
      <c r="I2632" t="s"/>
      <c r="J2632" t="n">
        <v>0</v>
      </c>
      <c r="K2632" t="n">
        <v>0</v>
      </c>
      <c r="L2632" t="n">
        <v>1</v>
      </c>
      <c r="M2632" t="n">
        <v>0</v>
      </c>
    </row>
    <row r="2633" spans="1:13">
      <c r="A2633" s="1">
        <f>HYPERLINK("http://www.twitter.com/NathanBLawrence/status/956281179447185409", "956281179447185409")</f>
        <v/>
      </c>
      <c r="B2633" s="2" t="n">
        <v>43124.90479166667</v>
      </c>
      <c r="C2633" t="n">
        <v>0</v>
      </c>
      <c r="D2633" t="n">
        <v>10</v>
      </c>
      <c r="E2633" t="s">
        <v>2623</v>
      </c>
      <c r="F2633">
        <f>HYPERLINK("http://pbs.twimg.com/media/DUVizvDVMAAT4Zn.jpg", "http://pbs.twimg.com/media/DUVizvDVMAAT4Zn.jpg")</f>
        <v/>
      </c>
      <c r="G2633" t="s"/>
      <c r="H2633" t="s"/>
      <c r="I2633" t="s"/>
      <c r="J2633" t="n">
        <v>0</v>
      </c>
      <c r="K2633" t="n">
        <v>0</v>
      </c>
      <c r="L2633" t="n">
        <v>1</v>
      </c>
      <c r="M2633" t="n">
        <v>0</v>
      </c>
    </row>
    <row r="2634" spans="1:13">
      <c r="A2634" s="1">
        <f>HYPERLINK("http://www.twitter.com/NathanBLawrence/status/956249438988759040", "956249438988759040")</f>
        <v/>
      </c>
      <c r="B2634" s="2" t="n">
        <v>43124.81721064815</v>
      </c>
      <c r="C2634" t="n">
        <v>36</v>
      </c>
      <c r="D2634" t="n">
        <v>36</v>
      </c>
      <c r="E2634" t="s">
        <v>2624</v>
      </c>
      <c r="F2634" t="s"/>
      <c r="G2634" t="s"/>
      <c r="H2634" t="s"/>
      <c r="I2634" t="s"/>
      <c r="J2634" t="n">
        <v>0.9532</v>
      </c>
      <c r="K2634" t="n">
        <v>0</v>
      </c>
      <c r="L2634" t="n">
        <v>0.671</v>
      </c>
      <c r="M2634" t="n">
        <v>0.329</v>
      </c>
    </row>
    <row r="2635" spans="1:13">
      <c r="A2635" s="1">
        <f>HYPERLINK("http://www.twitter.com/NathanBLawrence/status/956228970583863296", "956228970583863296")</f>
        <v/>
      </c>
      <c r="B2635" s="2" t="n">
        <v>43124.76072916666</v>
      </c>
      <c r="C2635" t="n">
        <v>0</v>
      </c>
      <c r="D2635" t="n">
        <v>15340</v>
      </c>
      <c r="E2635" t="s">
        <v>2625</v>
      </c>
      <c r="F2635" t="s"/>
      <c r="G2635" t="s"/>
      <c r="H2635" t="s"/>
      <c r="I2635" t="s"/>
      <c r="J2635" t="n">
        <v>-0.2732</v>
      </c>
      <c r="K2635" t="n">
        <v>0.095</v>
      </c>
      <c r="L2635" t="n">
        <v>0.905</v>
      </c>
      <c r="M2635" t="n">
        <v>0</v>
      </c>
    </row>
    <row r="2636" spans="1:13">
      <c r="A2636" s="1">
        <f>HYPERLINK("http://www.twitter.com/NathanBLawrence/status/956226702321045504", "956226702321045504")</f>
        <v/>
      </c>
      <c r="B2636" s="2" t="n">
        <v>43124.75446759259</v>
      </c>
      <c r="C2636" t="n">
        <v>0</v>
      </c>
      <c r="D2636" t="n">
        <v>13</v>
      </c>
      <c r="E2636" t="s">
        <v>2626</v>
      </c>
      <c r="F2636">
        <f>HYPERLINK("http://pbs.twimg.com/media/DUUP1NaVAAAPmGG.jpg", "http://pbs.twimg.com/media/DUUP1NaVAAAPmGG.jpg")</f>
        <v/>
      </c>
      <c r="G2636" t="s"/>
      <c r="H2636" t="s"/>
      <c r="I2636" t="s"/>
      <c r="J2636" t="n">
        <v>0</v>
      </c>
      <c r="K2636" t="n">
        <v>0</v>
      </c>
      <c r="L2636" t="n">
        <v>1</v>
      </c>
      <c r="M2636" t="n">
        <v>0</v>
      </c>
    </row>
    <row r="2637" spans="1:13">
      <c r="A2637" s="1">
        <f>HYPERLINK("http://www.twitter.com/NathanBLawrence/status/956215720735662080", "956215720735662080")</f>
        <v/>
      </c>
      <c r="B2637" s="2" t="n">
        <v>43124.72416666667</v>
      </c>
      <c r="C2637" t="n">
        <v>0</v>
      </c>
      <c r="D2637" t="n">
        <v>16</v>
      </c>
      <c r="E2637" t="s">
        <v>2627</v>
      </c>
      <c r="F2637" t="s"/>
      <c r="G2637" t="s"/>
      <c r="H2637" t="s"/>
      <c r="I2637" t="s"/>
      <c r="J2637" t="n">
        <v>-0.89</v>
      </c>
      <c r="K2637" t="n">
        <v>0.465</v>
      </c>
      <c r="L2637" t="n">
        <v>0.535</v>
      </c>
      <c r="M2637" t="n">
        <v>0</v>
      </c>
    </row>
    <row r="2638" spans="1:13">
      <c r="A2638" s="1">
        <f>HYPERLINK("http://www.twitter.com/NathanBLawrence/status/956215492267663360", "956215492267663360")</f>
        <v/>
      </c>
      <c r="B2638" s="2" t="n">
        <v>43124.72353009259</v>
      </c>
      <c r="C2638" t="n">
        <v>0</v>
      </c>
      <c r="D2638" t="n">
        <v>519</v>
      </c>
      <c r="E2638" t="s">
        <v>2628</v>
      </c>
      <c r="F2638" t="s"/>
      <c r="G2638" t="s"/>
      <c r="H2638" t="s"/>
      <c r="I2638" t="s"/>
      <c r="J2638" t="n">
        <v>0</v>
      </c>
      <c r="K2638" t="n">
        <v>0</v>
      </c>
      <c r="L2638" t="n">
        <v>1</v>
      </c>
      <c r="M2638" t="n">
        <v>0</v>
      </c>
    </row>
    <row r="2639" spans="1:13">
      <c r="A2639" s="1">
        <f>HYPERLINK("http://www.twitter.com/NathanBLawrence/status/956215236389982210", "956215236389982210")</f>
        <v/>
      </c>
      <c r="B2639" s="2" t="n">
        <v>43124.72282407407</v>
      </c>
      <c r="C2639" t="n">
        <v>0</v>
      </c>
      <c r="D2639" t="n">
        <v>0</v>
      </c>
      <c r="E2639" t="s">
        <v>2629</v>
      </c>
      <c r="F2639" t="s"/>
      <c r="G2639" t="s"/>
      <c r="H2639" t="s"/>
      <c r="I2639" t="s"/>
      <c r="J2639" t="n">
        <v>0</v>
      </c>
      <c r="K2639" t="n">
        <v>0</v>
      </c>
      <c r="L2639" t="n">
        <v>1</v>
      </c>
      <c r="M2639" t="n">
        <v>0</v>
      </c>
    </row>
    <row r="2640" spans="1:13">
      <c r="A2640" s="1">
        <f>HYPERLINK("http://www.twitter.com/NathanBLawrence/status/956213571972730881", "956213571972730881")</f>
        <v/>
      </c>
      <c r="B2640" s="2" t="n">
        <v>43124.71822916667</v>
      </c>
      <c r="C2640" t="n">
        <v>0</v>
      </c>
      <c r="D2640" t="n">
        <v>862</v>
      </c>
      <c r="E2640" t="s">
        <v>2630</v>
      </c>
      <c r="F2640">
        <f>HYPERLINK("http://pbs.twimg.com/media/DUUlBDcWsAA7FuO.jpg", "http://pbs.twimg.com/media/DUUlBDcWsAA7FuO.jpg")</f>
        <v/>
      </c>
      <c r="G2640" t="s"/>
      <c r="H2640" t="s"/>
      <c r="I2640" t="s"/>
      <c r="J2640" t="n">
        <v>0.516</v>
      </c>
      <c r="K2640" t="n">
        <v>0</v>
      </c>
      <c r="L2640" t="n">
        <v>0.836</v>
      </c>
      <c r="M2640" t="n">
        <v>0.164</v>
      </c>
    </row>
    <row r="2641" spans="1:13">
      <c r="A2641" s="1">
        <f>HYPERLINK("http://www.twitter.com/NathanBLawrence/status/956213089246109696", "956213089246109696")</f>
        <v/>
      </c>
      <c r="B2641" s="2" t="n">
        <v>43124.71689814814</v>
      </c>
      <c r="C2641" t="n">
        <v>0</v>
      </c>
      <c r="D2641" t="n">
        <v>888</v>
      </c>
      <c r="E2641" t="s">
        <v>2631</v>
      </c>
      <c r="F2641">
        <f>HYPERLINK("http://pbs.twimg.com/media/DUTVJC5U0AAHizc.jpg", "http://pbs.twimg.com/media/DUTVJC5U0AAHizc.jpg")</f>
        <v/>
      </c>
      <c r="G2641" t="s"/>
      <c r="H2641" t="s"/>
      <c r="I2641" t="s"/>
      <c r="J2641" t="n">
        <v>0.6988</v>
      </c>
      <c r="K2641" t="n">
        <v>0</v>
      </c>
      <c r="L2641" t="n">
        <v>0.8139999999999999</v>
      </c>
      <c r="M2641" t="n">
        <v>0.186</v>
      </c>
    </row>
    <row r="2642" spans="1:13">
      <c r="A2642" s="1">
        <f>HYPERLINK("http://www.twitter.com/NathanBLawrence/status/956212337320525825", "956212337320525825")</f>
        <v/>
      </c>
      <c r="B2642" s="2" t="n">
        <v>43124.71482638889</v>
      </c>
      <c r="C2642" t="n">
        <v>0</v>
      </c>
      <c r="D2642" t="n">
        <v>9</v>
      </c>
      <c r="E2642" t="s">
        <v>2632</v>
      </c>
      <c r="F2642" t="s"/>
      <c r="G2642" t="s"/>
      <c r="H2642" t="s"/>
      <c r="I2642" t="s"/>
      <c r="J2642" t="n">
        <v>0.6486</v>
      </c>
      <c r="K2642" t="n">
        <v>0.082</v>
      </c>
      <c r="L2642" t="n">
        <v>0.658</v>
      </c>
      <c r="M2642" t="n">
        <v>0.259</v>
      </c>
    </row>
    <row r="2643" spans="1:13">
      <c r="A2643" s="1">
        <f>HYPERLINK("http://www.twitter.com/NathanBLawrence/status/956211604030357506", "956211604030357506")</f>
        <v/>
      </c>
      <c r="B2643" s="2" t="n">
        <v>43124.71280092592</v>
      </c>
      <c r="C2643" t="n">
        <v>0</v>
      </c>
      <c r="D2643" t="n">
        <v>666</v>
      </c>
      <c r="E2643" t="s">
        <v>2633</v>
      </c>
      <c r="F2643">
        <f>HYPERLINK("http://pbs.twimg.com/media/DUUkxF5W4AAfuUC.jpg", "http://pbs.twimg.com/media/DUUkxF5W4AAfuUC.jpg")</f>
        <v/>
      </c>
      <c r="G2643" t="s"/>
      <c r="H2643" t="s"/>
      <c r="I2643" t="s"/>
      <c r="J2643" t="n">
        <v>-0.5106000000000001</v>
      </c>
      <c r="K2643" t="n">
        <v>0.202</v>
      </c>
      <c r="L2643" t="n">
        <v>0.798</v>
      </c>
      <c r="M2643" t="n">
        <v>0</v>
      </c>
    </row>
    <row r="2644" spans="1:13">
      <c r="A2644" s="1">
        <f>HYPERLINK("http://www.twitter.com/NathanBLawrence/status/956195752212082688", "956195752212082688")</f>
        <v/>
      </c>
      <c r="B2644" s="2" t="n">
        <v>43124.6690625</v>
      </c>
      <c r="C2644" t="n">
        <v>0</v>
      </c>
      <c r="D2644" t="n">
        <v>0</v>
      </c>
      <c r="E2644" t="s">
        <v>2634</v>
      </c>
      <c r="F2644" t="s"/>
      <c r="G2644" t="s"/>
      <c r="H2644" t="s"/>
      <c r="I2644" t="s"/>
      <c r="J2644" t="n">
        <v>-0.6478</v>
      </c>
      <c r="K2644" t="n">
        <v>0.177</v>
      </c>
      <c r="L2644" t="n">
        <v>0.823</v>
      </c>
      <c r="M2644" t="n">
        <v>0</v>
      </c>
    </row>
    <row r="2645" spans="1:13">
      <c r="A2645" s="1">
        <f>HYPERLINK("http://www.twitter.com/NathanBLawrence/status/956194556021805058", "956194556021805058")</f>
        <v/>
      </c>
      <c r="B2645" s="2" t="n">
        <v>43124.66576388889</v>
      </c>
      <c r="C2645" t="n">
        <v>0</v>
      </c>
      <c r="D2645" t="n">
        <v>3382</v>
      </c>
      <c r="E2645" t="s">
        <v>2635</v>
      </c>
      <c r="F2645" t="s"/>
      <c r="G2645" t="s"/>
      <c r="H2645" t="s"/>
      <c r="I2645" t="s"/>
      <c r="J2645" t="n">
        <v>-0.0772</v>
      </c>
      <c r="K2645" t="n">
        <v>0.159</v>
      </c>
      <c r="L2645" t="n">
        <v>0.665</v>
      </c>
      <c r="M2645" t="n">
        <v>0.176</v>
      </c>
    </row>
    <row r="2646" spans="1:13">
      <c r="A2646" s="1">
        <f>HYPERLINK("http://www.twitter.com/NathanBLawrence/status/956192512900771841", "956192512900771841")</f>
        <v/>
      </c>
      <c r="B2646" s="2" t="n">
        <v>43124.66011574074</v>
      </c>
      <c r="C2646" t="n">
        <v>0</v>
      </c>
      <c r="D2646" t="n">
        <v>0</v>
      </c>
      <c r="E2646" t="s">
        <v>2636</v>
      </c>
      <c r="F2646" t="s"/>
      <c r="G2646" t="s"/>
      <c r="H2646" t="s"/>
      <c r="I2646" t="s"/>
      <c r="J2646" t="n">
        <v>0</v>
      </c>
      <c r="K2646" t="n">
        <v>0</v>
      </c>
      <c r="L2646" t="n">
        <v>1</v>
      </c>
      <c r="M2646" t="n">
        <v>0</v>
      </c>
    </row>
    <row r="2647" spans="1:13">
      <c r="A2647" s="1">
        <f>HYPERLINK("http://www.twitter.com/NathanBLawrence/status/956192290590117895", "956192290590117895")</f>
        <v/>
      </c>
      <c r="B2647" s="2" t="n">
        <v>43124.65950231482</v>
      </c>
      <c r="C2647" t="n">
        <v>0</v>
      </c>
      <c r="D2647" t="n">
        <v>1</v>
      </c>
      <c r="E2647" t="s">
        <v>2637</v>
      </c>
      <c r="F2647" t="s"/>
      <c r="G2647" t="s"/>
      <c r="H2647" t="s"/>
      <c r="I2647" t="s"/>
      <c r="J2647" t="n">
        <v>-0.1429</v>
      </c>
      <c r="K2647" t="n">
        <v>0.14</v>
      </c>
      <c r="L2647" t="n">
        <v>0.741</v>
      </c>
      <c r="M2647" t="n">
        <v>0.118</v>
      </c>
    </row>
    <row r="2648" spans="1:13">
      <c r="A2648" s="1">
        <f>HYPERLINK("http://www.twitter.com/NathanBLawrence/status/956191973479735296", "956191973479735296")</f>
        <v/>
      </c>
      <c r="B2648" s="2" t="n">
        <v>43124.65863425926</v>
      </c>
      <c r="C2648" t="n">
        <v>0</v>
      </c>
      <c r="D2648" t="n">
        <v>1</v>
      </c>
      <c r="E2648" t="s">
        <v>2638</v>
      </c>
      <c r="F2648" t="s"/>
      <c r="G2648" t="s"/>
      <c r="H2648" t="s"/>
      <c r="I2648" t="s"/>
      <c r="J2648" t="n">
        <v>-0.8252</v>
      </c>
      <c r="K2648" t="n">
        <v>0.188</v>
      </c>
      <c r="L2648" t="n">
        <v>0.758</v>
      </c>
      <c r="M2648" t="n">
        <v>0.053</v>
      </c>
    </row>
    <row r="2649" spans="1:13">
      <c r="A2649" s="1">
        <f>HYPERLINK("http://www.twitter.com/NathanBLawrence/status/956173503274934272", "956173503274934272")</f>
        <v/>
      </c>
      <c r="B2649" s="2" t="n">
        <v>43124.60766203704</v>
      </c>
      <c r="C2649" t="n">
        <v>0</v>
      </c>
      <c r="D2649" t="n">
        <v>301</v>
      </c>
      <c r="E2649" t="s">
        <v>2639</v>
      </c>
      <c r="F2649">
        <f>HYPERLINK("http://pbs.twimg.com/media/DUTOovBVwAA9N_y.jpg", "http://pbs.twimg.com/media/DUTOovBVwAA9N_y.jpg")</f>
        <v/>
      </c>
      <c r="G2649" t="s"/>
      <c r="H2649" t="s"/>
      <c r="I2649" t="s"/>
      <c r="J2649" t="n">
        <v>0.4019</v>
      </c>
      <c r="K2649" t="n">
        <v>0</v>
      </c>
      <c r="L2649" t="n">
        <v>0.863</v>
      </c>
      <c r="M2649" t="n">
        <v>0.137</v>
      </c>
    </row>
    <row r="2650" spans="1:13">
      <c r="A2650" s="1">
        <f>HYPERLINK("http://www.twitter.com/NathanBLawrence/status/956074364797116417", "956074364797116417")</f>
        <v/>
      </c>
      <c r="B2650" s="2" t="n">
        <v>43124.33409722222</v>
      </c>
      <c r="C2650" t="n">
        <v>0</v>
      </c>
      <c r="D2650" t="n">
        <v>11</v>
      </c>
      <c r="E2650" t="s">
        <v>2640</v>
      </c>
      <c r="F2650" t="s"/>
      <c r="G2650" t="s"/>
      <c r="H2650" t="s"/>
      <c r="I2650" t="s"/>
      <c r="J2650" t="n">
        <v>0.8583</v>
      </c>
      <c r="K2650" t="n">
        <v>0</v>
      </c>
      <c r="L2650" t="n">
        <v>0.537</v>
      </c>
      <c r="M2650" t="n">
        <v>0.463</v>
      </c>
    </row>
    <row r="2651" spans="1:13">
      <c r="A2651" s="1">
        <f>HYPERLINK("http://www.twitter.com/NathanBLawrence/status/956074193615048704", "956074193615048704")</f>
        <v/>
      </c>
      <c r="B2651" s="2" t="n">
        <v>43124.33362268518</v>
      </c>
      <c r="C2651" t="n">
        <v>0</v>
      </c>
      <c r="D2651" t="n">
        <v>105</v>
      </c>
      <c r="E2651" t="s">
        <v>2641</v>
      </c>
      <c r="F2651">
        <f>HYPERLINK("https://video.twimg.com/amplify_video/954506970278502400/vid/720x720/pK0xXvAtEL1FnZFh.mp4", "https://video.twimg.com/amplify_video/954506970278502400/vid/720x720/pK0xXvAtEL1FnZFh.mp4")</f>
        <v/>
      </c>
      <c r="G2651" t="s"/>
      <c r="H2651" t="s"/>
      <c r="I2651" t="s"/>
      <c r="J2651" t="n">
        <v>0.6535</v>
      </c>
      <c r="K2651" t="n">
        <v>0</v>
      </c>
      <c r="L2651" t="n">
        <v>0.709</v>
      </c>
      <c r="M2651" t="n">
        <v>0.291</v>
      </c>
    </row>
    <row r="2652" spans="1:13">
      <c r="A2652" s="1">
        <f>HYPERLINK("http://www.twitter.com/NathanBLawrence/status/956073928216203264", "956073928216203264")</f>
        <v/>
      </c>
      <c r="B2652" s="2" t="n">
        <v>43124.33289351852</v>
      </c>
      <c r="C2652" t="n">
        <v>0</v>
      </c>
      <c r="D2652" t="n">
        <v>29</v>
      </c>
      <c r="E2652" t="s">
        <v>2642</v>
      </c>
      <c r="F2652">
        <f>HYPERLINK("http://pbs.twimg.com/media/DT-hJNmWsAAvM7L.jpg", "http://pbs.twimg.com/media/DT-hJNmWsAAvM7L.jpg")</f>
        <v/>
      </c>
      <c r="G2652" t="s"/>
      <c r="H2652" t="s"/>
      <c r="I2652" t="s"/>
      <c r="J2652" t="n">
        <v>0</v>
      </c>
      <c r="K2652" t="n">
        <v>0</v>
      </c>
      <c r="L2652" t="n">
        <v>1</v>
      </c>
      <c r="M2652" t="n">
        <v>0</v>
      </c>
    </row>
    <row r="2653" spans="1:13">
      <c r="A2653" s="1">
        <f>HYPERLINK("http://www.twitter.com/NathanBLawrence/status/956069410900496384", "956069410900496384")</f>
        <v/>
      </c>
      <c r="B2653" s="2" t="n">
        <v>43124.32042824074</v>
      </c>
      <c r="C2653" t="n">
        <v>0</v>
      </c>
      <c r="D2653" t="n">
        <v>247</v>
      </c>
      <c r="E2653" t="s">
        <v>2643</v>
      </c>
      <c r="F2653" t="s"/>
      <c r="G2653" t="s"/>
      <c r="H2653" t="s"/>
      <c r="I2653" t="s"/>
      <c r="J2653" t="n">
        <v>0.7079</v>
      </c>
      <c r="K2653" t="n">
        <v>0.073</v>
      </c>
      <c r="L2653" t="n">
        <v>0.6870000000000001</v>
      </c>
      <c r="M2653" t="n">
        <v>0.24</v>
      </c>
    </row>
    <row r="2654" spans="1:13">
      <c r="A2654" s="1">
        <f>HYPERLINK("http://www.twitter.com/NathanBLawrence/status/956064785581400064", "956064785581400064")</f>
        <v/>
      </c>
      <c r="B2654" s="2" t="n">
        <v>43124.30766203703</v>
      </c>
      <c r="C2654" t="n">
        <v>0</v>
      </c>
      <c r="D2654" t="n">
        <v>7997</v>
      </c>
      <c r="E2654" t="s">
        <v>2644</v>
      </c>
      <c r="F2654" t="s"/>
      <c r="G2654" t="s"/>
      <c r="H2654" t="s"/>
      <c r="I2654" t="s"/>
      <c r="J2654" t="n">
        <v>0.8625</v>
      </c>
      <c r="K2654" t="n">
        <v>0</v>
      </c>
      <c r="L2654" t="n">
        <v>0.61</v>
      </c>
      <c r="M2654" t="n">
        <v>0.39</v>
      </c>
    </row>
    <row r="2655" spans="1:13">
      <c r="A2655" s="1">
        <f>HYPERLINK("http://www.twitter.com/NathanBLawrence/status/956051066692521987", "956051066692521987")</f>
        <v/>
      </c>
      <c r="B2655" s="2" t="n">
        <v>43124.26980324074</v>
      </c>
      <c r="C2655" t="n">
        <v>0</v>
      </c>
      <c r="D2655" t="n">
        <v>35</v>
      </c>
      <c r="E2655" t="s">
        <v>2645</v>
      </c>
      <c r="F2655" t="s"/>
      <c r="G2655" t="s"/>
      <c r="H2655" t="s"/>
      <c r="I2655" t="s"/>
      <c r="J2655" t="n">
        <v>0.4404</v>
      </c>
      <c r="K2655" t="n">
        <v>0</v>
      </c>
      <c r="L2655" t="n">
        <v>0.896</v>
      </c>
      <c r="M2655" t="n">
        <v>0.104</v>
      </c>
    </row>
    <row r="2656" spans="1:13">
      <c r="A2656" s="1">
        <f>HYPERLINK("http://www.twitter.com/NathanBLawrence/status/956024677083832320", "956024677083832320")</f>
        <v/>
      </c>
      <c r="B2656" s="2" t="n">
        <v>43124.19697916666</v>
      </c>
      <c r="C2656" t="n">
        <v>0</v>
      </c>
      <c r="D2656" t="n">
        <v>241</v>
      </c>
      <c r="E2656" t="s">
        <v>2646</v>
      </c>
      <c r="F2656" t="s"/>
      <c r="G2656" t="s"/>
      <c r="H2656" t="s"/>
      <c r="I2656" t="s"/>
      <c r="J2656" t="n">
        <v>0.3612</v>
      </c>
      <c r="K2656" t="n">
        <v>0.111</v>
      </c>
      <c r="L2656" t="n">
        <v>0.704</v>
      </c>
      <c r="M2656" t="n">
        <v>0.186</v>
      </c>
    </row>
    <row r="2657" spans="1:13">
      <c r="A2657" s="1">
        <f>HYPERLINK("http://www.twitter.com/NathanBLawrence/status/956017152653451264", "956017152653451264")</f>
        <v/>
      </c>
      <c r="B2657" s="2" t="n">
        <v>43124.17621527778</v>
      </c>
      <c r="C2657" t="n">
        <v>0</v>
      </c>
      <c r="D2657" t="n">
        <v>6</v>
      </c>
      <c r="E2657" t="s">
        <v>2647</v>
      </c>
      <c r="F2657" t="s"/>
      <c r="G2657" t="s"/>
      <c r="H2657" t="s"/>
      <c r="I2657" t="s"/>
      <c r="J2657" t="n">
        <v>0.7579</v>
      </c>
      <c r="K2657" t="n">
        <v>0.11</v>
      </c>
      <c r="L2657" t="n">
        <v>0.597</v>
      </c>
      <c r="M2657" t="n">
        <v>0.293</v>
      </c>
    </row>
    <row r="2658" spans="1:13">
      <c r="A2658" s="1">
        <f>HYPERLINK("http://www.twitter.com/NathanBLawrence/status/956014846369255425", "956014846369255425")</f>
        <v/>
      </c>
      <c r="B2658" s="2" t="n">
        <v>43124.16984953704</v>
      </c>
      <c r="C2658" t="n">
        <v>0</v>
      </c>
      <c r="D2658" t="n">
        <v>7760</v>
      </c>
      <c r="E2658" t="s">
        <v>2648</v>
      </c>
      <c r="F2658" t="s"/>
      <c r="G2658" t="s"/>
      <c r="H2658" t="s"/>
      <c r="I2658" t="s"/>
      <c r="J2658" t="n">
        <v>0.5461</v>
      </c>
      <c r="K2658" t="n">
        <v>0</v>
      </c>
      <c r="L2658" t="n">
        <v>0.862</v>
      </c>
      <c r="M2658" t="n">
        <v>0.138</v>
      </c>
    </row>
    <row r="2659" spans="1:13">
      <c r="A2659" s="1">
        <f>HYPERLINK("http://www.twitter.com/NathanBLawrence/status/956014152904069120", "956014152904069120")</f>
        <v/>
      </c>
      <c r="B2659" s="2" t="n">
        <v>43124.16793981481</v>
      </c>
      <c r="C2659" t="n">
        <v>0</v>
      </c>
      <c r="D2659" t="n">
        <v>6375</v>
      </c>
      <c r="E2659" t="s">
        <v>2649</v>
      </c>
      <c r="F2659" t="s"/>
      <c r="G2659" t="s"/>
      <c r="H2659" t="s"/>
      <c r="I2659" t="s"/>
      <c r="J2659" t="n">
        <v>-0.8481</v>
      </c>
      <c r="K2659" t="n">
        <v>0.397</v>
      </c>
      <c r="L2659" t="n">
        <v>0.603</v>
      </c>
      <c r="M2659" t="n">
        <v>0</v>
      </c>
    </row>
    <row r="2660" spans="1:13">
      <c r="A2660" s="1">
        <f>HYPERLINK("http://www.twitter.com/NathanBLawrence/status/956013900205625345", "956013900205625345")</f>
        <v/>
      </c>
      <c r="B2660" s="2" t="n">
        <v>43124.16724537037</v>
      </c>
      <c r="C2660" t="n">
        <v>0</v>
      </c>
      <c r="D2660" t="n">
        <v>260</v>
      </c>
      <c r="E2660" t="s">
        <v>2650</v>
      </c>
      <c r="F2660">
        <f>HYPERLINK("https://video.twimg.com/ext_tw_video/956000479368003584/pu/vid/1280x720/jwGPs11adp-sGWtW.mp4", "https://video.twimg.com/ext_tw_video/956000479368003584/pu/vid/1280x720/jwGPs11adp-sGWtW.mp4")</f>
        <v/>
      </c>
      <c r="G2660" t="s"/>
      <c r="H2660" t="s"/>
      <c r="I2660" t="s"/>
      <c r="J2660" t="n">
        <v>0</v>
      </c>
      <c r="K2660" t="n">
        <v>0</v>
      </c>
      <c r="L2660" t="n">
        <v>1</v>
      </c>
      <c r="M2660" t="n">
        <v>0</v>
      </c>
    </row>
    <row r="2661" spans="1:13">
      <c r="A2661" s="1">
        <f>HYPERLINK("http://www.twitter.com/NathanBLawrence/status/956009475483361280", "956009475483361280")</f>
        <v/>
      </c>
      <c r="B2661" s="2" t="n">
        <v>43124.15503472222</v>
      </c>
      <c r="C2661" t="n">
        <v>0</v>
      </c>
      <c r="D2661" t="n">
        <v>0</v>
      </c>
      <c r="E2661" t="s">
        <v>2651</v>
      </c>
      <c r="F2661" t="s"/>
      <c r="G2661" t="s"/>
      <c r="H2661" t="s"/>
      <c r="I2661" t="s"/>
      <c r="J2661" t="n">
        <v>-0.7297</v>
      </c>
      <c r="K2661" t="n">
        <v>0.263</v>
      </c>
      <c r="L2661" t="n">
        <v>0.629</v>
      </c>
      <c r="M2661" t="n">
        <v>0.108</v>
      </c>
    </row>
    <row r="2662" spans="1:13">
      <c r="A2662" s="1">
        <f>HYPERLINK("http://www.twitter.com/NathanBLawrence/status/956002072402505730", "956002072402505730")</f>
        <v/>
      </c>
      <c r="B2662" s="2" t="n">
        <v>43124.13460648148</v>
      </c>
      <c r="C2662" t="n">
        <v>0</v>
      </c>
      <c r="D2662" t="n">
        <v>38</v>
      </c>
      <c r="E2662" t="s">
        <v>2652</v>
      </c>
      <c r="F2662" t="s"/>
      <c r="G2662" t="s"/>
      <c r="H2662" t="s"/>
      <c r="I2662" t="s"/>
      <c r="J2662" t="n">
        <v>0</v>
      </c>
      <c r="K2662" t="n">
        <v>0</v>
      </c>
      <c r="L2662" t="n">
        <v>1</v>
      </c>
      <c r="M2662" t="n">
        <v>0</v>
      </c>
    </row>
    <row r="2663" spans="1:13">
      <c r="A2663" s="1">
        <f>HYPERLINK("http://www.twitter.com/NathanBLawrence/status/955996982212022272", "955996982212022272")</f>
        <v/>
      </c>
      <c r="B2663" s="2" t="n">
        <v>43124.12055555556</v>
      </c>
      <c r="C2663" t="n">
        <v>0</v>
      </c>
      <c r="D2663" t="n">
        <v>43</v>
      </c>
      <c r="E2663" t="s">
        <v>2653</v>
      </c>
      <c r="F2663" t="s"/>
      <c r="G2663" t="s"/>
      <c r="H2663" t="s"/>
      <c r="I2663" t="s"/>
      <c r="J2663" t="n">
        <v>0.5574</v>
      </c>
      <c r="K2663" t="n">
        <v>0</v>
      </c>
      <c r="L2663" t="n">
        <v>0.854</v>
      </c>
      <c r="M2663" t="n">
        <v>0.146</v>
      </c>
    </row>
    <row r="2664" spans="1:13">
      <c r="A2664" s="1">
        <f>HYPERLINK("http://www.twitter.com/NathanBLawrence/status/955992521963950081", "955992521963950081")</f>
        <v/>
      </c>
      <c r="B2664" s="2" t="n">
        <v>43124.10825231481</v>
      </c>
      <c r="C2664" t="n">
        <v>62</v>
      </c>
      <c r="D2664" t="n">
        <v>45</v>
      </c>
      <c r="E2664" t="s">
        <v>2654</v>
      </c>
      <c r="F2664" t="s"/>
      <c r="G2664" t="s"/>
      <c r="H2664" t="s"/>
      <c r="I2664" t="s"/>
      <c r="J2664" t="n">
        <v>0.4404</v>
      </c>
      <c r="K2664" t="n">
        <v>0.146</v>
      </c>
      <c r="L2664" t="n">
        <v>0.61</v>
      </c>
      <c r="M2664" t="n">
        <v>0.244</v>
      </c>
    </row>
    <row r="2665" spans="1:13">
      <c r="A2665" s="1">
        <f>HYPERLINK("http://www.twitter.com/NathanBLawrence/status/955976515765854208", "955976515765854208")</f>
        <v/>
      </c>
      <c r="B2665" s="2" t="n">
        <v>43124.06408564815</v>
      </c>
      <c r="C2665" t="n">
        <v>0</v>
      </c>
      <c r="D2665" t="n">
        <v>95</v>
      </c>
      <c r="E2665" t="s">
        <v>2655</v>
      </c>
      <c r="F2665">
        <f>HYPERLINK("http://pbs.twimg.com/media/DUQt1tgUMAA_q07.jpg", "http://pbs.twimg.com/media/DUQt1tgUMAA_q07.jpg")</f>
        <v/>
      </c>
      <c r="G2665">
        <f>HYPERLINK("http://pbs.twimg.com/media/DUQt1unVQAAzYJJ.jpg", "http://pbs.twimg.com/media/DUQt1unVQAAzYJJ.jpg")</f>
        <v/>
      </c>
      <c r="H2665">
        <f>HYPERLINK("http://pbs.twimg.com/media/DUQt1unVAAAqRWC.jpg", "http://pbs.twimg.com/media/DUQt1unVAAAqRWC.jpg")</f>
        <v/>
      </c>
      <c r="I2665" t="s"/>
      <c r="J2665" t="n">
        <v>-0.0258</v>
      </c>
      <c r="K2665" t="n">
        <v>0.103</v>
      </c>
      <c r="L2665" t="n">
        <v>0.798</v>
      </c>
      <c r="M2665" t="n">
        <v>0.099</v>
      </c>
    </row>
    <row r="2666" spans="1:13">
      <c r="A2666" s="1">
        <f>HYPERLINK("http://www.twitter.com/NathanBLawrence/status/955943631378108416", "955943631378108416")</f>
        <v/>
      </c>
      <c r="B2666" s="2" t="n">
        <v>43123.97333333334</v>
      </c>
      <c r="C2666" t="n">
        <v>1</v>
      </c>
      <c r="D2666" t="n">
        <v>0</v>
      </c>
      <c r="E2666" t="s">
        <v>2656</v>
      </c>
      <c r="F2666">
        <f>HYPERLINK("http://pbs.twimg.com/media/DUQxp6DVAAE4C85.jpg", "http://pbs.twimg.com/media/DUQxp6DVAAE4C85.jpg")</f>
        <v/>
      </c>
      <c r="G2666" t="s"/>
      <c r="H2666" t="s"/>
      <c r="I2666" t="s"/>
      <c r="J2666" t="n">
        <v>0</v>
      </c>
      <c r="K2666" t="n">
        <v>0</v>
      </c>
      <c r="L2666" t="n">
        <v>1</v>
      </c>
      <c r="M2666" t="n">
        <v>0</v>
      </c>
    </row>
    <row r="2667" spans="1:13">
      <c r="A2667" s="1">
        <f>HYPERLINK("http://www.twitter.com/NathanBLawrence/status/955938454340333570", "955938454340333570")</f>
        <v/>
      </c>
      <c r="B2667" s="2" t="n">
        <v>43123.95905092593</v>
      </c>
      <c r="C2667" t="n">
        <v>6</v>
      </c>
      <c r="D2667" t="n">
        <v>0</v>
      </c>
      <c r="E2667" t="s">
        <v>2657</v>
      </c>
      <c r="F2667">
        <f>HYPERLINK("http://pbs.twimg.com/media/DUQs8MOXUAAukgw.jpg", "http://pbs.twimg.com/media/DUQs8MOXUAAukgw.jpg")</f>
        <v/>
      </c>
      <c r="G2667" t="s"/>
      <c r="H2667" t="s"/>
      <c r="I2667" t="s"/>
      <c r="J2667" t="n">
        <v>0</v>
      </c>
      <c r="K2667" t="n">
        <v>0</v>
      </c>
      <c r="L2667" t="n">
        <v>1</v>
      </c>
      <c r="M2667" t="n">
        <v>0</v>
      </c>
    </row>
    <row r="2668" spans="1:13">
      <c r="A2668" s="1">
        <f>HYPERLINK("http://www.twitter.com/NathanBLawrence/status/955936811624423426", "955936811624423426")</f>
        <v/>
      </c>
      <c r="B2668" s="2" t="n">
        <v>43123.95451388889</v>
      </c>
      <c r="C2668" t="n">
        <v>3</v>
      </c>
      <c r="D2668" t="n">
        <v>4</v>
      </c>
      <c r="E2668" t="s">
        <v>2658</v>
      </c>
      <c r="F2668" t="s"/>
      <c r="G2668" t="s"/>
      <c r="H2668" t="s"/>
      <c r="I2668" t="s"/>
      <c r="J2668" t="n">
        <v>0</v>
      </c>
      <c r="K2668" t="n">
        <v>0</v>
      </c>
      <c r="L2668" t="n">
        <v>1</v>
      </c>
      <c r="M2668" t="n">
        <v>0</v>
      </c>
    </row>
    <row r="2669" spans="1:13">
      <c r="A2669" s="1">
        <f>HYPERLINK("http://www.twitter.com/NathanBLawrence/status/955935537256452097", "955935537256452097")</f>
        <v/>
      </c>
      <c r="B2669" s="2" t="n">
        <v>43123.95100694444</v>
      </c>
      <c r="C2669" t="n">
        <v>0</v>
      </c>
      <c r="D2669" t="n">
        <v>0</v>
      </c>
      <c r="E2669" t="s">
        <v>2659</v>
      </c>
      <c r="F2669">
        <f>HYPERLINK("http://pbs.twimg.com/media/DUQqTE6VwAAsbYk.jpg", "http://pbs.twimg.com/media/DUQqTE6VwAAsbYk.jpg")</f>
        <v/>
      </c>
      <c r="G2669" t="s"/>
      <c r="H2669" t="s"/>
      <c r="I2669" t="s"/>
      <c r="J2669" t="n">
        <v>0</v>
      </c>
      <c r="K2669" t="n">
        <v>0</v>
      </c>
      <c r="L2669" t="n">
        <v>1</v>
      </c>
      <c r="M2669" t="n">
        <v>0</v>
      </c>
    </row>
    <row r="2670" spans="1:13">
      <c r="A2670" s="1">
        <f>HYPERLINK("http://www.twitter.com/NathanBLawrence/status/955933163099959296", "955933163099959296")</f>
        <v/>
      </c>
      <c r="B2670" s="2" t="n">
        <v>43123.94445601852</v>
      </c>
      <c r="C2670" t="n">
        <v>0</v>
      </c>
      <c r="D2670" t="n">
        <v>4810</v>
      </c>
      <c r="E2670" t="s">
        <v>2660</v>
      </c>
      <c r="F2670" t="s"/>
      <c r="G2670" t="s"/>
      <c r="H2670" t="s"/>
      <c r="I2670" t="s"/>
      <c r="J2670" t="n">
        <v>0</v>
      </c>
      <c r="K2670" t="n">
        <v>0</v>
      </c>
      <c r="L2670" t="n">
        <v>1</v>
      </c>
      <c r="M2670" t="n">
        <v>0</v>
      </c>
    </row>
    <row r="2671" spans="1:13">
      <c r="A2671" s="1">
        <f>HYPERLINK("http://www.twitter.com/NathanBLawrence/status/955922417448378368", "955922417448378368")</f>
        <v/>
      </c>
      <c r="B2671" s="2" t="n">
        <v>43123.91480324074</v>
      </c>
      <c r="C2671" t="n">
        <v>64</v>
      </c>
      <c r="D2671" t="n">
        <v>45</v>
      </c>
      <c r="E2671" t="s">
        <v>2661</v>
      </c>
      <c r="F2671" t="s"/>
      <c r="G2671" t="s"/>
      <c r="H2671" t="s"/>
      <c r="I2671" t="s"/>
      <c r="J2671" t="n">
        <v>-0.2635</v>
      </c>
      <c r="K2671" t="n">
        <v>0.215</v>
      </c>
      <c r="L2671" t="n">
        <v>0.618</v>
      </c>
      <c r="M2671" t="n">
        <v>0.166</v>
      </c>
    </row>
    <row r="2672" spans="1:13">
      <c r="A2672" s="1">
        <f>HYPERLINK("http://www.twitter.com/NathanBLawrence/status/955917913097084928", "955917913097084928")</f>
        <v/>
      </c>
      <c r="B2672" s="2" t="n">
        <v>43123.90237268519</v>
      </c>
      <c r="C2672" t="n">
        <v>0</v>
      </c>
      <c r="D2672" t="n">
        <v>0</v>
      </c>
      <c r="E2672" t="s">
        <v>2662</v>
      </c>
      <c r="F2672" t="s"/>
      <c r="G2672" t="s"/>
      <c r="H2672" t="s"/>
      <c r="I2672" t="s"/>
      <c r="J2672" t="n">
        <v>0.7556</v>
      </c>
      <c r="K2672" t="n">
        <v>0.183</v>
      </c>
      <c r="L2672" t="n">
        <v>0.521</v>
      </c>
      <c r="M2672" t="n">
        <v>0.297</v>
      </c>
    </row>
    <row r="2673" spans="1:13">
      <c r="A2673" s="1">
        <f>HYPERLINK("http://www.twitter.com/NathanBLawrence/status/955912425307541504", "955912425307541504")</f>
        <v/>
      </c>
      <c r="B2673" s="2" t="n">
        <v>43123.88722222222</v>
      </c>
      <c r="C2673" t="n">
        <v>0</v>
      </c>
      <c r="D2673" t="n">
        <v>38</v>
      </c>
      <c r="E2673" t="s">
        <v>2663</v>
      </c>
      <c r="F2673" t="s"/>
      <c r="G2673" t="s"/>
      <c r="H2673" t="s"/>
      <c r="I2673" t="s"/>
      <c r="J2673" t="n">
        <v>0.128</v>
      </c>
      <c r="K2673" t="n">
        <v>0.081</v>
      </c>
      <c r="L2673" t="n">
        <v>0.8139999999999999</v>
      </c>
      <c r="M2673" t="n">
        <v>0.104</v>
      </c>
    </row>
    <row r="2674" spans="1:13">
      <c r="A2674" s="1">
        <f>HYPERLINK("http://www.twitter.com/NathanBLawrence/status/955908861759840257", "955908861759840257")</f>
        <v/>
      </c>
      <c r="B2674" s="2" t="n">
        <v>43123.87739583333</v>
      </c>
      <c r="C2674" t="n">
        <v>0</v>
      </c>
      <c r="D2674" t="n">
        <v>96</v>
      </c>
      <c r="E2674" t="s">
        <v>2664</v>
      </c>
      <c r="F2674" t="s"/>
      <c r="G2674" t="s"/>
      <c r="H2674" t="s"/>
      <c r="I2674" t="s"/>
      <c r="J2674" t="n">
        <v>0.5859</v>
      </c>
      <c r="K2674" t="n">
        <v>0</v>
      </c>
      <c r="L2674" t="n">
        <v>0.826</v>
      </c>
      <c r="M2674" t="n">
        <v>0.174</v>
      </c>
    </row>
    <row r="2675" spans="1:13">
      <c r="A2675" s="1">
        <f>HYPERLINK("http://www.twitter.com/NathanBLawrence/status/955902201758650370", "955902201758650370")</f>
        <v/>
      </c>
      <c r="B2675" s="2" t="n">
        <v>43123.85901620371</v>
      </c>
      <c r="C2675" t="n">
        <v>0</v>
      </c>
      <c r="D2675" t="n">
        <v>1076</v>
      </c>
      <c r="E2675" t="s">
        <v>2665</v>
      </c>
      <c r="F2675" t="s"/>
      <c r="G2675" t="s"/>
      <c r="H2675" t="s"/>
      <c r="I2675" t="s"/>
      <c r="J2675" t="n">
        <v>0.5983000000000001</v>
      </c>
      <c r="K2675" t="n">
        <v>0</v>
      </c>
      <c r="L2675" t="n">
        <v>0.786</v>
      </c>
      <c r="M2675" t="n">
        <v>0.214</v>
      </c>
    </row>
    <row r="2676" spans="1:13">
      <c r="A2676" s="1">
        <f>HYPERLINK("http://www.twitter.com/NathanBLawrence/status/955881729918689280", "955881729918689280")</f>
        <v/>
      </c>
      <c r="B2676" s="2" t="n">
        <v>43123.80252314815</v>
      </c>
      <c r="C2676" t="n">
        <v>0</v>
      </c>
      <c r="D2676" t="n">
        <v>105</v>
      </c>
      <c r="E2676" t="s">
        <v>2666</v>
      </c>
      <c r="F2676" t="s"/>
      <c r="G2676" t="s"/>
      <c r="H2676" t="s"/>
      <c r="I2676" t="s"/>
      <c r="J2676" t="n">
        <v>0.2498</v>
      </c>
      <c r="K2676" t="n">
        <v>0</v>
      </c>
      <c r="L2676" t="n">
        <v>0.913</v>
      </c>
      <c r="M2676" t="n">
        <v>0.08699999999999999</v>
      </c>
    </row>
    <row r="2677" spans="1:13">
      <c r="A2677" s="1">
        <f>HYPERLINK("http://www.twitter.com/NathanBLawrence/status/955871713732030465", "955871713732030465")</f>
        <v/>
      </c>
      <c r="B2677" s="2" t="n">
        <v>43123.77488425926</v>
      </c>
      <c r="C2677" t="n">
        <v>0</v>
      </c>
      <c r="D2677" t="n">
        <v>0</v>
      </c>
      <c r="E2677" t="s">
        <v>2667</v>
      </c>
      <c r="F2677">
        <f>HYPERLINK("http://pbs.twimg.com/media/DUPwL2KXUAACV_g.jpg", "http://pbs.twimg.com/media/DUPwL2KXUAACV_g.jpg")</f>
        <v/>
      </c>
      <c r="G2677" t="s"/>
      <c r="H2677" t="s"/>
      <c r="I2677" t="s"/>
      <c r="J2677" t="n">
        <v>-0.4782</v>
      </c>
      <c r="K2677" t="n">
        <v>0.135</v>
      </c>
      <c r="L2677" t="n">
        <v>0.865</v>
      </c>
      <c r="M2677" t="n">
        <v>0</v>
      </c>
    </row>
    <row r="2678" spans="1:13">
      <c r="A2678" s="1">
        <f>HYPERLINK("http://www.twitter.com/NathanBLawrence/status/955862844012101632", "955862844012101632")</f>
        <v/>
      </c>
      <c r="B2678" s="2" t="n">
        <v>43123.75040509259</v>
      </c>
      <c r="C2678" t="n">
        <v>0</v>
      </c>
      <c r="D2678" t="n">
        <v>7374</v>
      </c>
      <c r="E2678" t="s">
        <v>2668</v>
      </c>
      <c r="F2678" t="s"/>
      <c r="G2678" t="s"/>
      <c r="H2678" t="s"/>
      <c r="I2678" t="s"/>
      <c r="J2678" t="n">
        <v>0</v>
      </c>
      <c r="K2678" t="n">
        <v>0</v>
      </c>
      <c r="L2678" t="n">
        <v>1</v>
      </c>
      <c r="M2678" t="n">
        <v>0</v>
      </c>
    </row>
    <row r="2679" spans="1:13">
      <c r="A2679" s="1">
        <f>HYPERLINK("http://www.twitter.com/NathanBLawrence/status/955853795912798208", "955853795912798208")</f>
        <v/>
      </c>
      <c r="B2679" s="2" t="n">
        <v>43123.72543981481</v>
      </c>
      <c r="C2679" t="n">
        <v>0</v>
      </c>
      <c r="D2679" t="n">
        <v>2174</v>
      </c>
      <c r="E2679" t="s">
        <v>2669</v>
      </c>
      <c r="F2679" t="s"/>
      <c r="G2679" t="s"/>
      <c r="H2679" t="s"/>
      <c r="I2679" t="s"/>
      <c r="J2679" t="n">
        <v>0.5106000000000001</v>
      </c>
      <c r="K2679" t="n">
        <v>0</v>
      </c>
      <c r="L2679" t="n">
        <v>0.829</v>
      </c>
      <c r="M2679" t="n">
        <v>0.171</v>
      </c>
    </row>
    <row r="2680" spans="1:13">
      <c r="A2680" s="1">
        <f>HYPERLINK("http://www.twitter.com/NathanBLawrence/status/955851200259330049", "955851200259330049")</f>
        <v/>
      </c>
      <c r="B2680" s="2" t="n">
        <v>43123.71827546296</v>
      </c>
      <c r="C2680" t="n">
        <v>0</v>
      </c>
      <c r="D2680" t="n">
        <v>18993</v>
      </c>
      <c r="E2680" t="s">
        <v>2670</v>
      </c>
      <c r="F2680" t="s"/>
      <c r="G2680" t="s"/>
      <c r="H2680" t="s"/>
      <c r="I2680" t="s"/>
      <c r="J2680" t="n">
        <v>-0.891</v>
      </c>
      <c r="K2680" t="n">
        <v>0.379</v>
      </c>
      <c r="L2680" t="n">
        <v>0.621</v>
      </c>
      <c r="M2680" t="n">
        <v>0</v>
      </c>
    </row>
    <row r="2681" spans="1:13">
      <c r="A2681" s="1">
        <f>HYPERLINK("http://www.twitter.com/NathanBLawrence/status/955824677141794817", "955824677141794817")</f>
        <v/>
      </c>
      <c r="B2681" s="2" t="n">
        <v>43123.64509259259</v>
      </c>
      <c r="C2681" t="n">
        <v>0</v>
      </c>
      <c r="D2681" t="n">
        <v>1633</v>
      </c>
      <c r="E2681" t="s">
        <v>2671</v>
      </c>
      <c r="F2681" t="s"/>
      <c r="G2681" t="s"/>
      <c r="H2681" t="s"/>
      <c r="I2681" t="s"/>
      <c r="J2681" t="n">
        <v>-0.8038</v>
      </c>
      <c r="K2681" t="n">
        <v>0.287</v>
      </c>
      <c r="L2681" t="n">
        <v>0.713</v>
      </c>
      <c r="M2681" t="n">
        <v>0</v>
      </c>
    </row>
    <row r="2682" spans="1:13">
      <c r="A2682" s="1">
        <f>HYPERLINK("http://www.twitter.com/NathanBLawrence/status/955823310016798721", "955823310016798721")</f>
        <v/>
      </c>
      <c r="B2682" s="2" t="n">
        <v>43123.64131944445</v>
      </c>
      <c r="C2682" t="n">
        <v>0</v>
      </c>
      <c r="D2682" t="n">
        <v>10345</v>
      </c>
      <c r="E2682" t="s">
        <v>2672</v>
      </c>
      <c r="F2682" t="s"/>
      <c r="G2682" t="s"/>
      <c r="H2682" t="s"/>
      <c r="I2682" t="s"/>
      <c r="J2682" t="n">
        <v>0</v>
      </c>
      <c r="K2682" t="n">
        <v>0</v>
      </c>
      <c r="L2682" t="n">
        <v>1</v>
      </c>
      <c r="M2682" t="n">
        <v>0</v>
      </c>
    </row>
    <row r="2683" spans="1:13">
      <c r="A2683" s="1">
        <f>HYPERLINK("http://www.twitter.com/NathanBLawrence/status/955807865897410560", "955807865897410560")</f>
        <v/>
      </c>
      <c r="B2683" s="2" t="n">
        <v>43123.59869212963</v>
      </c>
      <c r="C2683" t="n">
        <v>0</v>
      </c>
      <c r="D2683" t="n">
        <v>6</v>
      </c>
      <c r="E2683" t="s">
        <v>2673</v>
      </c>
      <c r="F2683" t="s"/>
      <c r="G2683" t="s"/>
      <c r="H2683" t="s"/>
      <c r="I2683" t="s"/>
      <c r="J2683" t="n">
        <v>0.8718</v>
      </c>
      <c r="K2683" t="n">
        <v>0</v>
      </c>
      <c r="L2683" t="n">
        <v>0.5679999999999999</v>
      </c>
      <c r="M2683" t="n">
        <v>0.432</v>
      </c>
    </row>
    <row r="2684" spans="1:13">
      <c r="A2684" s="1">
        <f>HYPERLINK("http://www.twitter.com/NathanBLawrence/status/955700342267707392", "955700342267707392")</f>
        <v/>
      </c>
      <c r="B2684" s="2" t="n">
        <v>43123.30199074074</v>
      </c>
      <c r="C2684" t="n">
        <v>0</v>
      </c>
      <c r="D2684" t="n">
        <v>6699</v>
      </c>
      <c r="E2684" t="s">
        <v>2674</v>
      </c>
      <c r="F2684" t="s"/>
      <c r="G2684" t="s"/>
      <c r="H2684" t="s"/>
      <c r="I2684" t="s"/>
      <c r="J2684" t="n">
        <v>0</v>
      </c>
      <c r="K2684" t="n">
        <v>0</v>
      </c>
      <c r="L2684" t="n">
        <v>1</v>
      </c>
      <c r="M2684" t="n">
        <v>0</v>
      </c>
    </row>
    <row r="2685" spans="1:13">
      <c r="A2685" s="1">
        <f>HYPERLINK("http://www.twitter.com/NathanBLawrence/status/955690261761462272", "955690261761462272")</f>
        <v/>
      </c>
      <c r="B2685" s="2" t="n">
        <v>43123.27416666667</v>
      </c>
      <c r="C2685" t="n">
        <v>0</v>
      </c>
      <c r="D2685" t="n">
        <v>52</v>
      </c>
      <c r="E2685" t="s">
        <v>2675</v>
      </c>
      <c r="F2685">
        <f>HYPERLINK("http://pbs.twimg.com/media/DUM1qtJWsAAS9p7.jpg", "http://pbs.twimg.com/media/DUM1qtJWsAAS9p7.jpg")</f>
        <v/>
      </c>
      <c r="G2685" t="s"/>
      <c r="H2685" t="s"/>
      <c r="I2685" t="s"/>
      <c r="J2685" t="n">
        <v>0</v>
      </c>
      <c r="K2685" t="n">
        <v>0</v>
      </c>
      <c r="L2685" t="n">
        <v>1</v>
      </c>
      <c r="M2685" t="n">
        <v>0</v>
      </c>
    </row>
    <row r="2686" spans="1:13">
      <c r="A2686" s="1">
        <f>HYPERLINK("http://www.twitter.com/NathanBLawrence/status/955689944995057664", "955689944995057664")</f>
        <v/>
      </c>
      <c r="B2686" s="2" t="n">
        <v>43123.27329861111</v>
      </c>
      <c r="C2686" t="n">
        <v>0</v>
      </c>
      <c r="D2686" t="n">
        <v>2006</v>
      </c>
      <c r="E2686" t="s">
        <v>2676</v>
      </c>
      <c r="F2686">
        <f>HYPERLINK("http://pbs.twimg.com/media/DUM45-GW0AAClEZ.jpg", "http://pbs.twimg.com/media/DUM45-GW0AAClEZ.jpg")</f>
        <v/>
      </c>
      <c r="G2686" t="s"/>
      <c r="H2686" t="s"/>
      <c r="I2686" t="s"/>
      <c r="J2686" t="n">
        <v>-0.0516</v>
      </c>
      <c r="K2686" t="n">
        <v>0.141</v>
      </c>
      <c r="L2686" t="n">
        <v>0.763</v>
      </c>
      <c r="M2686" t="n">
        <v>0.095</v>
      </c>
    </row>
    <row r="2687" spans="1:13">
      <c r="A2687" s="1">
        <f>HYPERLINK("http://www.twitter.com/NathanBLawrence/status/955686337113403392", "955686337113403392")</f>
        <v/>
      </c>
      <c r="B2687" s="2" t="n">
        <v>43123.26334490741</v>
      </c>
      <c r="C2687" t="n">
        <v>0</v>
      </c>
      <c r="D2687" t="n">
        <v>45</v>
      </c>
      <c r="E2687" t="s">
        <v>2677</v>
      </c>
      <c r="F2687">
        <f>HYPERLINK("http://pbs.twimg.com/media/DUM7jPrX4AAaodS.jpg", "http://pbs.twimg.com/media/DUM7jPrX4AAaodS.jpg")</f>
        <v/>
      </c>
      <c r="G2687" t="s"/>
      <c r="H2687" t="s"/>
      <c r="I2687" t="s"/>
      <c r="J2687" t="n">
        <v>0.5719</v>
      </c>
      <c r="K2687" t="n">
        <v>0</v>
      </c>
      <c r="L2687" t="n">
        <v>0.824</v>
      </c>
      <c r="M2687" t="n">
        <v>0.176</v>
      </c>
    </row>
    <row r="2688" spans="1:13">
      <c r="A2688" s="1">
        <f>HYPERLINK("http://www.twitter.com/NathanBLawrence/status/955681872855658502", "955681872855658502")</f>
        <v/>
      </c>
      <c r="B2688" s="2" t="n">
        <v>43123.25101851852</v>
      </c>
      <c r="C2688" t="n">
        <v>0</v>
      </c>
      <c r="D2688" t="n">
        <v>1599</v>
      </c>
      <c r="E2688" t="s">
        <v>2678</v>
      </c>
      <c r="F2688" t="s"/>
      <c r="G2688" t="s"/>
      <c r="H2688" t="s"/>
      <c r="I2688" t="s"/>
      <c r="J2688" t="n">
        <v>-0.4939</v>
      </c>
      <c r="K2688" t="n">
        <v>0.176</v>
      </c>
      <c r="L2688" t="n">
        <v>0.824</v>
      </c>
      <c r="M2688" t="n">
        <v>0</v>
      </c>
    </row>
    <row r="2689" spans="1:13">
      <c r="A2689" s="1">
        <f>HYPERLINK("http://www.twitter.com/NathanBLawrence/status/955681714960990208", "955681714960990208")</f>
        <v/>
      </c>
      <c r="B2689" s="2" t="n">
        <v>43123.25059027778</v>
      </c>
      <c r="C2689" t="n">
        <v>0</v>
      </c>
      <c r="D2689" t="n">
        <v>25</v>
      </c>
      <c r="E2689" t="s">
        <v>2679</v>
      </c>
      <c r="F2689">
        <f>HYPERLINK("http://pbs.twimg.com/media/DUMzRN2U8AAOXfi.jpg", "http://pbs.twimg.com/media/DUMzRN2U8AAOXfi.jpg")</f>
        <v/>
      </c>
      <c r="G2689">
        <f>HYPERLINK("http://pbs.twimg.com/media/DUMzRN1U0AAy-iu.jpg", "http://pbs.twimg.com/media/DUMzRN1U0AAy-iu.jpg")</f>
        <v/>
      </c>
      <c r="H2689" t="s"/>
      <c r="I2689" t="s"/>
      <c r="J2689" t="n">
        <v>-0.2023</v>
      </c>
      <c r="K2689" t="n">
        <v>0.133</v>
      </c>
      <c r="L2689" t="n">
        <v>0.766</v>
      </c>
      <c r="M2689" t="n">
        <v>0.101</v>
      </c>
    </row>
    <row r="2690" spans="1:13">
      <c r="A2690" s="1">
        <f>HYPERLINK("http://www.twitter.com/NathanBLawrence/status/955678464371232769", "955678464371232769")</f>
        <v/>
      </c>
      <c r="B2690" s="2" t="n">
        <v>43123.24162037037</v>
      </c>
      <c r="C2690" t="n">
        <v>0</v>
      </c>
      <c r="D2690" t="n">
        <v>1</v>
      </c>
      <c r="E2690" t="s">
        <v>2680</v>
      </c>
      <c r="F2690" t="s"/>
      <c r="G2690" t="s"/>
      <c r="H2690" t="s"/>
      <c r="I2690" t="s"/>
      <c r="J2690" t="n">
        <v>0.5696</v>
      </c>
      <c r="K2690" t="n">
        <v>0</v>
      </c>
      <c r="L2690" t="n">
        <v>0.765</v>
      </c>
      <c r="M2690" t="n">
        <v>0.235</v>
      </c>
    </row>
    <row r="2691" spans="1:13">
      <c r="A2691" s="1">
        <f>HYPERLINK("http://www.twitter.com/NathanBLawrence/status/955677266771619840", "955677266771619840")</f>
        <v/>
      </c>
      <c r="B2691" s="2" t="n">
        <v>43123.23831018519</v>
      </c>
      <c r="C2691" t="n">
        <v>0</v>
      </c>
      <c r="D2691" t="n">
        <v>2</v>
      </c>
      <c r="E2691" t="s">
        <v>2681</v>
      </c>
      <c r="F2691" t="s"/>
      <c r="G2691" t="s"/>
      <c r="H2691" t="s"/>
      <c r="I2691" t="s"/>
      <c r="J2691" t="n">
        <v>-0.34</v>
      </c>
      <c r="K2691" t="n">
        <v>0.237</v>
      </c>
      <c r="L2691" t="n">
        <v>0.647</v>
      </c>
      <c r="M2691" t="n">
        <v>0.115</v>
      </c>
    </row>
    <row r="2692" spans="1:13">
      <c r="A2692" s="1">
        <f>HYPERLINK("http://www.twitter.com/NathanBLawrence/status/955675945532317697", "955675945532317697")</f>
        <v/>
      </c>
      <c r="B2692" s="2" t="n">
        <v>43123.23466435185</v>
      </c>
      <c r="C2692" t="n">
        <v>0</v>
      </c>
      <c r="D2692" t="n">
        <v>57</v>
      </c>
      <c r="E2692" t="s">
        <v>2682</v>
      </c>
      <c r="F2692">
        <f>HYPERLINK("http://pbs.twimg.com/media/DUA79uiUMAEPP4_.jpg", "http://pbs.twimg.com/media/DUA79uiUMAEPP4_.jpg")</f>
        <v/>
      </c>
      <c r="G2692" t="s"/>
      <c r="H2692" t="s"/>
      <c r="I2692" t="s"/>
      <c r="J2692" t="n">
        <v>0.3818</v>
      </c>
      <c r="K2692" t="n">
        <v>0</v>
      </c>
      <c r="L2692" t="n">
        <v>0.86</v>
      </c>
      <c r="M2692" t="n">
        <v>0.14</v>
      </c>
    </row>
    <row r="2693" spans="1:13">
      <c r="A2693" s="1">
        <f>HYPERLINK("http://www.twitter.com/NathanBLawrence/status/955659972272107520", "955659972272107520")</f>
        <v/>
      </c>
      <c r="B2693" s="2" t="n">
        <v>43123.19059027778</v>
      </c>
      <c r="C2693" t="n">
        <v>0</v>
      </c>
      <c r="D2693" t="n">
        <v>33</v>
      </c>
      <c r="E2693" t="s">
        <v>2683</v>
      </c>
      <c r="F2693" t="s"/>
      <c r="G2693" t="s"/>
      <c r="H2693" t="s"/>
      <c r="I2693" t="s"/>
      <c r="J2693" t="n">
        <v>0</v>
      </c>
      <c r="K2693" t="n">
        <v>0</v>
      </c>
      <c r="L2693" t="n">
        <v>1</v>
      </c>
      <c r="M2693" t="n">
        <v>0</v>
      </c>
    </row>
    <row r="2694" spans="1:13">
      <c r="A2694" s="1">
        <f>HYPERLINK("http://www.twitter.com/NathanBLawrence/status/955635097570603009", "955635097570603009")</f>
        <v/>
      </c>
      <c r="B2694" s="2" t="n">
        <v>43123.12194444444</v>
      </c>
      <c r="C2694" t="n">
        <v>0</v>
      </c>
      <c r="D2694" t="n">
        <v>876</v>
      </c>
      <c r="E2694" t="s">
        <v>2684</v>
      </c>
      <c r="F2694" t="s"/>
      <c r="G2694" t="s"/>
      <c r="H2694" t="s"/>
      <c r="I2694" t="s"/>
      <c r="J2694" t="n">
        <v>-0.1531</v>
      </c>
      <c r="K2694" t="n">
        <v>0.143</v>
      </c>
      <c r="L2694" t="n">
        <v>0.739</v>
      </c>
      <c r="M2694" t="n">
        <v>0.117</v>
      </c>
    </row>
    <row r="2695" spans="1:13">
      <c r="A2695" s="1">
        <f>HYPERLINK("http://www.twitter.com/NathanBLawrence/status/955625261952917504", "955625261952917504")</f>
        <v/>
      </c>
      <c r="B2695" s="2" t="n">
        <v>43123.09480324074</v>
      </c>
      <c r="C2695" t="n">
        <v>1</v>
      </c>
      <c r="D2695" t="n">
        <v>0</v>
      </c>
      <c r="E2695" t="s">
        <v>2685</v>
      </c>
      <c r="F2695">
        <f>HYPERLINK("http://pbs.twimg.com/media/DUMQAzTXkAEfJFd.jpg", "http://pbs.twimg.com/media/DUMQAzTXkAEfJFd.jpg")</f>
        <v/>
      </c>
      <c r="G2695" t="s"/>
      <c r="H2695" t="s"/>
      <c r="I2695" t="s"/>
      <c r="J2695" t="n">
        <v>-0.2206</v>
      </c>
      <c r="K2695" t="n">
        <v>0.17</v>
      </c>
      <c r="L2695" t="n">
        <v>0.62</v>
      </c>
      <c r="M2695" t="n">
        <v>0.21</v>
      </c>
    </row>
    <row r="2696" spans="1:13">
      <c r="A2696" s="1">
        <f>HYPERLINK("http://www.twitter.com/NathanBLawrence/status/955608346446450688", "955608346446450688")</f>
        <v/>
      </c>
      <c r="B2696" s="2" t="n">
        <v>43123.048125</v>
      </c>
      <c r="C2696" t="n">
        <v>0</v>
      </c>
      <c r="D2696" t="n">
        <v>30</v>
      </c>
      <c r="E2696" t="s">
        <v>2686</v>
      </c>
      <c r="F2696" t="s"/>
      <c r="G2696" t="s"/>
      <c r="H2696" t="s"/>
      <c r="I2696" t="s"/>
      <c r="J2696" t="n">
        <v>0.3612</v>
      </c>
      <c r="K2696" t="n">
        <v>0</v>
      </c>
      <c r="L2696" t="n">
        <v>0.898</v>
      </c>
      <c r="M2696" t="n">
        <v>0.102</v>
      </c>
    </row>
    <row r="2697" spans="1:13">
      <c r="A2697" s="1">
        <f>HYPERLINK("http://www.twitter.com/NathanBLawrence/status/955606630221172736", "955606630221172736")</f>
        <v/>
      </c>
      <c r="B2697" s="2" t="n">
        <v>43123.0433912037</v>
      </c>
      <c r="C2697" t="n">
        <v>11</v>
      </c>
      <c r="D2697" t="n">
        <v>11</v>
      </c>
      <c r="E2697" t="s">
        <v>2687</v>
      </c>
      <c r="F2697" t="s"/>
      <c r="G2697" t="s"/>
      <c r="H2697" t="s"/>
      <c r="I2697" t="s"/>
      <c r="J2697" t="n">
        <v>-0.4084</v>
      </c>
      <c r="K2697" t="n">
        <v>0.094</v>
      </c>
      <c r="L2697" t="n">
        <v>0.856</v>
      </c>
      <c r="M2697" t="n">
        <v>0.049</v>
      </c>
    </row>
    <row r="2698" spans="1:13">
      <c r="A2698" s="1">
        <f>HYPERLINK("http://www.twitter.com/NathanBLawrence/status/955602927753875456", "955602927753875456")</f>
        <v/>
      </c>
      <c r="B2698" s="2" t="n">
        <v>43123.03317129629</v>
      </c>
      <c r="C2698" t="n">
        <v>0</v>
      </c>
      <c r="D2698" t="n">
        <v>934</v>
      </c>
      <c r="E2698" t="s">
        <v>2688</v>
      </c>
      <c r="F2698">
        <f>HYPERLINK("http://pbs.twimg.com/media/DUIUT_iVAAAVgkG.jpg", "http://pbs.twimg.com/media/DUIUT_iVAAAVgkG.jpg")</f>
        <v/>
      </c>
      <c r="G2698">
        <f>HYPERLINK("http://pbs.twimg.com/media/DUIUT_hUQAIzqLV.jpg", "http://pbs.twimg.com/media/DUIUT_hUQAIzqLV.jpg")</f>
        <v/>
      </c>
      <c r="H2698">
        <f>HYPERLINK("http://pbs.twimg.com/media/DUIUT_gVoAE96_o.jpg", "http://pbs.twimg.com/media/DUIUT_gVoAE96_o.jpg")</f>
        <v/>
      </c>
      <c r="I2698" t="s"/>
      <c r="J2698" t="n">
        <v>-0.7125</v>
      </c>
      <c r="K2698" t="n">
        <v>0.205</v>
      </c>
      <c r="L2698" t="n">
        <v>0.795</v>
      </c>
      <c r="M2698" t="n">
        <v>0</v>
      </c>
    </row>
    <row r="2699" spans="1:13">
      <c r="A2699" s="1">
        <f>HYPERLINK("http://www.twitter.com/NathanBLawrence/status/955600251276218371", "955600251276218371")</f>
        <v/>
      </c>
      <c r="B2699" s="2" t="n">
        <v>43123.02578703704</v>
      </c>
      <c r="C2699" t="n">
        <v>0</v>
      </c>
      <c r="D2699" t="n">
        <v>11647</v>
      </c>
      <c r="E2699" t="s">
        <v>2689</v>
      </c>
      <c r="F2699" t="s"/>
      <c r="G2699" t="s"/>
      <c r="H2699" t="s"/>
      <c r="I2699" t="s"/>
      <c r="J2699" t="n">
        <v>-0.6705</v>
      </c>
      <c r="K2699" t="n">
        <v>0.244</v>
      </c>
      <c r="L2699" t="n">
        <v>0.756</v>
      </c>
      <c r="M2699" t="n">
        <v>0</v>
      </c>
    </row>
    <row r="2700" spans="1:13">
      <c r="A2700" s="1">
        <f>HYPERLINK("http://www.twitter.com/NathanBLawrence/status/955597632512122881", "955597632512122881")</f>
        <v/>
      </c>
      <c r="B2700" s="2" t="n">
        <v>43123.01856481482</v>
      </c>
      <c r="C2700" t="n">
        <v>0</v>
      </c>
      <c r="D2700" t="n">
        <v>1</v>
      </c>
      <c r="E2700" t="s">
        <v>2690</v>
      </c>
      <c r="F2700" t="s"/>
      <c r="G2700" t="s"/>
      <c r="H2700" t="s"/>
      <c r="I2700" t="s"/>
      <c r="J2700" t="n">
        <v>0.4019</v>
      </c>
      <c r="K2700" t="n">
        <v>0</v>
      </c>
      <c r="L2700" t="n">
        <v>0.87</v>
      </c>
      <c r="M2700" t="n">
        <v>0.13</v>
      </c>
    </row>
    <row r="2701" spans="1:13">
      <c r="A2701" s="1">
        <f>HYPERLINK("http://www.twitter.com/NathanBLawrence/status/955597404031635457", "955597404031635457")</f>
        <v/>
      </c>
      <c r="B2701" s="2" t="n">
        <v>43123.01792824074</v>
      </c>
      <c r="C2701" t="n">
        <v>0</v>
      </c>
      <c r="D2701" t="n">
        <v>3850</v>
      </c>
      <c r="E2701" t="s">
        <v>2691</v>
      </c>
      <c r="F2701" t="s"/>
      <c r="G2701" t="s"/>
      <c r="H2701" t="s"/>
      <c r="I2701" t="s"/>
      <c r="J2701" t="n">
        <v>0.5778</v>
      </c>
      <c r="K2701" t="n">
        <v>0.083</v>
      </c>
      <c r="L2701" t="n">
        <v>0.697</v>
      </c>
      <c r="M2701" t="n">
        <v>0.22</v>
      </c>
    </row>
    <row r="2702" spans="1:13">
      <c r="A2702" s="1">
        <f>HYPERLINK("http://www.twitter.com/NathanBLawrence/status/955594989366595585", "955594989366595585")</f>
        <v/>
      </c>
      <c r="B2702" s="2" t="n">
        <v>43123.01127314815</v>
      </c>
      <c r="C2702" t="n">
        <v>0</v>
      </c>
      <c r="D2702" t="n">
        <v>312</v>
      </c>
      <c r="E2702" t="s">
        <v>2692</v>
      </c>
      <c r="F2702" t="s"/>
      <c r="G2702" t="s"/>
      <c r="H2702" t="s"/>
      <c r="I2702" t="s"/>
      <c r="J2702" t="n">
        <v>0.8779</v>
      </c>
      <c r="K2702" t="n">
        <v>0</v>
      </c>
      <c r="L2702" t="n">
        <v>0.6850000000000001</v>
      </c>
      <c r="M2702" t="n">
        <v>0.315</v>
      </c>
    </row>
    <row r="2703" spans="1:13">
      <c r="A2703" s="1">
        <f>HYPERLINK("http://www.twitter.com/NathanBLawrence/status/955594682473635840", "955594682473635840")</f>
        <v/>
      </c>
      <c r="B2703" s="2" t="n">
        <v>43123.01042824074</v>
      </c>
      <c r="C2703" t="n">
        <v>0</v>
      </c>
      <c r="D2703" t="n">
        <v>5052</v>
      </c>
      <c r="E2703" t="s">
        <v>2693</v>
      </c>
      <c r="F2703" t="s"/>
      <c r="G2703" t="s"/>
      <c r="H2703" t="s"/>
      <c r="I2703" t="s"/>
      <c r="J2703" t="n">
        <v>0.743</v>
      </c>
      <c r="K2703" t="n">
        <v>0</v>
      </c>
      <c r="L2703" t="n">
        <v>0.722</v>
      </c>
      <c r="M2703" t="n">
        <v>0.278</v>
      </c>
    </row>
    <row r="2704" spans="1:13">
      <c r="A2704" s="1">
        <f>HYPERLINK("http://www.twitter.com/NathanBLawrence/status/955574947413479424", "955574947413479424")</f>
        <v/>
      </c>
      <c r="B2704" s="2" t="n">
        <v>43122.95596064815</v>
      </c>
      <c r="C2704" t="n">
        <v>2</v>
      </c>
      <c r="D2704" t="n">
        <v>0</v>
      </c>
      <c r="E2704" t="s">
        <v>2694</v>
      </c>
      <c r="F2704" t="s"/>
      <c r="G2704" t="s"/>
      <c r="H2704" t="s"/>
      <c r="I2704" t="s"/>
      <c r="J2704" t="n">
        <v>0.9278</v>
      </c>
      <c r="K2704" t="n">
        <v>0.07199999999999999</v>
      </c>
      <c r="L2704" t="n">
        <v>0.631</v>
      </c>
      <c r="M2704" t="n">
        <v>0.297</v>
      </c>
    </row>
    <row r="2705" spans="1:13">
      <c r="A2705" s="1">
        <f>HYPERLINK("http://www.twitter.com/NathanBLawrence/status/955559597636554752", "955559597636554752")</f>
        <v/>
      </c>
      <c r="B2705" s="2" t="n">
        <v>43122.91361111111</v>
      </c>
      <c r="C2705" t="n">
        <v>0</v>
      </c>
      <c r="D2705" t="n">
        <v>71</v>
      </c>
      <c r="E2705" t="s">
        <v>2695</v>
      </c>
      <c r="F2705" t="s"/>
      <c r="G2705" t="s"/>
      <c r="H2705" t="s"/>
      <c r="I2705" t="s"/>
      <c r="J2705" t="n">
        <v>0.9067</v>
      </c>
      <c r="K2705" t="n">
        <v>0</v>
      </c>
      <c r="L2705" t="n">
        <v>0.53</v>
      </c>
      <c r="M2705" t="n">
        <v>0.47</v>
      </c>
    </row>
    <row r="2706" spans="1:13">
      <c r="A2706" s="1">
        <f>HYPERLINK("http://www.twitter.com/NathanBLawrence/status/955549999206715392", "955549999206715392")</f>
        <v/>
      </c>
      <c r="B2706" s="2" t="n">
        <v>43122.88711805556</v>
      </c>
      <c r="C2706" t="n">
        <v>0</v>
      </c>
      <c r="D2706" t="n">
        <v>709</v>
      </c>
      <c r="E2706" t="s">
        <v>2696</v>
      </c>
      <c r="F2706" t="s"/>
      <c r="G2706" t="s"/>
      <c r="H2706" t="s"/>
      <c r="I2706" t="s"/>
      <c r="J2706" t="n">
        <v>0</v>
      </c>
      <c r="K2706" t="n">
        <v>0</v>
      </c>
      <c r="L2706" t="n">
        <v>1</v>
      </c>
      <c r="M2706" t="n">
        <v>0</v>
      </c>
    </row>
    <row r="2707" spans="1:13">
      <c r="A2707" s="1">
        <f>HYPERLINK("http://www.twitter.com/NathanBLawrence/status/955524963833823232", "955524963833823232")</f>
        <v/>
      </c>
      <c r="B2707" s="2" t="n">
        <v>43122.81803240741</v>
      </c>
      <c r="C2707" t="n">
        <v>41</v>
      </c>
      <c r="D2707" t="n">
        <v>41</v>
      </c>
      <c r="E2707" t="s">
        <v>2697</v>
      </c>
      <c r="F2707">
        <f>HYPERLINK("http://pbs.twimg.com/media/DUK03GeWsAAAQuz.jpg", "http://pbs.twimg.com/media/DUK03GeWsAAAQuz.jpg")</f>
        <v/>
      </c>
      <c r="G2707" t="s"/>
      <c r="H2707" t="s"/>
      <c r="I2707" t="s"/>
      <c r="J2707" t="n">
        <v>0.0173</v>
      </c>
      <c r="K2707" t="n">
        <v>0.134</v>
      </c>
      <c r="L2707" t="n">
        <v>0.731</v>
      </c>
      <c r="M2707" t="n">
        <v>0.135</v>
      </c>
    </row>
    <row r="2708" spans="1:13">
      <c r="A2708" s="1">
        <f>HYPERLINK("http://www.twitter.com/NathanBLawrence/status/955294961368555520", "955294961368555520")</f>
        <v/>
      </c>
      <c r="B2708" s="2" t="n">
        <v>43122.1833449074</v>
      </c>
      <c r="C2708" t="n">
        <v>0</v>
      </c>
      <c r="D2708" t="n">
        <v>1077</v>
      </c>
      <c r="E2708" t="s">
        <v>2698</v>
      </c>
      <c r="F2708">
        <f>HYPERLINK("http://pbs.twimg.com/media/DUHCilSWsAAo9kh.jpg", "http://pbs.twimg.com/media/DUHCilSWsAAo9kh.jpg")</f>
        <v/>
      </c>
      <c r="G2708">
        <f>HYPERLINK("http://pbs.twimg.com/media/DUHCj2kW4AArXN3.jpg", "http://pbs.twimg.com/media/DUHCj2kW4AArXN3.jpg")</f>
        <v/>
      </c>
      <c r="H2708">
        <f>HYPERLINK("http://pbs.twimg.com/media/DUHCk5RWsAADwm3.jpg", "http://pbs.twimg.com/media/DUHCk5RWsAADwm3.jpg")</f>
        <v/>
      </c>
      <c r="I2708">
        <f>HYPERLINK("http://pbs.twimg.com/media/DUHClzDXcAE5btV.jpg", "http://pbs.twimg.com/media/DUHClzDXcAE5btV.jpg")</f>
        <v/>
      </c>
      <c r="J2708" t="n">
        <v>0.5093</v>
      </c>
      <c r="K2708" t="n">
        <v>0</v>
      </c>
      <c r="L2708" t="n">
        <v>0.864</v>
      </c>
      <c r="M2708" t="n">
        <v>0.136</v>
      </c>
    </row>
    <row r="2709" spans="1:13">
      <c r="A2709" s="1">
        <f>HYPERLINK("http://www.twitter.com/NathanBLawrence/status/955294410144649216", "955294410144649216")</f>
        <v/>
      </c>
      <c r="B2709" s="2" t="n">
        <v>43122.1818287037</v>
      </c>
      <c r="C2709" t="n">
        <v>0</v>
      </c>
      <c r="D2709" t="n">
        <v>6419</v>
      </c>
      <c r="E2709" t="s">
        <v>2699</v>
      </c>
      <c r="F2709" t="s"/>
      <c r="G2709" t="s"/>
      <c r="H2709" t="s"/>
      <c r="I2709" t="s"/>
      <c r="J2709" t="n">
        <v>0.0258</v>
      </c>
      <c r="K2709" t="n">
        <v>0.133</v>
      </c>
      <c r="L2709" t="n">
        <v>0.727</v>
      </c>
      <c r="M2709" t="n">
        <v>0.139</v>
      </c>
    </row>
    <row r="2710" spans="1:13">
      <c r="A2710" s="1">
        <f>HYPERLINK("http://www.twitter.com/NathanBLawrence/status/955294086659002368", "955294086659002368")</f>
        <v/>
      </c>
      <c r="B2710" s="2" t="n">
        <v>43122.1809375</v>
      </c>
      <c r="C2710" t="n">
        <v>0</v>
      </c>
      <c r="D2710" t="n">
        <v>3857</v>
      </c>
      <c r="E2710" t="s">
        <v>2700</v>
      </c>
      <c r="F2710" t="s"/>
      <c r="G2710" t="s"/>
      <c r="H2710" t="s"/>
      <c r="I2710" t="s"/>
      <c r="J2710" t="n">
        <v>-0.2617</v>
      </c>
      <c r="K2710" t="n">
        <v>0.154</v>
      </c>
      <c r="L2710" t="n">
        <v>0.724</v>
      </c>
      <c r="M2710" t="n">
        <v>0.121</v>
      </c>
    </row>
    <row r="2711" spans="1:13">
      <c r="A2711" s="1">
        <f>HYPERLINK("http://www.twitter.com/NathanBLawrence/status/955293097591746561", "955293097591746561")</f>
        <v/>
      </c>
      <c r="B2711" s="2" t="n">
        <v>43122.17820601852</v>
      </c>
      <c r="C2711" t="n">
        <v>0</v>
      </c>
      <c r="D2711" t="n">
        <v>38</v>
      </c>
      <c r="E2711" t="s">
        <v>2701</v>
      </c>
      <c r="F2711">
        <f>HYPERLINK("http://pbs.twimg.com/media/DUHgm6rUMAAX0qq.jpg", "http://pbs.twimg.com/media/DUHgm6rUMAAX0qq.jpg")</f>
        <v/>
      </c>
      <c r="G2711" t="s"/>
      <c r="H2711" t="s"/>
      <c r="I2711" t="s"/>
      <c r="J2711" t="n">
        <v>0</v>
      </c>
      <c r="K2711" t="n">
        <v>0</v>
      </c>
      <c r="L2711" t="n">
        <v>1</v>
      </c>
      <c r="M2711" t="n">
        <v>0</v>
      </c>
    </row>
    <row r="2712" spans="1:13">
      <c r="A2712" s="1">
        <f>HYPERLINK("http://www.twitter.com/NathanBLawrence/status/955256008334544896", "955256008334544896")</f>
        <v/>
      </c>
      <c r="B2712" s="2" t="n">
        <v>43122.07585648148</v>
      </c>
      <c r="C2712" t="n">
        <v>0</v>
      </c>
      <c r="D2712" t="n">
        <v>1586</v>
      </c>
      <c r="E2712" t="s">
        <v>2702</v>
      </c>
      <c r="F2712">
        <f>HYPERLINK("http://pbs.twimg.com/media/DUG71uwW0AA18Uo.jpg", "http://pbs.twimg.com/media/DUG71uwW0AA18Uo.jpg")</f>
        <v/>
      </c>
      <c r="G2712" t="s"/>
      <c r="H2712" t="s"/>
      <c r="I2712" t="s"/>
      <c r="J2712" t="n">
        <v>0.6588000000000001</v>
      </c>
      <c r="K2712" t="n">
        <v>0</v>
      </c>
      <c r="L2712" t="n">
        <v>0.672</v>
      </c>
      <c r="M2712" t="n">
        <v>0.328</v>
      </c>
    </row>
    <row r="2713" spans="1:13">
      <c r="A2713" s="1">
        <f>HYPERLINK("http://www.twitter.com/NathanBLawrence/status/955255756126814208", "955255756126814208")</f>
        <v/>
      </c>
      <c r="B2713" s="2" t="n">
        <v>43122.07516203704</v>
      </c>
      <c r="C2713" t="n">
        <v>0</v>
      </c>
      <c r="D2713" t="n">
        <v>258</v>
      </c>
      <c r="E2713" t="s">
        <v>2703</v>
      </c>
      <c r="F2713" t="s"/>
      <c r="G2713" t="s"/>
      <c r="H2713" t="s"/>
      <c r="I2713" t="s"/>
      <c r="J2713" t="n">
        <v>-0.5367</v>
      </c>
      <c r="K2713" t="n">
        <v>0.118</v>
      </c>
      <c r="L2713" t="n">
        <v>0.882</v>
      </c>
      <c r="M2713" t="n">
        <v>0</v>
      </c>
    </row>
    <row r="2714" spans="1:13">
      <c r="A2714" s="1">
        <f>HYPERLINK("http://www.twitter.com/NathanBLawrence/status/955226673380720642", "955226673380720642")</f>
        <v/>
      </c>
      <c r="B2714" s="2" t="n">
        <v>43121.99490740741</v>
      </c>
      <c r="C2714" t="n">
        <v>0</v>
      </c>
      <c r="D2714" t="n">
        <v>2722</v>
      </c>
      <c r="E2714" t="s">
        <v>2704</v>
      </c>
      <c r="F2714">
        <f>HYPERLINK("http://pbs.twimg.com/media/DUBq2IDWkAAgCBw.jpg", "http://pbs.twimg.com/media/DUBq2IDWkAAgCBw.jpg")</f>
        <v/>
      </c>
      <c r="G2714">
        <f>HYPERLINK("http://pbs.twimg.com/media/DUBq2xGWkAUR9Pi.jpg", "http://pbs.twimg.com/media/DUBq2xGWkAUR9Pi.jpg")</f>
        <v/>
      </c>
      <c r="H2714" t="s"/>
      <c r="I2714" t="s"/>
      <c r="J2714" t="n">
        <v>0.5622</v>
      </c>
      <c r="K2714" t="n">
        <v>0</v>
      </c>
      <c r="L2714" t="n">
        <v>0.864</v>
      </c>
      <c r="M2714" t="n">
        <v>0.136</v>
      </c>
    </row>
    <row r="2715" spans="1:13">
      <c r="A2715" s="1">
        <f>HYPERLINK("http://www.twitter.com/NathanBLawrence/status/955218937624621057", "955218937624621057")</f>
        <v/>
      </c>
      <c r="B2715" s="2" t="n">
        <v>43121.97356481481</v>
      </c>
      <c r="C2715" t="n">
        <v>0</v>
      </c>
      <c r="D2715" t="n">
        <v>286</v>
      </c>
      <c r="E2715" t="s">
        <v>2705</v>
      </c>
      <c r="F2715">
        <f>HYPERLINK("http://pbs.twimg.com/media/DUFRDnXV4AErBnT.jpg", "http://pbs.twimg.com/media/DUFRDnXV4AErBnT.jpg")</f>
        <v/>
      </c>
      <c r="G2715" t="s"/>
      <c r="H2715" t="s"/>
      <c r="I2715" t="s"/>
      <c r="J2715" t="n">
        <v>0.7425</v>
      </c>
      <c r="K2715" t="n">
        <v>0</v>
      </c>
      <c r="L2715" t="n">
        <v>0.799</v>
      </c>
      <c r="M2715" t="n">
        <v>0.201</v>
      </c>
    </row>
    <row r="2716" spans="1:13">
      <c r="A2716" s="1">
        <f>HYPERLINK("http://www.twitter.com/NathanBLawrence/status/955169419076034560", "955169419076034560")</f>
        <v/>
      </c>
      <c r="B2716" s="2" t="n">
        <v>43121.83692129629</v>
      </c>
      <c r="C2716" t="n">
        <v>0</v>
      </c>
      <c r="D2716" t="n">
        <v>5721</v>
      </c>
      <c r="E2716" t="s">
        <v>2706</v>
      </c>
      <c r="F2716" t="s"/>
      <c r="G2716" t="s"/>
      <c r="H2716" t="s"/>
      <c r="I2716" t="s"/>
      <c r="J2716" t="n">
        <v>-0.8401999999999999</v>
      </c>
      <c r="K2716" t="n">
        <v>0.333</v>
      </c>
      <c r="L2716" t="n">
        <v>0.667</v>
      </c>
      <c r="M2716" t="n">
        <v>0</v>
      </c>
    </row>
    <row r="2717" spans="1:13">
      <c r="A2717" s="1">
        <f>HYPERLINK("http://www.twitter.com/NathanBLawrence/status/955146853242327040", "955146853242327040")</f>
        <v/>
      </c>
      <c r="B2717" s="2" t="n">
        <v>43121.77465277778</v>
      </c>
      <c r="C2717" t="n">
        <v>0</v>
      </c>
      <c r="D2717" t="n">
        <v>26</v>
      </c>
      <c r="E2717" t="s">
        <v>2707</v>
      </c>
      <c r="F2717" t="s"/>
      <c r="G2717" t="s"/>
      <c r="H2717" t="s"/>
      <c r="I2717" t="s"/>
      <c r="J2717" t="n">
        <v>-0.296</v>
      </c>
      <c r="K2717" t="n">
        <v>0.095</v>
      </c>
      <c r="L2717" t="n">
        <v>0.905</v>
      </c>
      <c r="M2717" t="n">
        <v>0</v>
      </c>
    </row>
    <row r="2718" spans="1:13">
      <c r="A2718" s="1">
        <f>HYPERLINK("http://www.twitter.com/NathanBLawrence/status/955143295923040256", "955143295923040256")</f>
        <v/>
      </c>
      <c r="B2718" s="2" t="n">
        <v>43121.76483796296</v>
      </c>
      <c r="C2718" t="n">
        <v>0</v>
      </c>
      <c r="D2718" t="n">
        <v>8309</v>
      </c>
      <c r="E2718" t="s">
        <v>2708</v>
      </c>
      <c r="F2718">
        <f>HYPERLINK("http://pbs.twimg.com/media/DHhh4KYUIAQO0fq.jpg", "http://pbs.twimg.com/media/DHhh4KYUIAQO0fq.jpg")</f>
        <v/>
      </c>
      <c r="G2718" t="s"/>
      <c r="H2718" t="s"/>
      <c r="I2718" t="s"/>
      <c r="J2718" t="n">
        <v>0.4019</v>
      </c>
      <c r="K2718" t="n">
        <v>0</v>
      </c>
      <c r="L2718" t="n">
        <v>0.769</v>
      </c>
      <c r="M2718" t="n">
        <v>0.231</v>
      </c>
    </row>
    <row r="2719" spans="1:13">
      <c r="A2719" s="1">
        <f>HYPERLINK("http://www.twitter.com/NathanBLawrence/status/955142430902366209", "955142430902366209")</f>
        <v/>
      </c>
      <c r="B2719" s="2" t="n">
        <v>43121.76244212963</v>
      </c>
      <c r="C2719" t="n">
        <v>0</v>
      </c>
      <c r="D2719" t="n">
        <v>46089</v>
      </c>
      <c r="E2719" t="s">
        <v>2709</v>
      </c>
      <c r="F2719" t="s"/>
      <c r="G2719" t="s"/>
      <c r="H2719" t="s"/>
      <c r="I2719" t="s"/>
      <c r="J2719" t="n">
        <v>0.1779</v>
      </c>
      <c r="K2719" t="n">
        <v>0.223</v>
      </c>
      <c r="L2719" t="n">
        <v>0.534</v>
      </c>
      <c r="M2719" t="n">
        <v>0.243</v>
      </c>
    </row>
    <row r="2720" spans="1:13">
      <c r="A2720" s="1">
        <f>HYPERLINK("http://www.twitter.com/NathanBLawrence/status/955141750363951105", "955141750363951105")</f>
        <v/>
      </c>
      <c r="B2720" s="2" t="n">
        <v>43121.76056712963</v>
      </c>
      <c r="C2720" t="n">
        <v>0</v>
      </c>
      <c r="D2720" t="n">
        <v>305</v>
      </c>
      <c r="E2720" t="s">
        <v>2710</v>
      </c>
      <c r="F2720">
        <f>HYPERLINK("http://pbs.twimg.com/media/DUFWUibU8AAwW3N.jpg", "http://pbs.twimg.com/media/DUFWUibU8AAwW3N.jpg")</f>
        <v/>
      </c>
      <c r="G2720" t="s"/>
      <c r="H2720" t="s"/>
      <c r="I2720" t="s"/>
      <c r="J2720" t="n">
        <v>0</v>
      </c>
      <c r="K2720" t="n">
        <v>0</v>
      </c>
      <c r="L2720" t="n">
        <v>1</v>
      </c>
      <c r="M2720" t="n">
        <v>0</v>
      </c>
    </row>
    <row r="2721" spans="1:13">
      <c r="A2721" s="1">
        <f>HYPERLINK("http://www.twitter.com/NathanBLawrence/status/955141365637304320", "955141365637304320")</f>
        <v/>
      </c>
      <c r="B2721" s="2" t="n">
        <v>43121.75950231482</v>
      </c>
      <c r="C2721" t="n">
        <v>0</v>
      </c>
      <c r="D2721" t="n">
        <v>602</v>
      </c>
      <c r="E2721" t="s">
        <v>2711</v>
      </c>
      <c r="F2721" t="s"/>
      <c r="G2721" t="s"/>
      <c r="H2721" t="s"/>
      <c r="I2721" t="s"/>
      <c r="J2721" t="n">
        <v>0</v>
      </c>
      <c r="K2721" t="n">
        <v>0</v>
      </c>
      <c r="L2721" t="n">
        <v>1</v>
      </c>
      <c r="M2721" t="n">
        <v>0</v>
      </c>
    </row>
    <row r="2722" spans="1:13">
      <c r="A2722" s="1">
        <f>HYPERLINK("http://www.twitter.com/NathanBLawrence/status/955044549658927104", "955044549658927104")</f>
        <v/>
      </c>
      <c r="B2722" s="2" t="n">
        <v>43121.49234953704</v>
      </c>
      <c r="C2722" t="n">
        <v>0</v>
      </c>
      <c r="D2722" t="n">
        <v>7</v>
      </c>
      <c r="E2722" t="s">
        <v>2712</v>
      </c>
      <c r="F2722">
        <f>HYPERLINK("https://video.twimg.com/ext_tw_video/954601812522295296/pu/vid/386x360/EbeXaeKX4xLrOViU.mp4", "https://video.twimg.com/ext_tw_video/954601812522295296/pu/vid/386x360/EbeXaeKX4xLrOViU.mp4")</f>
        <v/>
      </c>
      <c r="G2722" t="s"/>
      <c r="H2722" t="s"/>
      <c r="I2722" t="s"/>
      <c r="J2722" t="n">
        <v>0</v>
      </c>
      <c r="K2722" t="n">
        <v>0</v>
      </c>
      <c r="L2722" t="n">
        <v>1</v>
      </c>
      <c r="M2722" t="n">
        <v>0</v>
      </c>
    </row>
    <row r="2723" spans="1:13">
      <c r="A2723" s="1">
        <f>HYPERLINK("http://www.twitter.com/NathanBLawrence/status/955039154865352704", "955039154865352704")</f>
        <v/>
      </c>
      <c r="B2723" s="2" t="n">
        <v>43121.4774537037</v>
      </c>
      <c r="C2723" t="n">
        <v>0</v>
      </c>
      <c r="D2723" t="n">
        <v>198</v>
      </c>
      <c r="E2723" t="s">
        <v>2713</v>
      </c>
      <c r="F2723" t="s"/>
      <c r="G2723" t="s"/>
      <c r="H2723" t="s"/>
      <c r="I2723" t="s"/>
      <c r="J2723" t="n">
        <v>0.4466</v>
      </c>
      <c r="K2723" t="n">
        <v>0.101</v>
      </c>
      <c r="L2723" t="n">
        <v>0.716</v>
      </c>
      <c r="M2723" t="n">
        <v>0.183</v>
      </c>
    </row>
    <row r="2724" spans="1:13">
      <c r="A2724" s="1">
        <f>HYPERLINK("http://www.twitter.com/NathanBLawrence/status/954968598669389824", "954968598669389824")</f>
        <v/>
      </c>
      <c r="B2724" s="2" t="n">
        <v>43121.2827662037</v>
      </c>
      <c r="C2724" t="n">
        <v>0</v>
      </c>
      <c r="D2724" t="n">
        <v>352</v>
      </c>
      <c r="E2724" t="s">
        <v>2714</v>
      </c>
      <c r="F2724" t="s"/>
      <c r="G2724" t="s"/>
      <c r="H2724" t="s"/>
      <c r="I2724" t="s"/>
      <c r="J2724" t="n">
        <v>-0.8225</v>
      </c>
      <c r="K2724" t="n">
        <v>0.323</v>
      </c>
      <c r="L2724" t="n">
        <v>0.677</v>
      </c>
      <c r="M2724" t="n">
        <v>0</v>
      </c>
    </row>
    <row r="2725" spans="1:13">
      <c r="A2725" s="1">
        <f>HYPERLINK("http://www.twitter.com/NathanBLawrence/status/954954387385970688", "954954387385970688")</f>
        <v/>
      </c>
      <c r="B2725" s="2" t="n">
        <v>43121.24354166666</v>
      </c>
      <c r="C2725" t="n">
        <v>0</v>
      </c>
      <c r="D2725" t="n">
        <v>364</v>
      </c>
      <c r="E2725" t="s">
        <v>2715</v>
      </c>
      <c r="F2725" t="s"/>
      <c r="G2725" t="s"/>
      <c r="H2725" t="s"/>
      <c r="I2725" t="s"/>
      <c r="J2725" t="n">
        <v>-0.802</v>
      </c>
      <c r="K2725" t="n">
        <v>0.353</v>
      </c>
      <c r="L2725" t="n">
        <v>0.647</v>
      </c>
      <c r="M2725" t="n">
        <v>0</v>
      </c>
    </row>
    <row r="2726" spans="1:13">
      <c r="A2726" s="1">
        <f>HYPERLINK("http://www.twitter.com/NathanBLawrence/status/954950116804300802", "954950116804300802")</f>
        <v/>
      </c>
      <c r="B2726" s="2" t="n">
        <v>43121.23175925926</v>
      </c>
      <c r="C2726" t="n">
        <v>0</v>
      </c>
      <c r="D2726" t="n">
        <v>2354</v>
      </c>
      <c r="E2726" t="s">
        <v>2716</v>
      </c>
      <c r="F2726" t="s"/>
      <c r="G2726" t="s"/>
      <c r="H2726" t="s"/>
      <c r="I2726" t="s"/>
      <c r="J2726" t="n">
        <v>-0.9118000000000001</v>
      </c>
      <c r="K2726" t="n">
        <v>0.43</v>
      </c>
      <c r="L2726" t="n">
        <v>0.57</v>
      </c>
      <c r="M2726" t="n">
        <v>0</v>
      </c>
    </row>
    <row r="2727" spans="1:13">
      <c r="A2727" s="1">
        <f>HYPERLINK("http://www.twitter.com/NathanBLawrence/status/954949665417584640", "954949665417584640")</f>
        <v/>
      </c>
      <c r="B2727" s="2" t="n">
        <v>43121.23050925926</v>
      </c>
      <c r="C2727" t="n">
        <v>0</v>
      </c>
      <c r="D2727" t="n">
        <v>53</v>
      </c>
      <c r="E2727" t="s">
        <v>2717</v>
      </c>
      <c r="F2727">
        <f>HYPERLINK("http://pbs.twimg.com/media/DUBzLV3X4AAgcBm.jpg", "http://pbs.twimg.com/media/DUBzLV3X4AAgcBm.jpg")</f>
        <v/>
      </c>
      <c r="G2727" t="s"/>
      <c r="H2727" t="s"/>
      <c r="I2727" t="s"/>
      <c r="J2727" t="n">
        <v>0.4574</v>
      </c>
      <c r="K2727" t="n">
        <v>0</v>
      </c>
      <c r="L2727" t="n">
        <v>0.864</v>
      </c>
      <c r="M2727" t="n">
        <v>0.136</v>
      </c>
    </row>
    <row r="2728" spans="1:13">
      <c r="A2728" s="1">
        <f>HYPERLINK("http://www.twitter.com/NathanBLawrence/status/954928910076121093", "954928910076121093")</f>
        <v/>
      </c>
      <c r="B2728" s="2" t="n">
        <v>43121.17324074074</v>
      </c>
      <c r="C2728" t="n">
        <v>0</v>
      </c>
      <c r="D2728" t="n">
        <v>1</v>
      </c>
      <c r="E2728" t="s">
        <v>2718</v>
      </c>
      <c r="F2728" t="s"/>
      <c r="G2728" t="s"/>
      <c r="H2728" t="s"/>
      <c r="I2728" t="s"/>
      <c r="J2728" t="n">
        <v>-0.8658</v>
      </c>
      <c r="K2728" t="n">
        <v>0.618</v>
      </c>
      <c r="L2728" t="n">
        <v>0.382</v>
      </c>
      <c r="M2728" t="n">
        <v>0</v>
      </c>
    </row>
    <row r="2729" spans="1:13">
      <c r="A2729" s="1">
        <f>HYPERLINK("http://www.twitter.com/NathanBLawrence/status/954928598770700291", "954928598770700291")</f>
        <v/>
      </c>
      <c r="B2729" s="2" t="n">
        <v>43121.17238425926</v>
      </c>
      <c r="C2729" t="n">
        <v>0</v>
      </c>
      <c r="D2729" t="n">
        <v>1</v>
      </c>
      <c r="E2729" t="s">
        <v>2719</v>
      </c>
      <c r="F2729" t="s"/>
      <c r="G2729" t="s"/>
      <c r="H2729" t="s"/>
      <c r="I2729" t="s"/>
      <c r="J2729" t="n">
        <v>-0.7925</v>
      </c>
      <c r="K2729" t="n">
        <v>0.251</v>
      </c>
      <c r="L2729" t="n">
        <v>0.749</v>
      </c>
      <c r="M2729" t="n">
        <v>0</v>
      </c>
    </row>
    <row r="2730" spans="1:13">
      <c r="A2730" s="1">
        <f>HYPERLINK("http://www.twitter.com/NathanBLawrence/status/954928200198623232", "954928200198623232")</f>
        <v/>
      </c>
      <c r="B2730" s="2" t="n">
        <v>43121.17128472222</v>
      </c>
      <c r="C2730" t="n">
        <v>0</v>
      </c>
      <c r="D2730" t="n">
        <v>1</v>
      </c>
      <c r="E2730" t="s">
        <v>2720</v>
      </c>
      <c r="F2730" t="s"/>
      <c r="G2730" t="s"/>
      <c r="H2730" t="s"/>
      <c r="I2730" t="s"/>
      <c r="J2730" t="n">
        <v>-0.296</v>
      </c>
      <c r="K2730" t="n">
        <v>0.203</v>
      </c>
      <c r="L2730" t="n">
        <v>0.633</v>
      </c>
      <c r="M2730" t="n">
        <v>0.163</v>
      </c>
    </row>
    <row r="2731" spans="1:13">
      <c r="A2731" s="1">
        <f>HYPERLINK("http://www.twitter.com/NathanBLawrence/status/954927904999268352", "954927904999268352")</f>
        <v/>
      </c>
      <c r="B2731" s="2" t="n">
        <v>43121.17046296296</v>
      </c>
      <c r="C2731" t="n">
        <v>0</v>
      </c>
      <c r="D2731" t="n">
        <v>3</v>
      </c>
      <c r="E2731" t="s">
        <v>2721</v>
      </c>
      <c r="F2731" t="s"/>
      <c r="G2731" t="s"/>
      <c r="H2731" t="s"/>
      <c r="I2731" t="s"/>
      <c r="J2731" t="n">
        <v>-0.8250999999999999</v>
      </c>
      <c r="K2731" t="n">
        <v>0.298</v>
      </c>
      <c r="L2731" t="n">
        <v>0.702</v>
      </c>
      <c r="M2731" t="n">
        <v>0</v>
      </c>
    </row>
    <row r="2732" spans="1:13">
      <c r="A2732" s="1">
        <f>HYPERLINK("http://www.twitter.com/NathanBLawrence/status/954925677555453953", "954925677555453953")</f>
        <v/>
      </c>
      <c r="B2732" s="2" t="n">
        <v>43121.16431712963</v>
      </c>
      <c r="C2732" t="n">
        <v>0</v>
      </c>
      <c r="D2732" t="n">
        <v>1595</v>
      </c>
      <c r="E2732" t="s">
        <v>2722</v>
      </c>
      <c r="F2732" t="s"/>
      <c r="G2732" t="s"/>
      <c r="H2732" t="s"/>
      <c r="I2732" t="s"/>
      <c r="J2732" t="n">
        <v>0</v>
      </c>
      <c r="K2732" t="n">
        <v>0</v>
      </c>
      <c r="L2732" t="n">
        <v>1</v>
      </c>
      <c r="M2732" t="n">
        <v>0</v>
      </c>
    </row>
    <row r="2733" spans="1:13">
      <c r="A2733" s="1">
        <f>HYPERLINK("http://www.twitter.com/NathanBLawrence/status/954922836577128448", "954922836577128448")</f>
        <v/>
      </c>
      <c r="B2733" s="2" t="n">
        <v>43121.15648148148</v>
      </c>
      <c r="C2733" t="n">
        <v>0</v>
      </c>
      <c r="D2733" t="n">
        <v>22</v>
      </c>
      <c r="E2733" t="s">
        <v>2723</v>
      </c>
      <c r="F2733">
        <f>HYPERLINK("http://pbs.twimg.com/media/DUApDtcW0AE8Be3.jpg", "http://pbs.twimg.com/media/DUApDtcW0AE8Be3.jpg")</f>
        <v/>
      </c>
      <c r="G2733" t="s"/>
      <c r="H2733" t="s"/>
      <c r="I2733" t="s"/>
      <c r="J2733" t="n">
        <v>-0.7717000000000001</v>
      </c>
      <c r="K2733" t="n">
        <v>0.271</v>
      </c>
      <c r="L2733" t="n">
        <v>0.729</v>
      </c>
      <c r="M2733" t="n">
        <v>0</v>
      </c>
    </row>
    <row r="2734" spans="1:13">
      <c r="A2734" s="1">
        <f>HYPERLINK("http://www.twitter.com/NathanBLawrence/status/954911529048133632", "954911529048133632")</f>
        <v/>
      </c>
      <c r="B2734" s="2" t="n">
        <v>43121.12527777778</v>
      </c>
      <c r="C2734" t="n">
        <v>0</v>
      </c>
      <c r="D2734" t="n">
        <v>6338</v>
      </c>
      <c r="E2734" t="s">
        <v>2724</v>
      </c>
      <c r="F2734" t="s"/>
      <c r="G2734" t="s"/>
      <c r="H2734" t="s"/>
      <c r="I2734" t="s"/>
      <c r="J2734" t="n">
        <v>0.34</v>
      </c>
      <c r="K2734" t="n">
        <v>0</v>
      </c>
      <c r="L2734" t="n">
        <v>0.893</v>
      </c>
      <c r="M2734" t="n">
        <v>0.107</v>
      </c>
    </row>
    <row r="2735" spans="1:13">
      <c r="A2735" s="1">
        <f>HYPERLINK("http://www.twitter.com/NathanBLawrence/status/954910614190772224", "954910614190772224")</f>
        <v/>
      </c>
      <c r="B2735" s="2" t="n">
        <v>43121.12275462963</v>
      </c>
      <c r="C2735" t="n">
        <v>0</v>
      </c>
      <c r="D2735" t="n">
        <v>14312</v>
      </c>
      <c r="E2735" t="s">
        <v>2725</v>
      </c>
      <c r="F2735" t="s"/>
      <c r="G2735" t="s"/>
      <c r="H2735" t="s"/>
      <c r="I2735" t="s"/>
      <c r="J2735" t="n">
        <v>0.3612</v>
      </c>
      <c r="K2735" t="n">
        <v>0</v>
      </c>
      <c r="L2735" t="n">
        <v>0.884</v>
      </c>
      <c r="M2735" t="n">
        <v>0.116</v>
      </c>
    </row>
    <row r="2736" spans="1:13">
      <c r="A2736" s="1">
        <f>HYPERLINK("http://www.twitter.com/NathanBLawrence/status/954836632783474690", "954836632783474690")</f>
        <v/>
      </c>
      <c r="B2736" s="2" t="n">
        <v>43120.91859953704</v>
      </c>
      <c r="C2736" t="n">
        <v>0</v>
      </c>
      <c r="D2736" t="n">
        <v>2877</v>
      </c>
      <c r="E2736" t="s">
        <v>2726</v>
      </c>
      <c r="F2736">
        <f>HYPERLINK("https://video.twimg.com/ext_tw_video/954763881565564928/pu/vid/1280x720/opFdUAyBPALSfcLp.mp4", "https://video.twimg.com/ext_tw_video/954763881565564928/pu/vid/1280x720/opFdUAyBPALSfcLp.mp4")</f>
        <v/>
      </c>
      <c r="G2736" t="s"/>
      <c r="H2736" t="s"/>
      <c r="I2736" t="s"/>
      <c r="J2736" t="n">
        <v>0</v>
      </c>
      <c r="K2736" t="n">
        <v>0</v>
      </c>
      <c r="L2736" t="n">
        <v>1</v>
      </c>
      <c r="M2736" t="n">
        <v>0</v>
      </c>
    </row>
    <row r="2737" spans="1:13">
      <c r="A2737" s="1">
        <f>HYPERLINK("http://www.twitter.com/NathanBLawrence/status/954835915347816449", "954835915347816449")</f>
        <v/>
      </c>
      <c r="B2737" s="2" t="n">
        <v>43120.91662037037</v>
      </c>
      <c r="C2737" t="n">
        <v>0</v>
      </c>
      <c r="D2737" t="n">
        <v>10922</v>
      </c>
      <c r="E2737" t="s">
        <v>2727</v>
      </c>
      <c r="F2737">
        <f>HYPERLINK("http://pbs.twimg.com/media/DUALpf5WkAAT2mC.jpg", "http://pbs.twimg.com/media/DUALpf5WkAAT2mC.jpg")</f>
        <v/>
      </c>
      <c r="G2737" t="s"/>
      <c r="H2737" t="s"/>
      <c r="I2737" t="s"/>
      <c r="J2737" t="n">
        <v>0</v>
      </c>
      <c r="K2737" t="n">
        <v>0</v>
      </c>
      <c r="L2737" t="n">
        <v>1</v>
      </c>
      <c r="M2737" t="n">
        <v>0</v>
      </c>
    </row>
    <row r="2738" spans="1:13">
      <c r="A2738" s="1">
        <f>HYPERLINK("http://www.twitter.com/NathanBLawrence/status/954835755616088064", "954835755616088064")</f>
        <v/>
      </c>
      <c r="B2738" s="2" t="n">
        <v>43120.91618055556</v>
      </c>
      <c r="C2738" t="n">
        <v>0</v>
      </c>
      <c r="D2738" t="n">
        <v>14179</v>
      </c>
      <c r="E2738" t="s">
        <v>2728</v>
      </c>
      <c r="F2738" t="s"/>
      <c r="G2738" t="s"/>
      <c r="H2738" t="s"/>
      <c r="I2738" t="s"/>
      <c r="J2738" t="n">
        <v>0.8172</v>
      </c>
      <c r="K2738" t="n">
        <v>0</v>
      </c>
      <c r="L2738" t="n">
        <v>0.737</v>
      </c>
      <c r="M2738" t="n">
        <v>0.263</v>
      </c>
    </row>
    <row r="2739" spans="1:13">
      <c r="A2739" s="1">
        <f>HYPERLINK("http://www.twitter.com/NathanBLawrence/status/954834742477803522", "954834742477803522")</f>
        <v/>
      </c>
      <c r="B2739" s="2" t="n">
        <v>43120.91339120371</v>
      </c>
      <c r="C2739" t="n">
        <v>0</v>
      </c>
      <c r="D2739" t="n">
        <v>41</v>
      </c>
      <c r="E2739" t="s">
        <v>2729</v>
      </c>
      <c r="F2739">
        <f>HYPERLINK("http://pbs.twimg.com/media/DUAwAXoVAAInMsr.jpg", "http://pbs.twimg.com/media/DUAwAXoVAAInMsr.jpg")</f>
        <v/>
      </c>
      <c r="G2739" t="s"/>
      <c r="H2739" t="s"/>
      <c r="I2739" t="s"/>
      <c r="J2739" t="n">
        <v>0.7003</v>
      </c>
      <c r="K2739" t="n">
        <v>0</v>
      </c>
      <c r="L2739" t="n">
        <v>0.674</v>
      </c>
      <c r="M2739" t="n">
        <v>0.326</v>
      </c>
    </row>
    <row r="2740" spans="1:13">
      <c r="A2740" s="1">
        <f>HYPERLINK("http://www.twitter.com/NathanBLawrence/status/954834546238910472", "954834546238910472")</f>
        <v/>
      </c>
      <c r="B2740" s="2" t="n">
        <v>43120.91284722222</v>
      </c>
      <c r="C2740" t="n">
        <v>3</v>
      </c>
      <c r="D2740" t="n">
        <v>1</v>
      </c>
      <c r="E2740" t="s">
        <v>2730</v>
      </c>
      <c r="F2740" t="s"/>
      <c r="G2740" t="s"/>
      <c r="H2740" t="s"/>
      <c r="I2740" t="s"/>
      <c r="J2740" t="n">
        <v>0.6673</v>
      </c>
      <c r="K2740" t="n">
        <v>0</v>
      </c>
      <c r="L2740" t="n">
        <v>0.744</v>
      </c>
      <c r="M2740" t="n">
        <v>0.256</v>
      </c>
    </row>
    <row r="2741" spans="1:13">
      <c r="A2741" s="1">
        <f>HYPERLINK("http://www.twitter.com/NathanBLawrence/status/954800898269745152", "954800898269745152")</f>
        <v/>
      </c>
      <c r="B2741" s="2" t="n">
        <v>43120.82</v>
      </c>
      <c r="C2741" t="n">
        <v>4</v>
      </c>
      <c r="D2741" t="n">
        <v>2</v>
      </c>
      <c r="E2741" t="s">
        <v>2731</v>
      </c>
      <c r="F2741" t="s"/>
      <c r="G2741" t="s"/>
      <c r="H2741" t="s"/>
      <c r="I2741" t="s"/>
      <c r="J2741" t="n">
        <v>0.729</v>
      </c>
      <c r="K2741" t="n">
        <v>0.165</v>
      </c>
      <c r="L2741" t="n">
        <v>0.515</v>
      </c>
      <c r="M2741" t="n">
        <v>0.32</v>
      </c>
    </row>
    <row r="2742" spans="1:13">
      <c r="A2742" s="1">
        <f>HYPERLINK("http://www.twitter.com/NathanBLawrence/status/954794550857490432", "954794550857490432")</f>
        <v/>
      </c>
      <c r="B2742" s="2" t="n">
        <v>43120.80247685185</v>
      </c>
      <c r="C2742" t="n">
        <v>56</v>
      </c>
      <c r="D2742" t="n">
        <v>39</v>
      </c>
      <c r="E2742" t="s">
        <v>2732</v>
      </c>
      <c r="F2742" t="s"/>
      <c r="G2742" t="s"/>
      <c r="H2742" t="s"/>
      <c r="I2742" t="s"/>
      <c r="J2742" t="n">
        <v>-0.9772999999999999</v>
      </c>
      <c r="K2742" t="n">
        <v>0.408</v>
      </c>
      <c r="L2742" t="n">
        <v>0.531</v>
      </c>
      <c r="M2742" t="n">
        <v>0.061</v>
      </c>
    </row>
    <row r="2743" spans="1:13">
      <c r="A2743" s="1">
        <f>HYPERLINK("http://www.twitter.com/NathanBLawrence/status/954770565667213315", "954770565667213315")</f>
        <v/>
      </c>
      <c r="B2743" s="2" t="n">
        <v>43120.73629629629</v>
      </c>
      <c r="C2743" t="n">
        <v>4</v>
      </c>
      <c r="D2743" t="n">
        <v>0</v>
      </c>
      <c r="E2743" t="s">
        <v>2733</v>
      </c>
      <c r="F2743" t="s"/>
      <c r="G2743" t="s"/>
      <c r="H2743" t="s"/>
      <c r="I2743" t="s"/>
      <c r="J2743" t="n">
        <v>0.8070000000000001</v>
      </c>
      <c r="K2743" t="n">
        <v>0</v>
      </c>
      <c r="L2743" t="n">
        <v>0.354</v>
      </c>
      <c r="M2743" t="n">
        <v>0.646</v>
      </c>
    </row>
    <row r="2744" spans="1:13">
      <c r="A2744" s="1">
        <f>HYPERLINK("http://www.twitter.com/NathanBLawrence/status/954766477961367552", "954766477961367552")</f>
        <v/>
      </c>
      <c r="B2744" s="2" t="n">
        <v>43120.72501157408</v>
      </c>
      <c r="C2744" t="n">
        <v>0</v>
      </c>
      <c r="D2744" t="n">
        <v>20</v>
      </c>
      <c r="E2744" t="s">
        <v>2734</v>
      </c>
      <c r="F2744" t="s"/>
      <c r="G2744" t="s"/>
      <c r="H2744" t="s"/>
      <c r="I2744" t="s"/>
      <c r="J2744" t="n">
        <v>0.2003</v>
      </c>
      <c r="K2744" t="n">
        <v>0.065</v>
      </c>
      <c r="L2744" t="n">
        <v>0.834</v>
      </c>
      <c r="M2744" t="n">
        <v>0.102</v>
      </c>
    </row>
    <row r="2745" spans="1:13">
      <c r="A2745" s="1">
        <f>HYPERLINK("http://www.twitter.com/NathanBLawrence/status/954766427059302400", "954766427059302400")</f>
        <v/>
      </c>
      <c r="B2745" s="2" t="n">
        <v>43120.72487268518</v>
      </c>
      <c r="C2745" t="n">
        <v>1</v>
      </c>
      <c r="D2745" t="n">
        <v>0</v>
      </c>
      <c r="E2745" t="s">
        <v>2735</v>
      </c>
      <c r="F2745" t="s"/>
      <c r="G2745" t="s"/>
      <c r="H2745" t="s"/>
      <c r="I2745" t="s"/>
      <c r="J2745" t="n">
        <v>0</v>
      </c>
      <c r="K2745" t="n">
        <v>0</v>
      </c>
      <c r="L2745" t="n">
        <v>1</v>
      </c>
      <c r="M2745" t="n">
        <v>0</v>
      </c>
    </row>
    <row r="2746" spans="1:13">
      <c r="A2746" s="1">
        <f>HYPERLINK("http://www.twitter.com/NathanBLawrence/status/954765945746219008", "954765945746219008")</f>
        <v/>
      </c>
      <c r="B2746" s="2" t="n">
        <v>43120.72354166667</v>
      </c>
      <c r="C2746" t="n">
        <v>20</v>
      </c>
      <c r="D2746" t="n">
        <v>20</v>
      </c>
      <c r="E2746" t="s">
        <v>2736</v>
      </c>
      <c r="F2746" t="s"/>
      <c r="G2746" t="s"/>
      <c r="H2746" t="s"/>
      <c r="I2746" t="s"/>
      <c r="J2746" t="n">
        <v>-0.8972</v>
      </c>
      <c r="K2746" t="n">
        <v>0.319</v>
      </c>
      <c r="L2746" t="n">
        <v>0.511</v>
      </c>
      <c r="M2746" t="n">
        <v>0.171</v>
      </c>
    </row>
    <row r="2747" spans="1:13">
      <c r="A2747" s="1">
        <f>HYPERLINK("http://www.twitter.com/NathanBLawrence/status/954753013419204610", "954753013419204610")</f>
        <v/>
      </c>
      <c r="B2747" s="2" t="n">
        <v>43120.68785879629</v>
      </c>
      <c r="C2747" t="n">
        <v>0</v>
      </c>
      <c r="D2747" t="n">
        <v>19</v>
      </c>
      <c r="E2747" t="s">
        <v>2737</v>
      </c>
      <c r="F2747">
        <f>HYPERLINK("http://pbs.twimg.com/media/DT_2MYLX4AE0ewJ.jpg", "http://pbs.twimg.com/media/DT_2MYLX4AE0ewJ.jpg")</f>
        <v/>
      </c>
      <c r="G2747" t="s"/>
      <c r="H2747" t="s"/>
      <c r="I2747" t="s"/>
      <c r="J2747" t="n">
        <v>0</v>
      </c>
      <c r="K2747" t="n">
        <v>0</v>
      </c>
      <c r="L2747" t="n">
        <v>1</v>
      </c>
      <c r="M2747" t="n">
        <v>0</v>
      </c>
    </row>
    <row r="2748" spans="1:13">
      <c r="A2748" s="1">
        <f>HYPERLINK("http://www.twitter.com/NathanBLawrence/status/954749935265738753", "954749935265738753")</f>
        <v/>
      </c>
      <c r="B2748" s="2" t="n">
        <v>43120.67936342592</v>
      </c>
      <c r="C2748" t="n">
        <v>0</v>
      </c>
      <c r="D2748" t="n">
        <v>11</v>
      </c>
      <c r="E2748" t="s">
        <v>2738</v>
      </c>
      <c r="F2748">
        <f>HYPERLINK("http://pbs.twimg.com/media/DT_e1kfW0AAwC4p.jpg", "http://pbs.twimg.com/media/DT_e1kfW0AAwC4p.jpg")</f>
        <v/>
      </c>
      <c r="G2748" t="s"/>
      <c r="H2748" t="s"/>
      <c r="I2748" t="s"/>
      <c r="J2748" t="n">
        <v>-0.4215</v>
      </c>
      <c r="K2748" t="n">
        <v>0.318</v>
      </c>
      <c r="L2748" t="n">
        <v>0.6820000000000001</v>
      </c>
      <c r="M2748" t="n">
        <v>0</v>
      </c>
    </row>
    <row r="2749" spans="1:13">
      <c r="A2749" s="1">
        <f>HYPERLINK("http://www.twitter.com/NathanBLawrence/status/954743730669604865", "954743730669604865")</f>
        <v/>
      </c>
      <c r="B2749" s="2" t="n">
        <v>43120.66224537037</v>
      </c>
      <c r="C2749" t="n">
        <v>0</v>
      </c>
      <c r="D2749" t="n">
        <v>100</v>
      </c>
      <c r="E2749" t="s">
        <v>2739</v>
      </c>
      <c r="F2749">
        <f>HYPERLINK("http://pbs.twimg.com/media/DT7sTlBW4AA8tNW.jpg", "http://pbs.twimg.com/media/DT7sTlBW4AA8tNW.jpg")</f>
        <v/>
      </c>
      <c r="G2749" t="s"/>
      <c r="H2749" t="s"/>
      <c r="I2749" t="s"/>
      <c r="J2749" t="n">
        <v>0</v>
      </c>
      <c r="K2749" t="n">
        <v>0</v>
      </c>
      <c r="L2749" t="n">
        <v>1</v>
      </c>
      <c r="M2749" t="n">
        <v>0</v>
      </c>
    </row>
    <row r="2750" spans="1:13">
      <c r="A2750" s="1">
        <f>HYPERLINK("http://www.twitter.com/NathanBLawrence/status/954742751270141952", "954742751270141952")</f>
        <v/>
      </c>
      <c r="B2750" s="2" t="n">
        <v>43120.65953703703</v>
      </c>
      <c r="C2750" t="n">
        <v>0</v>
      </c>
      <c r="D2750" t="n">
        <v>68</v>
      </c>
      <c r="E2750" t="s">
        <v>2740</v>
      </c>
      <c r="F2750" t="s"/>
      <c r="G2750" t="s"/>
      <c r="H2750" t="s"/>
      <c r="I2750" t="s"/>
      <c r="J2750" t="n">
        <v>0.577</v>
      </c>
      <c r="K2750" t="n">
        <v>0</v>
      </c>
      <c r="L2750" t="n">
        <v>0.8</v>
      </c>
      <c r="M2750" t="n">
        <v>0.2</v>
      </c>
    </row>
    <row r="2751" spans="1:13">
      <c r="A2751" s="1">
        <f>HYPERLINK("http://www.twitter.com/NathanBLawrence/status/954742077820211201", "954742077820211201")</f>
        <v/>
      </c>
      <c r="B2751" s="2" t="n">
        <v>43120.65768518519</v>
      </c>
      <c r="C2751" t="n">
        <v>0</v>
      </c>
      <c r="D2751" t="n">
        <v>33</v>
      </c>
      <c r="E2751" t="s">
        <v>2741</v>
      </c>
      <c r="F2751">
        <f>HYPERLINK("http://pbs.twimg.com/media/DT_bdAHXcAIa1N3.jpg", "http://pbs.twimg.com/media/DT_bdAHXcAIa1N3.jpg")</f>
        <v/>
      </c>
      <c r="G2751" t="s"/>
      <c r="H2751" t="s"/>
      <c r="I2751" t="s"/>
      <c r="J2751" t="n">
        <v>0</v>
      </c>
      <c r="K2751" t="n">
        <v>0</v>
      </c>
      <c r="L2751" t="n">
        <v>1</v>
      </c>
      <c r="M2751" t="n">
        <v>0</v>
      </c>
    </row>
    <row r="2752" spans="1:13">
      <c r="A2752" s="1">
        <f>HYPERLINK("http://www.twitter.com/NathanBLawrence/status/954728880115519488", "954728880115519488")</f>
        <v/>
      </c>
      <c r="B2752" s="2" t="n">
        <v>43120.62126157407</v>
      </c>
      <c r="C2752" t="n">
        <v>54</v>
      </c>
      <c r="D2752" t="n">
        <v>55</v>
      </c>
      <c r="E2752" t="s">
        <v>2742</v>
      </c>
      <c r="F2752" t="s"/>
      <c r="G2752" t="s"/>
      <c r="H2752" t="s"/>
      <c r="I2752" t="s"/>
      <c r="J2752" t="n">
        <v>-0.6651</v>
      </c>
      <c r="K2752" t="n">
        <v>0.143</v>
      </c>
      <c r="L2752" t="n">
        <v>0.824</v>
      </c>
      <c r="M2752" t="n">
        <v>0.033</v>
      </c>
    </row>
    <row r="2753" spans="1:13">
      <c r="A2753" s="1">
        <f>HYPERLINK("http://www.twitter.com/NathanBLawrence/status/954619615296081920", "954619615296081920")</f>
        <v/>
      </c>
      <c r="B2753" s="2" t="n">
        <v>43120.31974537037</v>
      </c>
      <c r="C2753" t="n">
        <v>0</v>
      </c>
      <c r="D2753" t="n">
        <v>45</v>
      </c>
      <c r="E2753" t="s">
        <v>2743</v>
      </c>
      <c r="F2753">
        <f>HYPERLINK("https://video.twimg.com/ext_tw_video/954610850899398656/pu/vid/640x360/HPNdOFrweDalw7rG.mp4", "https://video.twimg.com/ext_tw_video/954610850899398656/pu/vid/640x360/HPNdOFrweDalw7rG.mp4")</f>
        <v/>
      </c>
      <c r="G2753" t="s"/>
      <c r="H2753" t="s"/>
      <c r="I2753" t="s"/>
      <c r="J2753" t="n">
        <v>-0.4019</v>
      </c>
      <c r="K2753" t="n">
        <v>0.137</v>
      </c>
      <c r="L2753" t="n">
        <v>0.863</v>
      </c>
      <c r="M2753" t="n">
        <v>0</v>
      </c>
    </row>
    <row r="2754" spans="1:13">
      <c r="A2754" s="1">
        <f>HYPERLINK("http://www.twitter.com/NathanBLawrence/status/954612164324716544", "954612164324716544")</f>
        <v/>
      </c>
      <c r="B2754" s="2" t="n">
        <v>43120.29918981482</v>
      </c>
      <c r="C2754" t="n">
        <v>0</v>
      </c>
      <c r="D2754" t="n">
        <v>23854</v>
      </c>
      <c r="E2754" t="s">
        <v>2744</v>
      </c>
      <c r="F2754" t="s"/>
      <c r="G2754" t="s"/>
      <c r="H2754" t="s"/>
      <c r="I2754" t="s"/>
      <c r="J2754" t="n">
        <v>-0.5574</v>
      </c>
      <c r="K2754" t="n">
        <v>0.167</v>
      </c>
      <c r="L2754" t="n">
        <v>0.833</v>
      </c>
      <c r="M2754" t="n">
        <v>0</v>
      </c>
    </row>
    <row r="2755" spans="1:13">
      <c r="A2755" s="1">
        <f>HYPERLINK("http://www.twitter.com/NathanBLawrence/status/954611254152384512", "954611254152384512")</f>
        <v/>
      </c>
      <c r="B2755" s="2" t="n">
        <v>43120.29667824074</v>
      </c>
      <c r="C2755" t="n">
        <v>0</v>
      </c>
      <c r="D2755" t="n">
        <v>769</v>
      </c>
      <c r="E2755" t="s">
        <v>2745</v>
      </c>
      <c r="F2755" t="s"/>
      <c r="G2755" t="s"/>
      <c r="H2755" t="s"/>
      <c r="I2755" t="s"/>
      <c r="J2755" t="n">
        <v>0.3182</v>
      </c>
      <c r="K2755" t="n">
        <v>0</v>
      </c>
      <c r="L2755" t="n">
        <v>0.867</v>
      </c>
      <c r="M2755" t="n">
        <v>0.133</v>
      </c>
    </row>
    <row r="2756" spans="1:13">
      <c r="A2756" s="1">
        <f>HYPERLINK("http://www.twitter.com/NathanBLawrence/status/954610876744699904", "954610876744699904")</f>
        <v/>
      </c>
      <c r="B2756" s="2" t="n">
        <v>43120.29563657408</v>
      </c>
      <c r="C2756" t="n">
        <v>0</v>
      </c>
      <c r="D2756" t="n">
        <v>26</v>
      </c>
      <c r="E2756" t="s">
        <v>2746</v>
      </c>
      <c r="F2756" t="s"/>
      <c r="G2756" t="s"/>
      <c r="H2756" t="s"/>
      <c r="I2756" t="s"/>
      <c r="J2756" t="n">
        <v>-0.694</v>
      </c>
      <c r="K2756" t="n">
        <v>0.208</v>
      </c>
      <c r="L2756" t="n">
        <v>0.792</v>
      </c>
      <c r="M2756" t="n">
        <v>0</v>
      </c>
    </row>
    <row r="2757" spans="1:13">
      <c r="A2757" s="1">
        <f>HYPERLINK("http://www.twitter.com/NathanBLawrence/status/954608478454206464", "954608478454206464")</f>
        <v/>
      </c>
      <c r="B2757" s="2" t="n">
        <v>43120.2890162037</v>
      </c>
      <c r="C2757" t="n">
        <v>34</v>
      </c>
      <c r="D2757" t="n">
        <v>26</v>
      </c>
      <c r="E2757" t="s">
        <v>2747</v>
      </c>
      <c r="F2757" t="s"/>
      <c r="G2757" t="s"/>
      <c r="H2757" t="s"/>
      <c r="I2757" t="s"/>
      <c r="J2757" t="n">
        <v>-0.8087</v>
      </c>
      <c r="K2757" t="n">
        <v>0.259</v>
      </c>
      <c r="L2757" t="n">
        <v>0.593</v>
      </c>
      <c r="M2757" t="n">
        <v>0.148</v>
      </c>
    </row>
    <row r="2758" spans="1:13">
      <c r="A2758" s="1">
        <f>HYPERLINK("http://www.twitter.com/NathanBLawrence/status/954587582754623493", "954587582754623493")</f>
        <v/>
      </c>
      <c r="B2758" s="2" t="n">
        <v>43120.23135416667</v>
      </c>
      <c r="C2758" t="n">
        <v>0</v>
      </c>
      <c r="D2758" t="n">
        <v>826</v>
      </c>
      <c r="E2758" t="s">
        <v>2748</v>
      </c>
      <c r="F2758">
        <f>HYPERLINK("http://pbs.twimg.com/media/DT4EHokVMAAp0f-.jpg", "http://pbs.twimg.com/media/DT4EHokVMAAp0f-.jpg")</f>
        <v/>
      </c>
      <c r="G2758" t="s"/>
      <c r="H2758" t="s"/>
      <c r="I2758" t="s"/>
      <c r="J2758" t="n">
        <v>-0.3818</v>
      </c>
      <c r="K2758" t="n">
        <v>0.157</v>
      </c>
      <c r="L2758" t="n">
        <v>0.843</v>
      </c>
      <c r="M2758" t="n">
        <v>0</v>
      </c>
    </row>
    <row r="2759" spans="1:13">
      <c r="A2759" s="1">
        <f>HYPERLINK("http://www.twitter.com/NathanBLawrence/status/954587359814746117", "954587359814746117")</f>
        <v/>
      </c>
      <c r="B2759" s="2" t="n">
        <v>43120.23074074074</v>
      </c>
      <c r="C2759" t="n">
        <v>0</v>
      </c>
      <c r="D2759" t="n">
        <v>3202</v>
      </c>
      <c r="E2759" t="s">
        <v>2749</v>
      </c>
      <c r="F2759">
        <f>HYPERLINK("http://pbs.twimg.com/media/DT6YnokVQAEFMW2.jpg", "http://pbs.twimg.com/media/DT6YnokVQAEFMW2.jpg")</f>
        <v/>
      </c>
      <c r="G2759" t="s"/>
      <c r="H2759" t="s"/>
      <c r="I2759" t="s"/>
      <c r="J2759" t="n">
        <v>-0.4939</v>
      </c>
      <c r="K2759" t="n">
        <v>0.127</v>
      </c>
      <c r="L2759" t="n">
        <v>0.873</v>
      </c>
      <c r="M2759" t="n">
        <v>0</v>
      </c>
    </row>
    <row r="2760" spans="1:13">
      <c r="A2760" s="1">
        <f>HYPERLINK("http://www.twitter.com/NathanBLawrence/status/954521874863673344", "954521874863673344")</f>
        <v/>
      </c>
      <c r="B2760" s="2" t="n">
        <v>43120.05003472222</v>
      </c>
      <c r="C2760" t="n">
        <v>0</v>
      </c>
      <c r="D2760" t="n">
        <v>73</v>
      </c>
      <c r="E2760" t="s">
        <v>2750</v>
      </c>
      <c r="F2760">
        <f>HYPERLINK("http://pbs.twimg.com/media/DT8RzAnX0AIK6KF.jpg", "http://pbs.twimg.com/media/DT8RzAnX0AIK6KF.jpg")</f>
        <v/>
      </c>
      <c r="G2760" t="s"/>
      <c r="H2760" t="s"/>
      <c r="I2760" t="s"/>
      <c r="J2760" t="n">
        <v>-0.5707</v>
      </c>
      <c r="K2760" t="n">
        <v>0.27</v>
      </c>
      <c r="L2760" t="n">
        <v>0.73</v>
      </c>
      <c r="M2760" t="n">
        <v>0</v>
      </c>
    </row>
    <row r="2761" spans="1:13">
      <c r="A2761" s="1">
        <f>HYPERLINK("http://www.twitter.com/NathanBLawrence/status/954513154045825029", "954513154045825029")</f>
        <v/>
      </c>
      <c r="B2761" s="2" t="n">
        <v>43120.02597222223</v>
      </c>
      <c r="C2761" t="n">
        <v>0</v>
      </c>
      <c r="D2761" t="n">
        <v>21</v>
      </c>
      <c r="E2761" t="s">
        <v>2751</v>
      </c>
      <c r="F2761">
        <f>HYPERLINK("http://pbs.twimg.com/media/DT8K_KYUMAAaUHZ.jpg", "http://pbs.twimg.com/media/DT8K_KYUMAAaUHZ.jpg")</f>
        <v/>
      </c>
      <c r="G2761" t="s"/>
      <c r="H2761" t="s"/>
      <c r="I2761" t="s"/>
      <c r="J2761" t="n">
        <v>0</v>
      </c>
      <c r="K2761" t="n">
        <v>0</v>
      </c>
      <c r="L2761" t="n">
        <v>1</v>
      </c>
      <c r="M2761" t="n">
        <v>0</v>
      </c>
    </row>
    <row r="2762" spans="1:13">
      <c r="A2762" s="1">
        <f>HYPERLINK("http://www.twitter.com/NathanBLawrence/status/954508789880942592", "954508789880942592")</f>
        <v/>
      </c>
      <c r="B2762" s="2" t="n">
        <v>43120.01393518518</v>
      </c>
      <c r="C2762" t="n">
        <v>1</v>
      </c>
      <c r="D2762" t="n">
        <v>0</v>
      </c>
      <c r="E2762" t="s">
        <v>2752</v>
      </c>
      <c r="F2762" t="s"/>
      <c r="G2762" t="s"/>
      <c r="H2762" t="s"/>
      <c r="I2762" t="s"/>
      <c r="J2762" t="n">
        <v>0</v>
      </c>
      <c r="K2762" t="n">
        <v>0</v>
      </c>
      <c r="L2762" t="n">
        <v>1</v>
      </c>
      <c r="M2762" t="n">
        <v>0</v>
      </c>
    </row>
    <row r="2763" spans="1:13">
      <c r="A2763" s="1">
        <f>HYPERLINK("http://www.twitter.com/NathanBLawrence/status/954508133283573762", "954508133283573762")</f>
        <v/>
      </c>
      <c r="B2763" s="2" t="n">
        <v>43120.01211805556</v>
      </c>
      <c r="C2763" t="n">
        <v>0</v>
      </c>
      <c r="D2763" t="n">
        <v>5</v>
      </c>
      <c r="E2763" t="s">
        <v>2753</v>
      </c>
      <c r="F2763" t="s"/>
      <c r="G2763" t="s"/>
      <c r="H2763" t="s"/>
      <c r="I2763" t="s"/>
      <c r="J2763" t="n">
        <v>0.3182</v>
      </c>
      <c r="K2763" t="n">
        <v>0</v>
      </c>
      <c r="L2763" t="n">
        <v>0.827</v>
      </c>
      <c r="M2763" t="n">
        <v>0.173</v>
      </c>
    </row>
    <row r="2764" spans="1:13">
      <c r="A2764" s="1">
        <f>HYPERLINK("http://www.twitter.com/NathanBLawrence/status/954506861910417409", "954506861910417409")</f>
        <v/>
      </c>
      <c r="B2764" s="2" t="n">
        <v>43120.00861111111</v>
      </c>
      <c r="C2764" t="n">
        <v>6</v>
      </c>
      <c r="D2764" t="n">
        <v>5</v>
      </c>
      <c r="E2764" t="s">
        <v>2754</v>
      </c>
      <c r="F2764" t="s"/>
      <c r="G2764" t="s"/>
      <c r="H2764" t="s"/>
      <c r="I2764" t="s"/>
      <c r="J2764" t="n">
        <v>0.6114000000000001</v>
      </c>
      <c r="K2764" t="n">
        <v>0.073</v>
      </c>
      <c r="L2764" t="n">
        <v>0.732</v>
      </c>
      <c r="M2764" t="n">
        <v>0.195</v>
      </c>
    </row>
    <row r="2765" spans="1:13">
      <c r="A2765" s="1">
        <f>HYPERLINK("http://www.twitter.com/NathanBLawrence/status/954488933399912448", "954488933399912448")</f>
        <v/>
      </c>
      <c r="B2765" s="2" t="n">
        <v>43119.95913194444</v>
      </c>
      <c r="C2765" t="n">
        <v>0</v>
      </c>
      <c r="D2765" t="n">
        <v>966</v>
      </c>
      <c r="E2765" t="s">
        <v>2755</v>
      </c>
      <c r="F2765" t="s"/>
      <c r="G2765" t="s"/>
      <c r="H2765" t="s"/>
      <c r="I2765" t="s"/>
      <c r="J2765" t="n">
        <v>-0.2263</v>
      </c>
      <c r="K2765" t="n">
        <v>0.142</v>
      </c>
      <c r="L2765" t="n">
        <v>0.751</v>
      </c>
      <c r="M2765" t="n">
        <v>0.107</v>
      </c>
    </row>
    <row r="2766" spans="1:13">
      <c r="A2766" s="1">
        <f>HYPERLINK("http://www.twitter.com/NathanBLawrence/status/954488267352805376", "954488267352805376")</f>
        <v/>
      </c>
      <c r="B2766" s="2" t="n">
        <v>43119.95730324074</v>
      </c>
      <c r="C2766" t="n">
        <v>0</v>
      </c>
      <c r="D2766" t="n">
        <v>301</v>
      </c>
      <c r="E2766" t="s">
        <v>2756</v>
      </c>
      <c r="F2766">
        <f>HYPERLINK("http://pbs.twimg.com/media/DT7OM0QUQAEAkM6.jpg", "http://pbs.twimg.com/media/DT7OM0QUQAEAkM6.jpg")</f>
        <v/>
      </c>
      <c r="G2766" t="s"/>
      <c r="H2766" t="s"/>
      <c r="I2766" t="s"/>
      <c r="J2766" t="n">
        <v>0.2732</v>
      </c>
      <c r="K2766" t="n">
        <v>0</v>
      </c>
      <c r="L2766" t="n">
        <v>0.905</v>
      </c>
      <c r="M2766" t="n">
        <v>0.095</v>
      </c>
    </row>
    <row r="2767" spans="1:13">
      <c r="A2767" s="1">
        <f>HYPERLINK("http://www.twitter.com/NathanBLawrence/status/954449127399706624", "954449127399706624")</f>
        <v/>
      </c>
      <c r="B2767" s="2" t="n">
        <v>43119.84929398148</v>
      </c>
      <c r="C2767" t="n">
        <v>22</v>
      </c>
      <c r="D2767" t="n">
        <v>5</v>
      </c>
      <c r="E2767" t="s">
        <v>2757</v>
      </c>
      <c r="F2767" t="s"/>
      <c r="G2767" t="s"/>
      <c r="H2767" t="s"/>
      <c r="I2767" t="s"/>
      <c r="J2767" t="n">
        <v>-0.9705</v>
      </c>
      <c r="K2767" t="n">
        <v>0.346</v>
      </c>
      <c r="L2767" t="n">
        <v>0.619</v>
      </c>
      <c r="M2767" t="n">
        <v>0.035</v>
      </c>
    </row>
    <row r="2768" spans="1:13">
      <c r="A2768" s="1">
        <f>HYPERLINK("http://www.twitter.com/NathanBLawrence/status/954440338109878272", "954440338109878272")</f>
        <v/>
      </c>
      <c r="B2768" s="2" t="n">
        <v>43119.82503472222</v>
      </c>
      <c r="C2768" t="n">
        <v>0</v>
      </c>
      <c r="D2768" t="n">
        <v>1075</v>
      </c>
      <c r="E2768" t="s">
        <v>2758</v>
      </c>
      <c r="F2768">
        <f>HYPERLINK("http://pbs.twimg.com/media/DT7MzuHUQAA8kOh.jpg", "http://pbs.twimg.com/media/DT7MzuHUQAA8kOh.jpg")</f>
        <v/>
      </c>
      <c r="G2768" t="s"/>
      <c r="H2768" t="s"/>
      <c r="I2768" t="s"/>
      <c r="J2768" t="n">
        <v>0.0516</v>
      </c>
      <c r="K2768" t="n">
        <v>0</v>
      </c>
      <c r="L2768" t="n">
        <v>0.902</v>
      </c>
      <c r="M2768" t="n">
        <v>0.098</v>
      </c>
    </row>
    <row r="2769" spans="1:13">
      <c r="A2769" s="1">
        <f>HYPERLINK("http://www.twitter.com/NathanBLawrence/status/954423942705569792", "954423942705569792")</f>
        <v/>
      </c>
      <c r="B2769" s="2" t="n">
        <v>43119.77979166667</v>
      </c>
      <c r="C2769" t="n">
        <v>0</v>
      </c>
      <c r="D2769" t="n">
        <v>711</v>
      </c>
      <c r="E2769" t="s">
        <v>2759</v>
      </c>
      <c r="F2769" t="s"/>
      <c r="G2769" t="s"/>
      <c r="H2769" t="s"/>
      <c r="I2769" t="s"/>
      <c r="J2769" t="n">
        <v>0</v>
      </c>
      <c r="K2769" t="n">
        <v>0</v>
      </c>
      <c r="L2769" t="n">
        <v>1</v>
      </c>
      <c r="M2769" t="n">
        <v>0</v>
      </c>
    </row>
    <row r="2770" spans="1:13">
      <c r="A2770" s="1">
        <f>HYPERLINK("http://www.twitter.com/NathanBLawrence/status/954408862748172288", "954408862748172288")</f>
        <v/>
      </c>
      <c r="B2770" s="2" t="n">
        <v>43119.73818287037</v>
      </c>
      <c r="C2770" t="n">
        <v>0</v>
      </c>
      <c r="D2770" t="n">
        <v>14762</v>
      </c>
      <c r="E2770" t="s">
        <v>2760</v>
      </c>
      <c r="F2770" t="s"/>
      <c r="G2770" t="s"/>
      <c r="H2770" t="s"/>
      <c r="I2770" t="s"/>
      <c r="J2770" t="n">
        <v>0</v>
      </c>
      <c r="K2770" t="n">
        <v>0</v>
      </c>
      <c r="L2770" t="n">
        <v>1</v>
      </c>
      <c r="M2770" t="n">
        <v>0</v>
      </c>
    </row>
    <row r="2771" spans="1:13">
      <c r="A2771" s="1">
        <f>HYPERLINK("http://www.twitter.com/NathanBLawrence/status/954408678966390784", "954408678966390784")</f>
        <v/>
      </c>
      <c r="B2771" s="2" t="n">
        <v>43119.73767361111</v>
      </c>
      <c r="C2771" t="n">
        <v>0</v>
      </c>
      <c r="D2771" t="n">
        <v>2134</v>
      </c>
      <c r="E2771" t="s">
        <v>2761</v>
      </c>
      <c r="F2771" t="s"/>
      <c r="G2771" t="s"/>
      <c r="H2771" t="s"/>
      <c r="I2771" t="s"/>
      <c r="J2771" t="n">
        <v>-0.6289</v>
      </c>
      <c r="K2771" t="n">
        <v>0.147</v>
      </c>
      <c r="L2771" t="n">
        <v>0.853</v>
      </c>
      <c r="M2771" t="n">
        <v>0</v>
      </c>
    </row>
    <row r="2772" spans="1:13">
      <c r="A2772" s="1">
        <f>HYPERLINK("http://www.twitter.com/NathanBLawrence/status/954408351852527621", "954408351852527621")</f>
        <v/>
      </c>
      <c r="B2772" s="2" t="n">
        <v>43119.73677083333</v>
      </c>
      <c r="C2772" t="n">
        <v>0</v>
      </c>
      <c r="D2772" t="n">
        <v>10336</v>
      </c>
      <c r="E2772" t="s">
        <v>2762</v>
      </c>
      <c r="F2772" t="s"/>
      <c r="G2772" t="s"/>
      <c r="H2772" t="s"/>
      <c r="I2772" t="s"/>
      <c r="J2772" t="n">
        <v>0.3818</v>
      </c>
      <c r="K2772" t="n">
        <v>0</v>
      </c>
      <c r="L2772" t="n">
        <v>0.885</v>
      </c>
      <c r="M2772" t="n">
        <v>0.115</v>
      </c>
    </row>
    <row r="2773" spans="1:13">
      <c r="A2773" s="1">
        <f>HYPERLINK("http://www.twitter.com/NathanBLawrence/status/954406350272061440", "954406350272061440")</f>
        <v/>
      </c>
      <c r="B2773" s="2" t="n">
        <v>43119.73125</v>
      </c>
      <c r="C2773" t="n">
        <v>0</v>
      </c>
      <c r="D2773" t="n">
        <v>78</v>
      </c>
      <c r="E2773" t="s">
        <v>2763</v>
      </c>
      <c r="F2773">
        <f>HYPERLINK("http://pbs.twimg.com/media/DT33gk3X0AEjHyo.jpg", "http://pbs.twimg.com/media/DT33gk3X0AEjHyo.jpg")</f>
        <v/>
      </c>
      <c r="G2773" t="s"/>
      <c r="H2773" t="s"/>
      <c r="I2773" t="s"/>
      <c r="J2773" t="n">
        <v>0</v>
      </c>
      <c r="K2773" t="n">
        <v>0</v>
      </c>
      <c r="L2773" t="n">
        <v>1</v>
      </c>
      <c r="M2773" t="n">
        <v>0</v>
      </c>
    </row>
    <row r="2774" spans="1:13">
      <c r="A2774" s="1">
        <f>HYPERLINK("http://www.twitter.com/NathanBLawrence/status/954404293154615297", "954404293154615297")</f>
        <v/>
      </c>
      <c r="B2774" s="2" t="n">
        <v>43119.72557870371</v>
      </c>
      <c r="C2774" t="n">
        <v>13</v>
      </c>
      <c r="D2774" t="n">
        <v>8</v>
      </c>
      <c r="E2774" t="s">
        <v>2764</v>
      </c>
      <c r="F2774" t="s"/>
      <c r="G2774" t="s"/>
      <c r="H2774" t="s"/>
      <c r="I2774" t="s"/>
      <c r="J2774" t="n">
        <v>-0.4824</v>
      </c>
      <c r="K2774" t="n">
        <v>0.07099999999999999</v>
      </c>
      <c r="L2774" t="n">
        <v>0.929</v>
      </c>
      <c r="M2774" t="n">
        <v>0</v>
      </c>
    </row>
    <row r="2775" spans="1:13">
      <c r="A2775" s="1">
        <f>HYPERLINK("http://www.twitter.com/NathanBLawrence/status/954399076325429249", "954399076325429249")</f>
        <v/>
      </c>
      <c r="B2775" s="2" t="n">
        <v>43119.71118055555</v>
      </c>
      <c r="C2775" t="n">
        <v>0</v>
      </c>
      <c r="D2775" t="n">
        <v>148</v>
      </c>
      <c r="E2775" t="s">
        <v>2765</v>
      </c>
      <c r="F2775">
        <f>HYPERLINK("http://pbs.twimg.com/media/DT6yxJ6VwAIG86z.jpg", "http://pbs.twimg.com/media/DT6yxJ6VwAIG86z.jpg")</f>
        <v/>
      </c>
      <c r="G2775" t="s"/>
      <c r="H2775" t="s"/>
      <c r="I2775" t="s"/>
      <c r="J2775" t="n">
        <v>0</v>
      </c>
      <c r="K2775" t="n">
        <v>0</v>
      </c>
      <c r="L2775" t="n">
        <v>1</v>
      </c>
      <c r="M2775" t="n">
        <v>0</v>
      </c>
    </row>
    <row r="2776" spans="1:13">
      <c r="A2776" s="1">
        <f>HYPERLINK("http://www.twitter.com/NathanBLawrence/status/954397517399183362", "954397517399183362")</f>
        <v/>
      </c>
      <c r="B2776" s="2" t="n">
        <v>43119.706875</v>
      </c>
      <c r="C2776" t="n">
        <v>0</v>
      </c>
      <c r="D2776" t="n">
        <v>5</v>
      </c>
      <c r="E2776" t="s">
        <v>2766</v>
      </c>
      <c r="F2776">
        <f>HYPERLINK("http://pbs.twimg.com/media/DT6zTU0VoAA9jxQ.jpg", "http://pbs.twimg.com/media/DT6zTU0VoAA9jxQ.jpg")</f>
        <v/>
      </c>
      <c r="G2776" t="s"/>
      <c r="H2776" t="s"/>
      <c r="I2776" t="s"/>
      <c r="J2776" t="n">
        <v>-0.2263</v>
      </c>
      <c r="K2776" t="n">
        <v>0.107</v>
      </c>
      <c r="L2776" t="n">
        <v>0.829</v>
      </c>
      <c r="M2776" t="n">
        <v>0.063</v>
      </c>
    </row>
    <row r="2777" spans="1:13">
      <c r="A2777" s="1">
        <f>HYPERLINK("http://www.twitter.com/NathanBLawrence/status/954393155297775616", "954393155297775616")</f>
        <v/>
      </c>
      <c r="B2777" s="2" t="n">
        <v>43119.69483796296</v>
      </c>
      <c r="C2777" t="n">
        <v>126</v>
      </c>
      <c r="D2777" t="n">
        <v>135</v>
      </c>
      <c r="E2777" t="s">
        <v>2767</v>
      </c>
      <c r="F2777">
        <f>HYPERLINK("http://pbs.twimg.com/media/DT6vglOXUAA00DD.jpg", "http://pbs.twimg.com/media/DT6vglOXUAA00DD.jpg")</f>
        <v/>
      </c>
      <c r="G2777" t="s"/>
      <c r="H2777" t="s"/>
      <c r="I2777" t="s"/>
      <c r="J2777" t="n">
        <v>-0.859</v>
      </c>
      <c r="K2777" t="n">
        <v>0.234</v>
      </c>
      <c r="L2777" t="n">
        <v>0.701</v>
      </c>
      <c r="M2777" t="n">
        <v>0.064</v>
      </c>
    </row>
    <row r="2778" spans="1:13">
      <c r="A2778" s="1">
        <f>HYPERLINK("http://www.twitter.com/NathanBLawrence/status/954388261664903168", "954388261664903168")</f>
        <v/>
      </c>
      <c r="B2778" s="2" t="n">
        <v>43119.68133101852</v>
      </c>
      <c r="C2778" t="n">
        <v>62</v>
      </c>
      <c r="D2778" t="n">
        <v>21</v>
      </c>
      <c r="E2778" t="s">
        <v>2768</v>
      </c>
      <c r="F2778" t="s"/>
      <c r="G2778" t="s"/>
      <c r="H2778" t="s"/>
      <c r="I2778" t="s"/>
      <c r="J2778" t="n">
        <v>0.5147</v>
      </c>
      <c r="K2778" t="n">
        <v>0</v>
      </c>
      <c r="L2778" t="n">
        <v>0.887</v>
      </c>
      <c r="M2778" t="n">
        <v>0.113</v>
      </c>
    </row>
    <row r="2779" spans="1:13">
      <c r="A2779" s="1">
        <f>HYPERLINK("http://www.twitter.com/NathanBLawrence/status/954378125311397888", "954378125311397888")</f>
        <v/>
      </c>
      <c r="B2779" s="2" t="n">
        <v>43119.65336805556</v>
      </c>
      <c r="C2779" t="n">
        <v>0</v>
      </c>
      <c r="D2779" t="n">
        <v>6549</v>
      </c>
      <c r="E2779" t="s">
        <v>2769</v>
      </c>
      <c r="F2779">
        <f>HYPERLINK("http://pbs.twimg.com/media/DT5QZxTU0AIa_tx.jpg", "http://pbs.twimg.com/media/DT5QZxTU0AIa_tx.jpg")</f>
        <v/>
      </c>
      <c r="G2779" t="s"/>
      <c r="H2779" t="s"/>
      <c r="I2779" t="s"/>
      <c r="J2779" t="n">
        <v>0.7034</v>
      </c>
      <c r="K2779" t="n">
        <v>0</v>
      </c>
      <c r="L2779" t="n">
        <v>0.8129999999999999</v>
      </c>
      <c r="M2779" t="n">
        <v>0.187</v>
      </c>
    </row>
    <row r="2780" spans="1:13">
      <c r="A2780" s="1">
        <f>HYPERLINK("http://www.twitter.com/NathanBLawrence/status/954377522539651072", "954377522539651072")</f>
        <v/>
      </c>
      <c r="B2780" s="2" t="n">
        <v>43119.65170138889</v>
      </c>
      <c r="C2780" t="n">
        <v>0</v>
      </c>
      <c r="D2780" t="n">
        <v>5638</v>
      </c>
      <c r="E2780" t="s">
        <v>2770</v>
      </c>
      <c r="F2780">
        <f>HYPERLINK("http://pbs.twimg.com/media/DT6BWaLVoAAZB3H.jpg", "http://pbs.twimg.com/media/DT6BWaLVoAAZB3H.jpg")</f>
        <v/>
      </c>
      <c r="G2780">
        <f>HYPERLINK("http://pbs.twimg.com/media/DT6BWaMVQAAGFsN.jpg", "http://pbs.twimg.com/media/DT6BWaMVQAAGFsN.jpg")</f>
        <v/>
      </c>
      <c r="H2780" t="s"/>
      <c r="I2780" t="s"/>
      <c r="J2780" t="n">
        <v>-0.7269</v>
      </c>
      <c r="K2780" t="n">
        <v>0.335</v>
      </c>
      <c r="L2780" t="n">
        <v>0.514</v>
      </c>
      <c r="M2780" t="n">
        <v>0.151</v>
      </c>
    </row>
    <row r="2781" spans="1:13">
      <c r="A2781" s="1">
        <f>HYPERLINK("http://www.twitter.com/NathanBLawrence/status/954373208005849088", "954373208005849088")</f>
        <v/>
      </c>
      <c r="B2781" s="2" t="n">
        <v>43119.63979166667</v>
      </c>
      <c r="C2781" t="n">
        <v>0</v>
      </c>
      <c r="D2781" t="n">
        <v>0</v>
      </c>
      <c r="E2781" t="s">
        <v>2771</v>
      </c>
      <c r="F2781" t="s"/>
      <c r="G2781" t="s"/>
      <c r="H2781" t="s"/>
      <c r="I2781" t="s"/>
      <c r="J2781" t="n">
        <v>-0.4885</v>
      </c>
      <c r="K2781" t="n">
        <v>0.137</v>
      </c>
      <c r="L2781" t="n">
        <v>0.789</v>
      </c>
      <c r="M2781" t="n">
        <v>0.074</v>
      </c>
    </row>
    <row r="2782" spans="1:13">
      <c r="A2782" s="1">
        <f>HYPERLINK("http://www.twitter.com/NathanBLawrence/status/954368865374490625", "954368865374490625")</f>
        <v/>
      </c>
      <c r="B2782" s="2" t="n">
        <v>43119.6278125</v>
      </c>
      <c r="C2782" t="n">
        <v>0</v>
      </c>
      <c r="D2782" t="n">
        <v>840</v>
      </c>
      <c r="E2782" t="s">
        <v>2772</v>
      </c>
      <c r="F2782">
        <f>HYPERLINK("http://pbs.twimg.com/media/DT389gVVoAA6JuJ.jpg", "http://pbs.twimg.com/media/DT389gVVoAA6JuJ.jpg")</f>
        <v/>
      </c>
      <c r="G2782" t="s"/>
      <c r="H2782" t="s"/>
      <c r="I2782" t="s"/>
      <c r="J2782" t="n">
        <v>0.3818</v>
      </c>
      <c r="K2782" t="n">
        <v>0</v>
      </c>
      <c r="L2782" t="n">
        <v>0.902</v>
      </c>
      <c r="M2782" t="n">
        <v>0.098</v>
      </c>
    </row>
    <row r="2783" spans="1:13">
      <c r="A2783" s="1">
        <f>HYPERLINK("http://www.twitter.com/NathanBLawrence/status/954368479196532737", "954368479196532737")</f>
        <v/>
      </c>
      <c r="B2783" s="2" t="n">
        <v>43119.62674768519</v>
      </c>
      <c r="C2783" t="n">
        <v>0</v>
      </c>
      <c r="D2783" t="n">
        <v>0</v>
      </c>
      <c r="E2783" t="s">
        <v>2773</v>
      </c>
      <c r="F2783" t="s"/>
      <c r="G2783" t="s"/>
      <c r="H2783" t="s"/>
      <c r="I2783" t="s"/>
      <c r="J2783" t="n">
        <v>0</v>
      </c>
      <c r="K2783" t="n">
        <v>0</v>
      </c>
      <c r="L2783" t="n">
        <v>1</v>
      </c>
      <c r="M2783" t="n">
        <v>0</v>
      </c>
    </row>
    <row r="2784" spans="1:13">
      <c r="A2784" s="1">
        <f>HYPERLINK("http://www.twitter.com/NathanBLawrence/status/954367177729200129", "954367177729200129")</f>
        <v/>
      </c>
      <c r="B2784" s="2" t="n">
        <v>43119.62315972222</v>
      </c>
      <c r="C2784" t="n">
        <v>0</v>
      </c>
      <c r="D2784" t="n">
        <v>63</v>
      </c>
      <c r="E2784" t="s">
        <v>2774</v>
      </c>
      <c r="F2784" t="s"/>
      <c r="G2784" t="s"/>
      <c r="H2784" t="s"/>
      <c r="I2784" t="s"/>
      <c r="J2784" t="n">
        <v>-0.4215</v>
      </c>
      <c r="K2784" t="n">
        <v>0.113</v>
      </c>
      <c r="L2784" t="n">
        <v>0.887</v>
      </c>
      <c r="M2784" t="n">
        <v>0</v>
      </c>
    </row>
    <row r="2785" spans="1:13">
      <c r="A2785" s="1">
        <f>HYPERLINK("http://www.twitter.com/NathanBLawrence/status/954367094400978944", "954367094400978944")</f>
        <v/>
      </c>
      <c r="B2785" s="2" t="n">
        <v>43119.62292824074</v>
      </c>
      <c r="C2785" t="n">
        <v>65</v>
      </c>
      <c r="D2785" t="n">
        <v>63</v>
      </c>
      <c r="E2785" t="s">
        <v>2775</v>
      </c>
      <c r="F2785" t="s"/>
      <c r="G2785" t="s"/>
      <c r="H2785" t="s"/>
      <c r="I2785" t="s"/>
      <c r="J2785" t="n">
        <v>-0.3474</v>
      </c>
      <c r="K2785" t="n">
        <v>0.089</v>
      </c>
      <c r="L2785" t="n">
        <v>0.854</v>
      </c>
      <c r="M2785" t="n">
        <v>0.057</v>
      </c>
    </row>
    <row r="2786" spans="1:13">
      <c r="A2786" s="1">
        <f>HYPERLINK("http://www.twitter.com/NathanBLawrence/status/954282225658482688", "954282225658482688")</f>
        <v/>
      </c>
      <c r="B2786" s="2" t="n">
        <v>43119.38872685185</v>
      </c>
      <c r="C2786" t="n">
        <v>0</v>
      </c>
      <c r="D2786" t="n">
        <v>0</v>
      </c>
      <c r="E2786" t="s">
        <v>2776</v>
      </c>
      <c r="F2786" t="s"/>
      <c r="G2786" t="s"/>
      <c r="H2786" t="s"/>
      <c r="I2786" t="s"/>
      <c r="J2786" t="n">
        <v>0</v>
      </c>
      <c r="K2786" t="n">
        <v>0</v>
      </c>
      <c r="L2786" t="n">
        <v>1</v>
      </c>
      <c r="M2786" t="n">
        <v>0</v>
      </c>
    </row>
    <row r="2787" spans="1:13">
      <c r="A2787" s="1">
        <f>HYPERLINK("http://www.twitter.com/NathanBLawrence/status/954281356363751424", "954281356363751424")</f>
        <v/>
      </c>
      <c r="B2787" s="2" t="n">
        <v>43119.38633101852</v>
      </c>
      <c r="C2787" t="n">
        <v>5</v>
      </c>
      <c r="D2787" t="n">
        <v>3</v>
      </c>
      <c r="E2787" t="s">
        <v>2777</v>
      </c>
      <c r="F2787">
        <f>HYPERLINK("http://pbs.twimg.com/media/DT5J1CmXUAA2clj.jpg", "http://pbs.twimg.com/media/DT5J1CmXUAA2clj.jpg")</f>
        <v/>
      </c>
      <c r="G2787" t="s"/>
      <c r="H2787" t="s"/>
      <c r="I2787" t="s"/>
      <c r="J2787" t="n">
        <v>0</v>
      </c>
      <c r="K2787" t="n">
        <v>0</v>
      </c>
      <c r="L2787" t="n">
        <v>1</v>
      </c>
      <c r="M2787" t="n">
        <v>0</v>
      </c>
    </row>
    <row r="2788" spans="1:13">
      <c r="A2788" s="1">
        <f>HYPERLINK("http://www.twitter.com/NathanBLawrence/status/954274840927719425", "954274840927719425")</f>
        <v/>
      </c>
      <c r="B2788" s="2" t="n">
        <v>43119.36835648148</v>
      </c>
      <c r="C2788" t="n">
        <v>0</v>
      </c>
      <c r="D2788" t="n">
        <v>27</v>
      </c>
      <c r="E2788" t="s">
        <v>2778</v>
      </c>
      <c r="F2788" t="s"/>
      <c r="G2788" t="s"/>
      <c r="H2788" t="s"/>
      <c r="I2788" t="s"/>
      <c r="J2788" t="n">
        <v>-0.5994</v>
      </c>
      <c r="K2788" t="n">
        <v>0.245</v>
      </c>
      <c r="L2788" t="n">
        <v>0.755</v>
      </c>
      <c r="M2788" t="n">
        <v>0</v>
      </c>
    </row>
    <row r="2789" spans="1:13">
      <c r="A2789" s="1">
        <f>HYPERLINK("http://www.twitter.com/NathanBLawrence/status/954273536583045120", "954273536583045120")</f>
        <v/>
      </c>
      <c r="B2789" s="2" t="n">
        <v>43119.36475694444</v>
      </c>
      <c r="C2789" t="n">
        <v>0</v>
      </c>
      <c r="D2789" t="n">
        <v>7</v>
      </c>
      <c r="E2789" t="s">
        <v>2779</v>
      </c>
      <c r="F2789">
        <f>HYPERLINK("http://pbs.twimg.com/media/DT5CjQZXUAARead.jpg", "http://pbs.twimg.com/media/DT5CjQZXUAARead.jpg")</f>
        <v/>
      </c>
      <c r="G2789" t="s"/>
      <c r="H2789" t="s"/>
      <c r="I2789" t="s"/>
      <c r="J2789" t="n">
        <v>-0.7154</v>
      </c>
      <c r="K2789" t="n">
        <v>0.239</v>
      </c>
      <c r="L2789" t="n">
        <v>0.6830000000000001</v>
      </c>
      <c r="M2789" t="n">
        <v>0.078</v>
      </c>
    </row>
    <row r="2790" spans="1:13">
      <c r="A2790" s="1">
        <f>HYPERLINK("http://www.twitter.com/NathanBLawrence/status/954273354571231232", "954273354571231232")</f>
        <v/>
      </c>
      <c r="B2790" s="2" t="n">
        <v>43119.36424768518</v>
      </c>
      <c r="C2790" t="n">
        <v>9</v>
      </c>
      <c r="D2790" t="n">
        <v>7</v>
      </c>
      <c r="E2790" t="s">
        <v>2780</v>
      </c>
      <c r="F2790">
        <f>HYPERLINK("http://pbs.twimg.com/media/DT5CjQZXUAARead.jpg", "http://pbs.twimg.com/media/DT5CjQZXUAARead.jpg")</f>
        <v/>
      </c>
      <c r="G2790" t="s"/>
      <c r="H2790" t="s"/>
      <c r="I2790" t="s"/>
      <c r="J2790" t="n">
        <v>-0.9503</v>
      </c>
      <c r="K2790" t="n">
        <v>0.355</v>
      </c>
      <c r="L2790" t="n">
        <v>0.527</v>
      </c>
      <c r="M2790" t="n">
        <v>0.118</v>
      </c>
    </row>
    <row r="2791" spans="1:13">
      <c r="A2791" s="1">
        <f>HYPERLINK("http://www.twitter.com/NathanBLawrence/status/954264406346682368", "954264406346682368")</f>
        <v/>
      </c>
      <c r="B2791" s="2" t="n">
        <v>43119.33956018519</v>
      </c>
      <c r="C2791" t="n">
        <v>0</v>
      </c>
      <c r="D2791" t="n">
        <v>2373</v>
      </c>
      <c r="E2791" t="s">
        <v>2781</v>
      </c>
      <c r="F2791">
        <f>HYPERLINK("https://video.twimg.com/amplify_video/954233869292601351/vid/1280x720/aWXUhjl2qztTQ_FK.mp4", "https://video.twimg.com/amplify_video/954233869292601351/vid/1280x720/aWXUhjl2qztTQ_FK.mp4")</f>
        <v/>
      </c>
      <c r="G2791" t="s"/>
      <c r="H2791" t="s"/>
      <c r="I2791" t="s"/>
      <c r="J2791" t="n">
        <v>0.2023</v>
      </c>
      <c r="K2791" t="n">
        <v>0</v>
      </c>
      <c r="L2791" t="n">
        <v>0.833</v>
      </c>
      <c r="M2791" t="n">
        <v>0.167</v>
      </c>
    </row>
    <row r="2792" spans="1:13">
      <c r="A2792" s="1">
        <f>HYPERLINK("http://www.twitter.com/NathanBLawrence/status/954264078817681408", "954264078817681408")</f>
        <v/>
      </c>
      <c r="B2792" s="2" t="n">
        <v>43119.33865740741</v>
      </c>
      <c r="C2792" t="n">
        <v>0</v>
      </c>
      <c r="D2792" t="n">
        <v>318</v>
      </c>
      <c r="E2792" t="s">
        <v>2782</v>
      </c>
      <c r="F2792" t="s"/>
      <c r="G2792" t="s"/>
      <c r="H2792" t="s"/>
      <c r="I2792" t="s"/>
      <c r="J2792" t="n">
        <v>0</v>
      </c>
      <c r="K2792" t="n">
        <v>0</v>
      </c>
      <c r="L2792" t="n">
        <v>1</v>
      </c>
      <c r="M2792" t="n">
        <v>0</v>
      </c>
    </row>
    <row r="2793" spans="1:13">
      <c r="A2793" s="1">
        <f>HYPERLINK("http://www.twitter.com/NathanBLawrence/status/954263538276683776", "954263538276683776")</f>
        <v/>
      </c>
      <c r="B2793" s="2" t="n">
        <v>43119.33716435185</v>
      </c>
      <c r="C2793" t="n">
        <v>0</v>
      </c>
      <c r="D2793" t="n">
        <v>163</v>
      </c>
      <c r="E2793" t="s">
        <v>2783</v>
      </c>
      <c r="F2793" t="s"/>
      <c r="G2793" t="s"/>
      <c r="H2793" t="s"/>
      <c r="I2793" t="s"/>
      <c r="J2793" t="n">
        <v>-0.4767</v>
      </c>
      <c r="K2793" t="n">
        <v>0.19</v>
      </c>
      <c r="L2793" t="n">
        <v>0.721</v>
      </c>
      <c r="M2793" t="n">
        <v>0.089</v>
      </c>
    </row>
    <row r="2794" spans="1:13">
      <c r="A2794" s="1">
        <f>HYPERLINK("http://www.twitter.com/NathanBLawrence/status/954263411457757184", "954263411457757184")</f>
        <v/>
      </c>
      <c r="B2794" s="2" t="n">
        <v>43119.33681712963</v>
      </c>
      <c r="C2794" t="n">
        <v>0</v>
      </c>
      <c r="D2794" t="n">
        <v>182</v>
      </c>
      <c r="E2794" t="s">
        <v>2784</v>
      </c>
      <c r="F2794" t="s"/>
      <c r="G2794" t="s"/>
      <c r="H2794" t="s"/>
      <c r="I2794" t="s"/>
      <c r="J2794" t="n">
        <v>-0.5423</v>
      </c>
      <c r="K2794" t="n">
        <v>0.137</v>
      </c>
      <c r="L2794" t="n">
        <v>0.863</v>
      </c>
      <c r="M2794" t="n">
        <v>0</v>
      </c>
    </row>
    <row r="2795" spans="1:13">
      <c r="A2795" s="1">
        <f>HYPERLINK("http://www.twitter.com/NathanBLawrence/status/954261666178445312", "954261666178445312")</f>
        <v/>
      </c>
      <c r="B2795" s="2" t="n">
        <v>43119.33200231481</v>
      </c>
      <c r="C2795" t="n">
        <v>0</v>
      </c>
      <c r="D2795" t="n">
        <v>2</v>
      </c>
      <c r="E2795" t="s">
        <v>2785</v>
      </c>
      <c r="F2795" t="s"/>
      <c r="G2795" t="s"/>
      <c r="H2795" t="s"/>
      <c r="I2795" t="s"/>
      <c r="J2795" t="n">
        <v>0.5266999999999999</v>
      </c>
      <c r="K2795" t="n">
        <v>0</v>
      </c>
      <c r="L2795" t="n">
        <v>0.841</v>
      </c>
      <c r="M2795" t="n">
        <v>0.159</v>
      </c>
    </row>
    <row r="2796" spans="1:13">
      <c r="A2796" s="1">
        <f>HYPERLINK("http://www.twitter.com/NathanBLawrence/status/954261084843773953", "954261084843773953")</f>
        <v/>
      </c>
      <c r="B2796" s="2" t="n">
        <v>43119.33039351852</v>
      </c>
      <c r="C2796" t="n">
        <v>0</v>
      </c>
      <c r="D2796" t="n">
        <v>12</v>
      </c>
      <c r="E2796" t="s">
        <v>2786</v>
      </c>
      <c r="F2796" t="s"/>
      <c r="G2796" t="s"/>
      <c r="H2796" t="s"/>
      <c r="I2796" t="s"/>
      <c r="J2796" t="n">
        <v>0</v>
      </c>
      <c r="K2796" t="n">
        <v>0</v>
      </c>
      <c r="L2796" t="n">
        <v>1</v>
      </c>
      <c r="M2796" t="n">
        <v>0</v>
      </c>
    </row>
    <row r="2797" spans="1:13">
      <c r="A2797" s="1">
        <f>HYPERLINK("http://www.twitter.com/NathanBLawrence/status/954258841516085248", "954258841516085248")</f>
        <v/>
      </c>
      <c r="B2797" s="2" t="n">
        <v>43119.32420138889</v>
      </c>
      <c r="C2797" t="n">
        <v>0</v>
      </c>
      <c r="D2797" t="n">
        <v>1762</v>
      </c>
      <c r="E2797" t="s">
        <v>2787</v>
      </c>
      <c r="F2797" t="s"/>
      <c r="G2797" t="s"/>
      <c r="H2797" t="s"/>
      <c r="I2797" t="s"/>
      <c r="J2797" t="n">
        <v>0.6369</v>
      </c>
      <c r="K2797" t="n">
        <v>0.057</v>
      </c>
      <c r="L2797" t="n">
        <v>0.725</v>
      </c>
      <c r="M2797" t="n">
        <v>0.218</v>
      </c>
    </row>
    <row r="2798" spans="1:13">
      <c r="A2798" s="1">
        <f>HYPERLINK("http://www.twitter.com/NathanBLawrence/status/954258143315480576", "954258143315480576")</f>
        <v/>
      </c>
      <c r="B2798" s="2" t="n">
        <v>43119.32228009259</v>
      </c>
      <c r="C2798" t="n">
        <v>0</v>
      </c>
      <c r="D2798" t="n">
        <v>22</v>
      </c>
      <c r="E2798" t="s">
        <v>2788</v>
      </c>
      <c r="F2798">
        <f>HYPERLINK("http://pbs.twimg.com/media/DT4W_IdUMAAUNiU.jpg", "http://pbs.twimg.com/media/DT4W_IdUMAAUNiU.jpg")</f>
        <v/>
      </c>
      <c r="G2798" t="s"/>
      <c r="H2798" t="s"/>
      <c r="I2798" t="s"/>
      <c r="J2798" t="n">
        <v>0</v>
      </c>
      <c r="K2798" t="n">
        <v>0</v>
      </c>
      <c r="L2798" t="n">
        <v>1</v>
      </c>
      <c r="M2798" t="n">
        <v>0</v>
      </c>
    </row>
    <row r="2799" spans="1:13">
      <c r="A2799" s="1">
        <f>HYPERLINK("http://www.twitter.com/NathanBLawrence/status/954257076708102144", "954257076708102144")</f>
        <v/>
      </c>
      <c r="B2799" s="2" t="n">
        <v>43119.31932870371</v>
      </c>
      <c r="C2799" t="n">
        <v>0</v>
      </c>
      <c r="D2799" t="n">
        <v>3293</v>
      </c>
      <c r="E2799" t="s">
        <v>2789</v>
      </c>
      <c r="F2799" t="s"/>
      <c r="G2799" t="s"/>
      <c r="H2799" t="s"/>
      <c r="I2799" t="s"/>
      <c r="J2799" t="n">
        <v>0.7506</v>
      </c>
      <c r="K2799" t="n">
        <v>0.08</v>
      </c>
      <c r="L2799" t="n">
        <v>0.637</v>
      </c>
      <c r="M2799" t="n">
        <v>0.283</v>
      </c>
    </row>
    <row r="2800" spans="1:13">
      <c r="A2800" s="1">
        <f>HYPERLINK("http://www.twitter.com/NathanBLawrence/status/954254103818964993", "954254103818964993")</f>
        <v/>
      </c>
      <c r="B2800" s="2" t="n">
        <v>43119.31113425926</v>
      </c>
      <c r="C2800" t="n">
        <v>0</v>
      </c>
      <c r="D2800" t="n">
        <v>3</v>
      </c>
      <c r="E2800" t="s">
        <v>2790</v>
      </c>
      <c r="F2800" t="s"/>
      <c r="G2800" t="s"/>
      <c r="H2800" t="s"/>
      <c r="I2800" t="s"/>
      <c r="J2800" t="n">
        <v>0.3574</v>
      </c>
      <c r="K2800" t="n">
        <v>0.115</v>
      </c>
      <c r="L2800" t="n">
        <v>0.75</v>
      </c>
      <c r="M2800" t="n">
        <v>0.134</v>
      </c>
    </row>
    <row r="2801" spans="1:13">
      <c r="A2801" s="1">
        <f>HYPERLINK("http://www.twitter.com/NathanBLawrence/status/954253818409123840", "954253818409123840")</f>
        <v/>
      </c>
      <c r="B2801" s="2" t="n">
        <v>43119.31034722222</v>
      </c>
      <c r="C2801" t="n">
        <v>2</v>
      </c>
      <c r="D2801" t="n">
        <v>0</v>
      </c>
      <c r="E2801" t="s">
        <v>2791</v>
      </c>
      <c r="F2801">
        <f>HYPERLINK("http://pbs.twimg.com/media/DT4wyGmXcAAedyB.jpg", "http://pbs.twimg.com/media/DT4wyGmXcAAedyB.jpg")</f>
        <v/>
      </c>
      <c r="G2801" t="s"/>
      <c r="H2801" t="s"/>
      <c r="I2801" t="s"/>
      <c r="J2801" t="n">
        <v>0</v>
      </c>
      <c r="K2801" t="n">
        <v>0</v>
      </c>
      <c r="L2801" t="n">
        <v>1</v>
      </c>
      <c r="M2801" t="n">
        <v>0</v>
      </c>
    </row>
    <row r="2802" spans="1:13">
      <c r="A2802" s="1">
        <f>HYPERLINK("http://www.twitter.com/NathanBLawrence/status/954251693826412544", "954251693826412544")</f>
        <v/>
      </c>
      <c r="B2802" s="2" t="n">
        <v>43119.30447916667</v>
      </c>
      <c r="C2802" t="n">
        <v>0</v>
      </c>
      <c r="D2802" t="n">
        <v>20909</v>
      </c>
      <c r="E2802" t="s">
        <v>2792</v>
      </c>
      <c r="F2802" t="s"/>
      <c r="G2802" t="s"/>
      <c r="H2802" t="s"/>
      <c r="I2802" t="s"/>
      <c r="J2802" t="n">
        <v>0</v>
      </c>
      <c r="K2802" t="n">
        <v>0</v>
      </c>
      <c r="L2802" t="n">
        <v>1</v>
      </c>
      <c r="M2802" t="n">
        <v>0</v>
      </c>
    </row>
    <row r="2803" spans="1:13">
      <c r="A2803" s="1">
        <f>HYPERLINK("http://www.twitter.com/NathanBLawrence/status/954248659650179073", "954248659650179073")</f>
        <v/>
      </c>
      <c r="B2803" s="2" t="n">
        <v>43119.29611111111</v>
      </c>
      <c r="C2803" t="n">
        <v>1</v>
      </c>
      <c r="D2803" t="n">
        <v>2</v>
      </c>
      <c r="E2803" t="s">
        <v>2793</v>
      </c>
      <c r="F2803">
        <f>HYPERLINK("http://pbs.twimg.com/media/DT4sF0IVMAAHX8o.jpg", "http://pbs.twimg.com/media/DT4sF0IVMAAHX8o.jpg")</f>
        <v/>
      </c>
      <c r="G2803" t="s"/>
      <c r="H2803" t="s"/>
      <c r="I2803" t="s"/>
      <c r="J2803" t="n">
        <v>0</v>
      </c>
      <c r="K2803" t="n">
        <v>0</v>
      </c>
      <c r="L2803" t="n">
        <v>1</v>
      </c>
      <c r="M2803" t="n">
        <v>0</v>
      </c>
    </row>
    <row r="2804" spans="1:13">
      <c r="A2804" s="1">
        <f>HYPERLINK("http://www.twitter.com/NathanBLawrence/status/954247551955369984", "954247551955369984")</f>
        <v/>
      </c>
      <c r="B2804" s="2" t="n">
        <v>43119.29305555556</v>
      </c>
      <c r="C2804" t="n">
        <v>0</v>
      </c>
      <c r="D2804" t="n">
        <v>3</v>
      </c>
      <c r="E2804" t="s">
        <v>2794</v>
      </c>
      <c r="F2804">
        <f>HYPERLINK("http://pbs.twimg.com/media/DT4qSo-WsAASJQr.jpg", "http://pbs.twimg.com/media/DT4qSo-WsAASJQr.jpg")</f>
        <v/>
      </c>
      <c r="G2804">
        <f>HYPERLINK("http://pbs.twimg.com/media/DT4qVN0XkAAgPNF.jpg", "http://pbs.twimg.com/media/DT4qVN0XkAAgPNF.jpg")</f>
        <v/>
      </c>
      <c r="H2804" t="s"/>
      <c r="I2804" t="s"/>
      <c r="J2804" t="n">
        <v>0.5673</v>
      </c>
      <c r="K2804" t="n">
        <v>0</v>
      </c>
      <c r="L2804" t="n">
        <v>0.577</v>
      </c>
      <c r="M2804" t="n">
        <v>0.423</v>
      </c>
    </row>
    <row r="2805" spans="1:13">
      <c r="A2805" s="1">
        <f>HYPERLINK("http://www.twitter.com/NathanBLawrence/status/954243796069421056", "954243796069421056")</f>
        <v/>
      </c>
      <c r="B2805" s="2" t="n">
        <v>43119.28268518519</v>
      </c>
      <c r="C2805" t="n">
        <v>418</v>
      </c>
      <c r="D2805" t="n">
        <v>326</v>
      </c>
      <c r="E2805" t="s">
        <v>2795</v>
      </c>
      <c r="F2805">
        <f>HYPERLINK("http://pbs.twimg.com/media/DT4nqvgWsAAIbOn.jpg", "http://pbs.twimg.com/media/DT4nqvgWsAAIbOn.jpg")</f>
        <v/>
      </c>
      <c r="G2805" t="s"/>
      <c r="H2805" t="s"/>
      <c r="I2805" t="s"/>
      <c r="J2805" t="n">
        <v>-0.0516</v>
      </c>
      <c r="K2805" t="n">
        <v>0.129</v>
      </c>
      <c r="L2805" t="n">
        <v>0.753</v>
      </c>
      <c r="M2805" t="n">
        <v>0.118</v>
      </c>
    </row>
    <row r="2806" spans="1:13">
      <c r="A2806" s="1">
        <f>HYPERLINK("http://www.twitter.com/NathanBLawrence/status/954229925619388416", "954229925619388416")</f>
        <v/>
      </c>
      <c r="B2806" s="2" t="n">
        <v>43119.24440972223</v>
      </c>
      <c r="C2806" t="n">
        <v>0</v>
      </c>
      <c r="D2806" t="n">
        <v>161</v>
      </c>
      <c r="E2806" t="s">
        <v>2796</v>
      </c>
      <c r="F2806">
        <f>HYPERLINK("http://pbs.twimg.com/media/DT2EFpZVMAAjHUM.jpg", "http://pbs.twimg.com/media/DT2EFpZVMAAjHUM.jpg")</f>
        <v/>
      </c>
      <c r="G2806" t="s"/>
      <c r="H2806" t="s"/>
      <c r="I2806" t="s"/>
      <c r="J2806" t="n">
        <v>0.5106000000000001</v>
      </c>
      <c r="K2806" t="n">
        <v>0.11</v>
      </c>
      <c r="L2806" t="n">
        <v>0.669</v>
      </c>
      <c r="M2806" t="n">
        <v>0.221</v>
      </c>
    </row>
    <row r="2807" spans="1:13">
      <c r="A2807" s="1">
        <f>HYPERLINK("http://www.twitter.com/NathanBLawrence/status/954229511968747521", "954229511968747521")</f>
        <v/>
      </c>
      <c r="B2807" s="2" t="n">
        <v>43119.24327546296</v>
      </c>
      <c r="C2807" t="n">
        <v>0</v>
      </c>
      <c r="D2807" t="n">
        <v>430</v>
      </c>
      <c r="E2807" t="s">
        <v>2797</v>
      </c>
      <c r="F2807" t="s"/>
      <c r="G2807" t="s"/>
      <c r="H2807" t="s"/>
      <c r="I2807" t="s"/>
      <c r="J2807" t="n">
        <v>0.6369</v>
      </c>
      <c r="K2807" t="n">
        <v>0</v>
      </c>
      <c r="L2807" t="n">
        <v>0.846</v>
      </c>
      <c r="M2807" t="n">
        <v>0.154</v>
      </c>
    </row>
    <row r="2808" spans="1:13">
      <c r="A2808" s="1">
        <f>HYPERLINK("http://www.twitter.com/NathanBLawrence/status/954229109412024320", "954229109412024320")</f>
        <v/>
      </c>
      <c r="B2808" s="2" t="n">
        <v>43119.24216435185</v>
      </c>
      <c r="C2808" t="n">
        <v>0</v>
      </c>
      <c r="D2808" t="n">
        <v>803</v>
      </c>
      <c r="E2808" t="s">
        <v>2798</v>
      </c>
      <c r="F2808">
        <f>HYPERLINK("http://pbs.twimg.com/media/DT4CxusUMAELeeu.jpg", "http://pbs.twimg.com/media/DT4CxusUMAELeeu.jpg")</f>
        <v/>
      </c>
      <c r="G2808" t="s"/>
      <c r="H2808" t="s"/>
      <c r="I2808" t="s"/>
      <c r="J2808" t="n">
        <v>0</v>
      </c>
      <c r="K2808" t="n">
        <v>0</v>
      </c>
      <c r="L2808" t="n">
        <v>1</v>
      </c>
      <c r="M2808" t="n">
        <v>0</v>
      </c>
    </row>
    <row r="2809" spans="1:13">
      <c r="A2809" s="1">
        <f>HYPERLINK("http://www.twitter.com/NathanBLawrence/status/954224558562856960", "954224558562856960")</f>
        <v/>
      </c>
      <c r="B2809" s="2" t="n">
        <v>43119.22960648148</v>
      </c>
      <c r="C2809" t="n">
        <v>0</v>
      </c>
      <c r="D2809" t="n">
        <v>2698</v>
      </c>
      <c r="E2809" t="s">
        <v>2799</v>
      </c>
      <c r="F2809" t="s"/>
      <c r="G2809" t="s"/>
      <c r="H2809" t="s"/>
      <c r="I2809" t="s"/>
      <c r="J2809" t="n">
        <v>0.2883</v>
      </c>
      <c r="K2809" t="n">
        <v>0.089</v>
      </c>
      <c r="L2809" t="n">
        <v>0.699</v>
      </c>
      <c r="M2809" t="n">
        <v>0.212</v>
      </c>
    </row>
    <row r="2810" spans="1:13">
      <c r="A2810" s="1">
        <f>HYPERLINK("http://www.twitter.com/NathanBLawrence/status/954223482912624640", "954223482912624640")</f>
        <v/>
      </c>
      <c r="B2810" s="2" t="n">
        <v>43119.22663194445</v>
      </c>
      <c r="C2810" t="n">
        <v>0</v>
      </c>
      <c r="D2810" t="n">
        <v>492</v>
      </c>
      <c r="E2810" t="s">
        <v>2800</v>
      </c>
      <c r="F2810">
        <f>HYPERLINK("http://pbs.twimg.com/media/DT4RsBTVoAEpUJv.jpg", "http://pbs.twimg.com/media/DT4RsBTVoAEpUJv.jpg")</f>
        <v/>
      </c>
      <c r="G2810" t="s"/>
      <c r="H2810" t="s"/>
      <c r="I2810" t="s"/>
      <c r="J2810" t="n">
        <v>0</v>
      </c>
      <c r="K2810" t="n">
        <v>0</v>
      </c>
      <c r="L2810" t="n">
        <v>1</v>
      </c>
      <c r="M2810" t="n">
        <v>0</v>
      </c>
    </row>
    <row r="2811" spans="1:13">
      <c r="A2811" s="1">
        <f>HYPERLINK("http://www.twitter.com/NathanBLawrence/status/954223343758135296", "954223343758135296")</f>
        <v/>
      </c>
      <c r="B2811" s="2" t="n">
        <v>43119.22625</v>
      </c>
      <c r="C2811" t="n">
        <v>0</v>
      </c>
      <c r="D2811" t="n">
        <v>2355</v>
      </c>
      <c r="E2811" t="s">
        <v>2801</v>
      </c>
      <c r="F2811" t="s"/>
      <c r="G2811" t="s"/>
      <c r="H2811" t="s"/>
      <c r="I2811" t="s"/>
      <c r="J2811" t="n">
        <v>-0.4939</v>
      </c>
      <c r="K2811" t="n">
        <v>0.167</v>
      </c>
      <c r="L2811" t="n">
        <v>0.833</v>
      </c>
      <c r="M2811" t="n">
        <v>0</v>
      </c>
    </row>
    <row r="2812" spans="1:13">
      <c r="A2812" s="1">
        <f>HYPERLINK("http://www.twitter.com/NathanBLawrence/status/954214169166966784", "954214169166966784")</f>
        <v/>
      </c>
      <c r="B2812" s="2" t="n">
        <v>43119.2009375</v>
      </c>
      <c r="C2812" t="n">
        <v>0</v>
      </c>
      <c r="D2812" t="n">
        <v>2</v>
      </c>
      <c r="E2812" t="s">
        <v>2802</v>
      </c>
      <c r="F2812">
        <f>HYPERLINK("http://pbs.twimg.com/media/DT4JyZ9UQAA9m-P.jpg", "http://pbs.twimg.com/media/DT4JyZ9UQAA9m-P.jpg")</f>
        <v/>
      </c>
      <c r="G2812" t="s"/>
      <c r="H2812" t="s"/>
      <c r="I2812" t="s"/>
      <c r="J2812" t="n">
        <v>0</v>
      </c>
      <c r="K2812" t="n">
        <v>0</v>
      </c>
      <c r="L2812" t="n">
        <v>1</v>
      </c>
      <c r="M2812" t="n">
        <v>0</v>
      </c>
    </row>
    <row r="2813" spans="1:13">
      <c r="A2813" s="1">
        <f>HYPERLINK("http://www.twitter.com/NathanBLawrence/status/954211198958006272", "954211198958006272")</f>
        <v/>
      </c>
      <c r="B2813" s="2" t="n">
        <v>43119.19273148148</v>
      </c>
      <c r="C2813" t="n">
        <v>54</v>
      </c>
      <c r="D2813" t="n">
        <v>39</v>
      </c>
      <c r="E2813" t="s">
        <v>2803</v>
      </c>
      <c r="F2813" t="s"/>
      <c r="G2813" t="s"/>
      <c r="H2813" t="s"/>
      <c r="I2813" t="s"/>
      <c r="J2813" t="n">
        <v>-0.6883</v>
      </c>
      <c r="K2813" t="n">
        <v>0.169</v>
      </c>
      <c r="L2813" t="n">
        <v>0.831</v>
      </c>
      <c r="M2813" t="n">
        <v>0</v>
      </c>
    </row>
    <row r="2814" spans="1:13">
      <c r="A2814" s="1">
        <f>HYPERLINK("http://www.twitter.com/NathanBLawrence/status/954208136474382337", "954208136474382337")</f>
        <v/>
      </c>
      <c r="B2814" s="2" t="n">
        <v>43119.1842824074</v>
      </c>
      <c r="C2814" t="n">
        <v>0</v>
      </c>
      <c r="D2814" t="n">
        <v>45964</v>
      </c>
      <c r="E2814" t="s">
        <v>2804</v>
      </c>
      <c r="F2814">
        <f>HYPERLINK("https://video.twimg.com/ext_tw_video/954198625604784129/pu/vid/1280x720/hcw2-gAUtlewGma5.mp4", "https://video.twimg.com/ext_tw_video/954198625604784129/pu/vid/1280x720/hcw2-gAUtlewGma5.mp4")</f>
        <v/>
      </c>
      <c r="G2814" t="s"/>
      <c r="H2814" t="s"/>
      <c r="I2814" t="s"/>
      <c r="J2814" t="n">
        <v>-0.5574</v>
      </c>
      <c r="K2814" t="n">
        <v>0.153</v>
      </c>
      <c r="L2814" t="n">
        <v>0.847</v>
      </c>
      <c r="M2814" t="n">
        <v>0</v>
      </c>
    </row>
    <row r="2815" spans="1:13">
      <c r="A2815" s="1">
        <f>HYPERLINK("http://www.twitter.com/NathanBLawrence/status/954207774740754432", "954207774740754432")</f>
        <v/>
      </c>
      <c r="B2815" s="2" t="n">
        <v>43119.18328703703</v>
      </c>
      <c r="C2815" t="n">
        <v>0</v>
      </c>
      <c r="D2815" t="n">
        <v>4681</v>
      </c>
      <c r="E2815" t="s">
        <v>2805</v>
      </c>
      <c r="F2815" t="s"/>
      <c r="G2815" t="s"/>
      <c r="H2815" t="s"/>
      <c r="I2815" t="s"/>
      <c r="J2815" t="n">
        <v>0.128</v>
      </c>
      <c r="K2815" t="n">
        <v>0.105</v>
      </c>
      <c r="L2815" t="n">
        <v>0.769</v>
      </c>
      <c r="M2815" t="n">
        <v>0.126</v>
      </c>
    </row>
    <row r="2816" spans="1:13">
      <c r="A2816" s="1">
        <f>HYPERLINK("http://www.twitter.com/NathanBLawrence/status/954207155997102082", "954207155997102082")</f>
        <v/>
      </c>
      <c r="B2816" s="2" t="n">
        <v>43119.18157407407</v>
      </c>
      <c r="C2816" t="n">
        <v>0</v>
      </c>
      <c r="D2816" t="n">
        <v>19523</v>
      </c>
      <c r="E2816" t="s">
        <v>2806</v>
      </c>
      <c r="F2816" t="s"/>
      <c r="G2816" t="s"/>
      <c r="H2816" t="s"/>
      <c r="I2816" t="s"/>
      <c r="J2816" t="n">
        <v>-0.1531</v>
      </c>
      <c r="K2816" t="n">
        <v>0.143</v>
      </c>
      <c r="L2816" t="n">
        <v>0.733</v>
      </c>
      <c r="M2816" t="n">
        <v>0.123</v>
      </c>
    </row>
    <row r="2817" spans="1:13">
      <c r="A2817" s="1">
        <f>HYPERLINK("http://www.twitter.com/NathanBLawrence/status/954206951365279744", "954206951365279744")</f>
        <v/>
      </c>
      <c r="B2817" s="2" t="n">
        <v>43119.18101851852</v>
      </c>
      <c r="C2817" t="n">
        <v>0</v>
      </c>
      <c r="D2817" t="n">
        <v>15213</v>
      </c>
      <c r="E2817" t="s">
        <v>2807</v>
      </c>
      <c r="F2817" t="s"/>
      <c r="G2817" t="s"/>
      <c r="H2817" t="s"/>
      <c r="I2817" t="s"/>
      <c r="J2817" t="n">
        <v>0.4767</v>
      </c>
      <c r="K2817" t="n">
        <v>0</v>
      </c>
      <c r="L2817" t="n">
        <v>0.853</v>
      </c>
      <c r="M2817" t="n">
        <v>0.147</v>
      </c>
    </row>
    <row r="2818" spans="1:13">
      <c r="A2818" s="1">
        <f>HYPERLINK("http://www.twitter.com/NathanBLawrence/status/954203679514652672", "954203679514652672")</f>
        <v/>
      </c>
      <c r="B2818" s="2" t="n">
        <v>43119.17199074074</v>
      </c>
      <c r="C2818" t="n">
        <v>0</v>
      </c>
      <c r="D2818" t="n">
        <v>1329</v>
      </c>
      <c r="E2818" t="s">
        <v>2808</v>
      </c>
      <c r="F2818">
        <f>HYPERLINK("http://pbs.twimg.com/media/DT31UVWUMAA4MyH.jpg", "http://pbs.twimg.com/media/DT31UVWUMAA4MyH.jpg")</f>
        <v/>
      </c>
      <c r="G2818">
        <f>HYPERLINK("http://pbs.twimg.com/media/DT31UVYVMAA1z76.jpg", "http://pbs.twimg.com/media/DT31UVYVMAA1z76.jpg")</f>
        <v/>
      </c>
      <c r="H2818" t="s"/>
      <c r="I2818" t="s"/>
      <c r="J2818" t="n">
        <v>0.4767</v>
      </c>
      <c r="K2818" t="n">
        <v>0</v>
      </c>
      <c r="L2818" t="n">
        <v>0.86</v>
      </c>
      <c r="M2818" t="n">
        <v>0.14</v>
      </c>
    </row>
    <row r="2819" spans="1:13">
      <c r="A2819" s="1">
        <f>HYPERLINK("http://www.twitter.com/NathanBLawrence/status/954203264383422464", "954203264383422464")</f>
        <v/>
      </c>
      <c r="B2819" s="2" t="n">
        <v>43119.17084490741</v>
      </c>
      <c r="C2819" t="n">
        <v>0</v>
      </c>
      <c r="D2819" t="n">
        <v>820</v>
      </c>
      <c r="E2819" t="s">
        <v>2809</v>
      </c>
      <c r="F2819">
        <f>HYPERLINK("http://pbs.twimg.com/media/DT34NewWkAAQYSz.jpg", "http://pbs.twimg.com/media/DT34NewWkAAQYSz.jpg")</f>
        <v/>
      </c>
      <c r="G2819">
        <f>HYPERLINK("http://pbs.twimg.com/media/DT34NewX0AApnI-.jpg", "http://pbs.twimg.com/media/DT34NewX0AApnI-.jpg")</f>
        <v/>
      </c>
      <c r="H2819">
        <f>HYPERLINK("http://pbs.twimg.com/media/DT34NezXUAAcfKE.jpg", "http://pbs.twimg.com/media/DT34NezXUAAcfKE.jpg")</f>
        <v/>
      </c>
      <c r="I2819" t="s"/>
      <c r="J2819" t="n">
        <v>0.4939</v>
      </c>
      <c r="K2819" t="n">
        <v>0</v>
      </c>
      <c r="L2819" t="n">
        <v>0.873</v>
      </c>
      <c r="M2819" t="n">
        <v>0.127</v>
      </c>
    </row>
    <row r="2820" spans="1:13">
      <c r="A2820" s="1">
        <f>HYPERLINK("http://www.twitter.com/NathanBLawrence/status/954202515788238848", "954202515788238848")</f>
        <v/>
      </c>
      <c r="B2820" s="2" t="n">
        <v>43119.16877314815</v>
      </c>
      <c r="C2820" t="n">
        <v>0</v>
      </c>
      <c r="D2820" t="n">
        <v>4282</v>
      </c>
      <c r="E2820" t="s">
        <v>2810</v>
      </c>
      <c r="F2820" t="s"/>
      <c r="G2820" t="s"/>
      <c r="H2820" t="s"/>
      <c r="I2820" t="s"/>
      <c r="J2820" t="n">
        <v>-0.6369</v>
      </c>
      <c r="K2820" t="n">
        <v>0.189</v>
      </c>
      <c r="L2820" t="n">
        <v>0.8110000000000001</v>
      </c>
      <c r="M2820" t="n">
        <v>0</v>
      </c>
    </row>
    <row r="2821" spans="1:13">
      <c r="A2821" s="1">
        <f>HYPERLINK("http://www.twitter.com/NathanBLawrence/status/954202324972523522", "954202324972523522")</f>
        <v/>
      </c>
      <c r="B2821" s="2" t="n">
        <v>43119.16825231481</v>
      </c>
      <c r="C2821" t="n">
        <v>0</v>
      </c>
      <c r="D2821" t="n">
        <v>677</v>
      </c>
      <c r="E2821" t="s">
        <v>2811</v>
      </c>
      <c r="F2821" t="s"/>
      <c r="G2821" t="s"/>
      <c r="H2821" t="s"/>
      <c r="I2821" t="s"/>
      <c r="J2821" t="n">
        <v>0</v>
      </c>
      <c r="K2821" t="n">
        <v>0</v>
      </c>
      <c r="L2821" t="n">
        <v>1</v>
      </c>
      <c r="M2821" t="n">
        <v>0</v>
      </c>
    </row>
    <row r="2822" spans="1:13">
      <c r="A2822" s="1">
        <f>HYPERLINK("http://www.twitter.com/NathanBLawrence/status/954201512749686785", "954201512749686785")</f>
        <v/>
      </c>
      <c r="B2822" s="2" t="n">
        <v>43119.16600694445</v>
      </c>
      <c r="C2822" t="n">
        <v>0</v>
      </c>
      <c r="D2822" t="n">
        <v>474</v>
      </c>
      <c r="E2822" t="s">
        <v>2812</v>
      </c>
      <c r="F2822" t="s"/>
      <c r="G2822" t="s"/>
      <c r="H2822" t="s"/>
      <c r="I2822" t="s"/>
      <c r="J2822" t="n">
        <v>-0.4404</v>
      </c>
      <c r="K2822" t="n">
        <v>0.145</v>
      </c>
      <c r="L2822" t="n">
        <v>0.788</v>
      </c>
      <c r="M2822" t="n">
        <v>0.066</v>
      </c>
    </row>
    <row r="2823" spans="1:13">
      <c r="A2823" s="1">
        <f>HYPERLINK("http://www.twitter.com/NathanBLawrence/status/954200569174024192", "954200569174024192")</f>
        <v/>
      </c>
      <c r="B2823" s="2" t="n">
        <v>43119.16340277778</v>
      </c>
      <c r="C2823" t="n">
        <v>0</v>
      </c>
      <c r="D2823" t="n">
        <v>966</v>
      </c>
      <c r="E2823" t="s">
        <v>2813</v>
      </c>
      <c r="F2823">
        <f>HYPERLINK("http://pbs.twimg.com/media/DT3-gW8WAAAYezI.jpg", "http://pbs.twimg.com/media/DT3-gW8WAAAYezI.jpg")</f>
        <v/>
      </c>
      <c r="G2823" t="s"/>
      <c r="H2823" t="s"/>
      <c r="I2823" t="s"/>
      <c r="J2823" t="n">
        <v>0.2023</v>
      </c>
      <c r="K2823" t="n">
        <v>0</v>
      </c>
      <c r="L2823" t="n">
        <v>0.917</v>
      </c>
      <c r="M2823" t="n">
        <v>0.083</v>
      </c>
    </row>
    <row r="2824" spans="1:13">
      <c r="A2824" s="1">
        <f>HYPERLINK("http://www.twitter.com/NathanBLawrence/status/954199664030617600", "954199664030617600")</f>
        <v/>
      </c>
      <c r="B2824" s="2" t="n">
        <v>43119.16090277778</v>
      </c>
      <c r="C2824" t="n">
        <v>0</v>
      </c>
      <c r="D2824" t="n">
        <v>13121</v>
      </c>
      <c r="E2824" t="s">
        <v>2814</v>
      </c>
      <c r="F2824" t="s"/>
      <c r="G2824" t="s"/>
      <c r="H2824" t="s"/>
      <c r="I2824" t="s"/>
      <c r="J2824" t="n">
        <v>-0.4939</v>
      </c>
      <c r="K2824" t="n">
        <v>0.239</v>
      </c>
      <c r="L2824" t="n">
        <v>0.644</v>
      </c>
      <c r="M2824" t="n">
        <v>0.117</v>
      </c>
    </row>
    <row r="2825" spans="1:13">
      <c r="A2825" s="1">
        <f>HYPERLINK("http://www.twitter.com/NathanBLawrence/status/954199367765946369", "954199367765946369")</f>
        <v/>
      </c>
      <c r="B2825" s="2" t="n">
        <v>43119.1600925926</v>
      </c>
      <c r="C2825" t="n">
        <v>0</v>
      </c>
      <c r="D2825" t="n">
        <v>2307</v>
      </c>
      <c r="E2825" t="s">
        <v>2815</v>
      </c>
      <c r="F2825" t="s"/>
      <c r="G2825" t="s"/>
      <c r="H2825" t="s"/>
      <c r="I2825" t="s"/>
      <c r="J2825" t="n">
        <v>-0.5423</v>
      </c>
      <c r="K2825" t="n">
        <v>0.156</v>
      </c>
      <c r="L2825" t="n">
        <v>0.844</v>
      </c>
      <c r="M2825" t="n">
        <v>0</v>
      </c>
    </row>
    <row r="2826" spans="1:13">
      <c r="A2826" s="1">
        <f>HYPERLINK("http://www.twitter.com/NathanBLawrence/status/954199273524092928", "954199273524092928")</f>
        <v/>
      </c>
      <c r="B2826" s="2" t="n">
        <v>43119.15982638889</v>
      </c>
      <c r="C2826" t="n">
        <v>0</v>
      </c>
      <c r="D2826" t="n">
        <v>43933</v>
      </c>
      <c r="E2826" t="s">
        <v>2816</v>
      </c>
      <c r="F2826" t="s"/>
      <c r="G2826" t="s"/>
      <c r="H2826" t="s"/>
      <c r="I2826" t="s"/>
      <c r="J2826" t="n">
        <v>-0.0772</v>
      </c>
      <c r="K2826" t="n">
        <v>0.181</v>
      </c>
      <c r="L2826" t="n">
        <v>0.647</v>
      </c>
      <c r="M2826" t="n">
        <v>0.172</v>
      </c>
    </row>
    <row r="2827" spans="1:13">
      <c r="A2827" s="1">
        <f>HYPERLINK("http://www.twitter.com/NathanBLawrence/status/954184911937785856", "954184911937785856")</f>
        <v/>
      </c>
      <c r="B2827" s="2" t="n">
        <v>43119.12019675926</v>
      </c>
      <c r="C2827" t="n">
        <v>0</v>
      </c>
      <c r="D2827" t="n">
        <v>21</v>
      </c>
      <c r="E2827" t="s">
        <v>2817</v>
      </c>
      <c r="F2827">
        <f>HYPERLINK("http://pbs.twimg.com/media/DT3JjPYW4AAlK17.jpg", "http://pbs.twimg.com/media/DT3JjPYW4AAlK17.jpg")</f>
        <v/>
      </c>
      <c r="G2827" t="s"/>
      <c r="H2827" t="s"/>
      <c r="I2827" t="s"/>
      <c r="J2827" t="n">
        <v>0.5848</v>
      </c>
      <c r="K2827" t="n">
        <v>0</v>
      </c>
      <c r="L2827" t="n">
        <v>0.799</v>
      </c>
      <c r="M2827" t="n">
        <v>0.201</v>
      </c>
    </row>
    <row r="2828" spans="1:13">
      <c r="A2828" s="1">
        <f>HYPERLINK("http://www.twitter.com/NathanBLawrence/status/954184844195614720", "954184844195614720")</f>
        <v/>
      </c>
      <c r="B2828" s="2" t="n">
        <v>43119.12001157407</v>
      </c>
      <c r="C2828" t="n">
        <v>2</v>
      </c>
      <c r="D2828" t="n">
        <v>2</v>
      </c>
      <c r="E2828" t="s">
        <v>2818</v>
      </c>
      <c r="F2828" t="s"/>
      <c r="G2828" t="s"/>
      <c r="H2828" t="s"/>
      <c r="I2828" t="s"/>
      <c r="J2828" t="n">
        <v>0</v>
      </c>
      <c r="K2828" t="n">
        <v>0</v>
      </c>
      <c r="L2828" t="n">
        <v>1</v>
      </c>
      <c r="M2828" t="n">
        <v>0</v>
      </c>
    </row>
    <row r="2829" spans="1:13">
      <c r="A2829" s="1">
        <f>HYPERLINK("http://www.twitter.com/NathanBLawrence/status/954170859375165441", "954170859375165441")</f>
        <v/>
      </c>
      <c r="B2829" s="2" t="n">
        <v>43119.08142361111</v>
      </c>
      <c r="C2829" t="n">
        <v>0</v>
      </c>
      <c r="D2829" t="n">
        <v>0</v>
      </c>
      <c r="E2829" t="s">
        <v>2819</v>
      </c>
      <c r="F2829" t="s"/>
      <c r="G2829" t="s"/>
      <c r="H2829" t="s"/>
      <c r="I2829" t="s"/>
      <c r="J2829" t="n">
        <v>0.7218</v>
      </c>
      <c r="K2829" t="n">
        <v>0</v>
      </c>
      <c r="L2829" t="n">
        <v>0.8120000000000001</v>
      </c>
      <c r="M2829" t="n">
        <v>0.188</v>
      </c>
    </row>
    <row r="2830" spans="1:13">
      <c r="A2830" s="1">
        <f>HYPERLINK("http://www.twitter.com/NathanBLawrence/status/954169284674097153", "954169284674097153")</f>
        <v/>
      </c>
      <c r="B2830" s="2" t="n">
        <v>43119.07707175926</v>
      </c>
      <c r="C2830" t="n">
        <v>1</v>
      </c>
      <c r="D2830" t="n">
        <v>1</v>
      </c>
      <c r="E2830" t="s">
        <v>2820</v>
      </c>
      <c r="F2830" t="s"/>
      <c r="G2830" t="s"/>
      <c r="H2830" t="s"/>
      <c r="I2830" t="s"/>
      <c r="J2830" t="n">
        <v>0</v>
      </c>
      <c r="K2830" t="n">
        <v>0</v>
      </c>
      <c r="L2830" t="n">
        <v>1</v>
      </c>
      <c r="M2830" t="n">
        <v>0</v>
      </c>
    </row>
    <row r="2831" spans="1:13">
      <c r="A2831" s="1">
        <f>HYPERLINK("http://www.twitter.com/NathanBLawrence/status/954083211394547714", "954083211394547714")</f>
        <v/>
      </c>
      <c r="B2831" s="2" t="n">
        <v>43118.83956018519</v>
      </c>
      <c r="C2831" t="n">
        <v>3</v>
      </c>
      <c r="D2831" t="n">
        <v>0</v>
      </c>
      <c r="E2831" t="s">
        <v>2821</v>
      </c>
      <c r="F2831" t="s"/>
      <c r="G2831" t="s"/>
      <c r="H2831" t="s"/>
      <c r="I2831" t="s"/>
      <c r="J2831" t="n">
        <v>0.2656</v>
      </c>
      <c r="K2831" t="n">
        <v>0.052</v>
      </c>
      <c r="L2831" t="n">
        <v>0.87</v>
      </c>
      <c r="M2831" t="n">
        <v>0.079</v>
      </c>
    </row>
    <row r="2832" spans="1:13">
      <c r="A2832" s="1">
        <f>HYPERLINK("http://www.twitter.com/NathanBLawrence/status/954078309872218112", "954078309872218112")</f>
        <v/>
      </c>
      <c r="B2832" s="2" t="n">
        <v>43118.82603009259</v>
      </c>
      <c r="C2832" t="n">
        <v>2</v>
      </c>
      <c r="D2832" t="n">
        <v>1</v>
      </c>
      <c r="E2832" t="s">
        <v>2822</v>
      </c>
      <c r="F2832" t="s"/>
      <c r="G2832" t="s"/>
      <c r="H2832" t="s"/>
      <c r="I2832" t="s"/>
      <c r="J2832" t="n">
        <v>0</v>
      </c>
      <c r="K2832" t="n">
        <v>0</v>
      </c>
      <c r="L2832" t="n">
        <v>1</v>
      </c>
      <c r="M2832" t="n">
        <v>0</v>
      </c>
    </row>
    <row r="2833" spans="1:13">
      <c r="A2833" s="1">
        <f>HYPERLINK("http://www.twitter.com/NathanBLawrence/status/954076601238671360", "954076601238671360")</f>
        <v/>
      </c>
      <c r="B2833" s="2" t="n">
        <v>43118.82131944445</v>
      </c>
      <c r="C2833" t="n">
        <v>0</v>
      </c>
      <c r="D2833" t="n">
        <v>27</v>
      </c>
      <c r="E2833" t="s">
        <v>2823</v>
      </c>
      <c r="F2833">
        <f>HYPERLINK("https://video.twimg.com/ext_tw_video/954075113871192064/pu/vid/1280x720/PYAen8n42IdAoZLV.mp4", "https://video.twimg.com/ext_tw_video/954075113871192064/pu/vid/1280x720/PYAen8n42IdAoZLV.mp4")</f>
        <v/>
      </c>
      <c r="G2833" t="s"/>
      <c r="H2833" t="s"/>
      <c r="I2833" t="s"/>
      <c r="J2833" t="n">
        <v>0.4753</v>
      </c>
      <c r="K2833" t="n">
        <v>0</v>
      </c>
      <c r="L2833" t="n">
        <v>0.764</v>
      </c>
      <c r="M2833" t="n">
        <v>0.236</v>
      </c>
    </row>
    <row r="2834" spans="1:13">
      <c r="A2834" s="1">
        <f>HYPERLINK("http://www.twitter.com/NathanBLawrence/status/954072501402980352", "954072501402980352")</f>
        <v/>
      </c>
      <c r="B2834" s="2" t="n">
        <v>43118.81</v>
      </c>
      <c r="C2834" t="n">
        <v>0</v>
      </c>
      <c r="D2834" t="n">
        <v>216</v>
      </c>
      <c r="E2834" t="s">
        <v>2824</v>
      </c>
      <c r="F2834">
        <f>HYPERLINK("http://pbs.twimg.com/media/DT1_jxGVwAAit_V.jpg", "http://pbs.twimg.com/media/DT1_jxGVwAAit_V.jpg")</f>
        <v/>
      </c>
      <c r="G2834" t="s"/>
      <c r="H2834" t="s"/>
      <c r="I2834" t="s"/>
      <c r="J2834" t="n">
        <v>-0.694</v>
      </c>
      <c r="K2834" t="n">
        <v>0.242</v>
      </c>
      <c r="L2834" t="n">
        <v>0.758</v>
      </c>
      <c r="M2834" t="n">
        <v>0</v>
      </c>
    </row>
    <row r="2835" spans="1:13">
      <c r="A2835" s="1">
        <f>HYPERLINK("http://www.twitter.com/NathanBLawrence/status/954070538015662081", "954070538015662081")</f>
        <v/>
      </c>
      <c r="B2835" s="2" t="n">
        <v>43118.80458333333</v>
      </c>
      <c r="C2835" t="n">
        <v>12</v>
      </c>
      <c r="D2835" t="n">
        <v>12</v>
      </c>
      <c r="E2835" t="s">
        <v>2825</v>
      </c>
      <c r="F2835" t="s"/>
      <c r="G2835" t="s"/>
      <c r="H2835" t="s"/>
      <c r="I2835" t="s"/>
      <c r="J2835" t="n">
        <v>0.9567</v>
      </c>
      <c r="K2835" t="n">
        <v>0</v>
      </c>
      <c r="L2835" t="n">
        <v>0.595</v>
      </c>
      <c r="M2835" t="n">
        <v>0.405</v>
      </c>
    </row>
    <row r="2836" spans="1:13">
      <c r="A2836" s="1">
        <f>HYPERLINK("http://www.twitter.com/NathanBLawrence/status/954034979041890304", "954034979041890304")</f>
        <v/>
      </c>
      <c r="B2836" s="2" t="n">
        <v>43118.70645833333</v>
      </c>
      <c r="C2836" t="n">
        <v>0</v>
      </c>
      <c r="D2836" t="n">
        <v>1</v>
      </c>
      <c r="E2836" t="s">
        <v>2826</v>
      </c>
      <c r="F2836" t="s"/>
      <c r="G2836" t="s"/>
      <c r="H2836" t="s"/>
      <c r="I2836" t="s"/>
      <c r="J2836" t="n">
        <v>0</v>
      </c>
      <c r="K2836" t="n">
        <v>0</v>
      </c>
      <c r="L2836" t="n">
        <v>1</v>
      </c>
      <c r="M2836" t="n">
        <v>0</v>
      </c>
    </row>
    <row r="2837" spans="1:13">
      <c r="A2837" s="1">
        <f>HYPERLINK("http://www.twitter.com/NathanBLawrence/status/954034785952903168", "954034785952903168")</f>
        <v/>
      </c>
      <c r="B2837" s="2" t="n">
        <v>43118.70592592593</v>
      </c>
      <c r="C2837" t="n">
        <v>6</v>
      </c>
      <c r="D2837" t="n">
        <v>3</v>
      </c>
      <c r="E2837" t="s">
        <v>2827</v>
      </c>
      <c r="F2837" t="s"/>
      <c r="G2837" t="s"/>
      <c r="H2837" t="s"/>
      <c r="I2837" t="s"/>
      <c r="J2837" t="n">
        <v>-0.2909</v>
      </c>
      <c r="K2837" t="n">
        <v>0.211</v>
      </c>
      <c r="L2837" t="n">
        <v>0.613</v>
      </c>
      <c r="M2837" t="n">
        <v>0.176</v>
      </c>
    </row>
    <row r="2838" spans="1:13">
      <c r="A2838" s="1">
        <f>HYPERLINK("http://www.twitter.com/NathanBLawrence/status/954033504072986625", "954033504072986625")</f>
        <v/>
      </c>
      <c r="B2838" s="2" t="n">
        <v>43118.70239583333</v>
      </c>
      <c r="C2838" t="n">
        <v>0</v>
      </c>
      <c r="D2838" t="n">
        <v>0</v>
      </c>
      <c r="E2838" t="s">
        <v>2828</v>
      </c>
      <c r="F2838" t="s"/>
      <c r="G2838" t="s"/>
      <c r="H2838" t="s"/>
      <c r="I2838" t="s"/>
      <c r="J2838" t="n">
        <v>0</v>
      </c>
      <c r="K2838" t="n">
        <v>0</v>
      </c>
      <c r="L2838" t="n">
        <v>1</v>
      </c>
      <c r="M2838" t="n">
        <v>0</v>
      </c>
    </row>
    <row r="2839" spans="1:13">
      <c r="A2839" s="1">
        <f>HYPERLINK("http://www.twitter.com/NathanBLawrence/status/954032602163417088", "954032602163417088")</f>
        <v/>
      </c>
      <c r="B2839" s="2" t="n">
        <v>43118.6999074074</v>
      </c>
      <c r="C2839" t="n">
        <v>10</v>
      </c>
      <c r="D2839" t="n">
        <v>6</v>
      </c>
      <c r="E2839" t="s">
        <v>2829</v>
      </c>
      <c r="F2839" t="s"/>
      <c r="G2839" t="s"/>
      <c r="H2839" t="s"/>
      <c r="I2839" t="s"/>
      <c r="J2839" t="n">
        <v>0</v>
      </c>
      <c r="K2839" t="n">
        <v>0</v>
      </c>
      <c r="L2839" t="n">
        <v>1</v>
      </c>
      <c r="M2839" t="n">
        <v>0</v>
      </c>
    </row>
    <row r="2840" spans="1:13">
      <c r="A2840" s="1">
        <f>HYPERLINK("http://www.twitter.com/NathanBLawrence/status/954032292938289153", "954032292938289153")</f>
        <v/>
      </c>
      <c r="B2840" s="2" t="n">
        <v>43118.69905092593</v>
      </c>
      <c r="C2840" t="n">
        <v>2</v>
      </c>
      <c r="D2840" t="n">
        <v>2</v>
      </c>
      <c r="E2840" t="s">
        <v>2830</v>
      </c>
      <c r="F2840" t="s"/>
      <c r="G2840" t="s"/>
      <c r="H2840" t="s"/>
      <c r="I2840" t="s"/>
      <c r="J2840" t="n">
        <v>0</v>
      </c>
      <c r="K2840" t="n">
        <v>0</v>
      </c>
      <c r="L2840" t="n">
        <v>1</v>
      </c>
      <c r="M2840" t="n">
        <v>0</v>
      </c>
    </row>
    <row r="2841" spans="1:13">
      <c r="A2841" s="1">
        <f>HYPERLINK("http://www.twitter.com/NathanBLawrence/status/954026461547122688", "954026461547122688")</f>
        <v/>
      </c>
      <c r="B2841" s="2" t="n">
        <v>43118.68296296296</v>
      </c>
      <c r="C2841" t="n">
        <v>0</v>
      </c>
      <c r="D2841" t="n">
        <v>33</v>
      </c>
      <c r="E2841" t="s">
        <v>2831</v>
      </c>
      <c r="F2841" t="s"/>
      <c r="G2841" t="s"/>
      <c r="H2841" t="s"/>
      <c r="I2841" t="s"/>
      <c r="J2841" t="n">
        <v>-0.347</v>
      </c>
      <c r="K2841" t="n">
        <v>0.156</v>
      </c>
      <c r="L2841" t="n">
        <v>0.761</v>
      </c>
      <c r="M2841" t="n">
        <v>0.082</v>
      </c>
    </row>
    <row r="2842" spans="1:13">
      <c r="A2842" s="1">
        <f>HYPERLINK("http://www.twitter.com/NathanBLawrence/status/954025757793189891", "954025757793189891")</f>
        <v/>
      </c>
      <c r="B2842" s="2" t="n">
        <v>43118.68101851852</v>
      </c>
      <c r="C2842" t="n">
        <v>0</v>
      </c>
      <c r="D2842" t="n">
        <v>10</v>
      </c>
      <c r="E2842" t="s">
        <v>2832</v>
      </c>
      <c r="F2842">
        <f>HYPERLINK("http://pbs.twimg.com/media/DT1gMPXWkAAEn9b.jpg", "http://pbs.twimg.com/media/DT1gMPXWkAAEn9b.jpg")</f>
        <v/>
      </c>
      <c r="G2842" t="s"/>
      <c r="H2842" t="s"/>
      <c r="I2842" t="s"/>
      <c r="J2842" t="n">
        <v>0.8519</v>
      </c>
      <c r="K2842" t="n">
        <v>0.108</v>
      </c>
      <c r="L2842" t="n">
        <v>0.425</v>
      </c>
      <c r="M2842" t="n">
        <v>0.467</v>
      </c>
    </row>
    <row r="2843" spans="1:13">
      <c r="A2843" s="1">
        <f>HYPERLINK("http://www.twitter.com/NathanBLawrence/status/954025680412475393", "954025680412475393")</f>
        <v/>
      </c>
      <c r="B2843" s="2" t="n">
        <v>43118.68079861111</v>
      </c>
      <c r="C2843" t="n">
        <v>0</v>
      </c>
      <c r="D2843" t="n">
        <v>30</v>
      </c>
      <c r="E2843" t="s">
        <v>2833</v>
      </c>
      <c r="F2843">
        <f>HYPERLINK("http://pbs.twimg.com/media/DTnMMXVXUAYESwk.jpg", "http://pbs.twimg.com/media/DTnMMXVXUAYESwk.jpg")</f>
        <v/>
      </c>
      <c r="G2843" t="s"/>
      <c r="H2843" t="s"/>
      <c r="I2843" t="s"/>
      <c r="J2843" t="n">
        <v>0</v>
      </c>
      <c r="K2843" t="n">
        <v>0</v>
      </c>
      <c r="L2843" t="n">
        <v>1</v>
      </c>
      <c r="M2843" t="n">
        <v>0</v>
      </c>
    </row>
    <row r="2844" spans="1:13">
      <c r="A2844" s="1">
        <f>HYPERLINK("http://www.twitter.com/NathanBLawrence/status/954025579992449024", "954025579992449024")</f>
        <v/>
      </c>
      <c r="B2844" s="2" t="n">
        <v>43118.68052083333</v>
      </c>
      <c r="C2844" t="n">
        <v>4</v>
      </c>
      <c r="D2844" t="n">
        <v>6</v>
      </c>
      <c r="E2844" t="s">
        <v>2834</v>
      </c>
      <c r="F2844" t="s"/>
      <c r="G2844" t="s"/>
      <c r="H2844" t="s"/>
      <c r="I2844" t="s"/>
      <c r="J2844" t="n">
        <v>0</v>
      </c>
      <c r="K2844" t="n">
        <v>0</v>
      </c>
      <c r="L2844" t="n">
        <v>1</v>
      </c>
      <c r="M2844" t="n">
        <v>0</v>
      </c>
    </row>
    <row r="2845" spans="1:13">
      <c r="A2845" s="1">
        <f>HYPERLINK("http://www.twitter.com/NathanBLawrence/status/954024638073462789", "954024638073462789")</f>
        <v/>
      </c>
      <c r="B2845" s="2" t="n">
        <v>43118.67792824074</v>
      </c>
      <c r="C2845" t="n">
        <v>0</v>
      </c>
      <c r="D2845" t="n">
        <v>30</v>
      </c>
      <c r="E2845" t="s">
        <v>2835</v>
      </c>
      <c r="F2845">
        <f>HYPERLINK("http://pbs.twimg.com/media/DT1TSFFUQAE4VBt.jpg", "http://pbs.twimg.com/media/DT1TSFFUQAE4VBt.jpg")</f>
        <v/>
      </c>
      <c r="G2845" t="s"/>
      <c r="H2845" t="s"/>
      <c r="I2845" t="s"/>
      <c r="J2845" t="n">
        <v>0.6486</v>
      </c>
      <c r="K2845" t="n">
        <v>0</v>
      </c>
      <c r="L2845" t="n">
        <v>0.71</v>
      </c>
      <c r="M2845" t="n">
        <v>0.29</v>
      </c>
    </row>
    <row r="2846" spans="1:13">
      <c r="A2846" s="1">
        <f>HYPERLINK("http://www.twitter.com/NathanBLawrence/status/954012826032623616", "954012826032623616")</f>
        <v/>
      </c>
      <c r="B2846" s="2" t="n">
        <v>43118.64533564815</v>
      </c>
      <c r="C2846" t="n">
        <v>0</v>
      </c>
      <c r="D2846" t="n">
        <v>26</v>
      </c>
      <c r="E2846" t="s">
        <v>2836</v>
      </c>
      <c r="F2846" t="s"/>
      <c r="G2846" t="s"/>
      <c r="H2846" t="s"/>
      <c r="I2846" t="s"/>
      <c r="J2846" t="n">
        <v>0.5473</v>
      </c>
      <c r="K2846" t="n">
        <v>0</v>
      </c>
      <c r="L2846" t="n">
        <v>0.8090000000000001</v>
      </c>
      <c r="M2846" t="n">
        <v>0.191</v>
      </c>
    </row>
    <row r="2847" spans="1:13">
      <c r="A2847" s="1">
        <f>HYPERLINK("http://www.twitter.com/NathanBLawrence/status/954012691043057665", "954012691043057665")</f>
        <v/>
      </c>
      <c r="B2847" s="2" t="n">
        <v>43118.6449537037</v>
      </c>
      <c r="C2847" t="n">
        <v>21</v>
      </c>
      <c r="D2847" t="n">
        <v>26</v>
      </c>
      <c r="E2847" t="s">
        <v>2837</v>
      </c>
      <c r="F2847" t="s"/>
      <c r="G2847" t="s"/>
      <c r="H2847" t="s"/>
      <c r="I2847" t="s"/>
      <c r="J2847" t="n">
        <v>0.8779</v>
      </c>
      <c r="K2847" t="n">
        <v>0</v>
      </c>
      <c r="L2847" t="n">
        <v>0.695</v>
      </c>
      <c r="M2847" t="n">
        <v>0.305</v>
      </c>
    </row>
    <row r="2848" spans="1:13">
      <c r="A2848" s="1">
        <f>HYPERLINK("http://www.twitter.com/NathanBLawrence/status/954008504263684098", "954008504263684098")</f>
        <v/>
      </c>
      <c r="B2848" s="2" t="n">
        <v>43118.63340277778</v>
      </c>
      <c r="C2848" t="n">
        <v>15</v>
      </c>
      <c r="D2848" t="n">
        <v>17</v>
      </c>
      <c r="E2848" t="s">
        <v>2838</v>
      </c>
      <c r="F2848" t="s"/>
      <c r="G2848" t="s"/>
      <c r="H2848" t="s"/>
      <c r="I2848" t="s"/>
      <c r="J2848" t="n">
        <v>0.8087</v>
      </c>
      <c r="K2848" t="n">
        <v>0.07099999999999999</v>
      </c>
      <c r="L2848" t="n">
        <v>0.721</v>
      </c>
      <c r="M2848" t="n">
        <v>0.209</v>
      </c>
    </row>
    <row r="2849" spans="1:13">
      <c r="A2849" s="1">
        <f>HYPERLINK("http://www.twitter.com/NathanBLawrence/status/954003120866123777", "954003120866123777")</f>
        <v/>
      </c>
      <c r="B2849" s="2" t="n">
        <v>43118.61855324074</v>
      </c>
      <c r="C2849" t="n">
        <v>0</v>
      </c>
      <c r="D2849" t="n">
        <v>91</v>
      </c>
      <c r="E2849" t="s">
        <v>2839</v>
      </c>
      <c r="F2849" t="s"/>
      <c r="G2849" t="s"/>
      <c r="H2849" t="s"/>
      <c r="I2849" t="s"/>
      <c r="J2849" t="n">
        <v>0.743</v>
      </c>
      <c r="K2849" t="n">
        <v>0</v>
      </c>
      <c r="L2849" t="n">
        <v>0.6899999999999999</v>
      </c>
      <c r="M2849" t="n">
        <v>0.31</v>
      </c>
    </row>
    <row r="2850" spans="1:13">
      <c r="A2850" s="1">
        <f>HYPERLINK("http://www.twitter.com/NathanBLawrence/status/954002875272790016", "954002875272790016")</f>
        <v/>
      </c>
      <c r="B2850" s="2" t="n">
        <v>43118.61787037037</v>
      </c>
      <c r="C2850" t="n">
        <v>0</v>
      </c>
      <c r="D2850" t="n">
        <v>73</v>
      </c>
      <c r="E2850" t="s">
        <v>2840</v>
      </c>
      <c r="F2850" t="s"/>
      <c r="G2850" t="s"/>
      <c r="H2850" t="s"/>
      <c r="I2850" t="s"/>
      <c r="J2850" t="n">
        <v>0</v>
      </c>
      <c r="K2850" t="n">
        <v>0.106</v>
      </c>
      <c r="L2850" t="n">
        <v>0.787</v>
      </c>
      <c r="M2850" t="n">
        <v>0.106</v>
      </c>
    </row>
    <row r="2851" spans="1:13">
      <c r="A2851" s="1">
        <f>HYPERLINK("http://www.twitter.com/NathanBLawrence/status/953828307312824321", "953828307312824321")</f>
        <v/>
      </c>
      <c r="B2851" s="2" t="n">
        <v>43118.13615740741</v>
      </c>
      <c r="C2851" t="n">
        <v>0</v>
      </c>
      <c r="D2851" t="n">
        <v>150</v>
      </c>
      <c r="E2851" t="s">
        <v>2841</v>
      </c>
      <c r="F2851" t="s"/>
      <c r="G2851" t="s"/>
      <c r="H2851" t="s"/>
      <c r="I2851" t="s"/>
      <c r="J2851" t="n">
        <v>-0.1511</v>
      </c>
      <c r="K2851" t="n">
        <v>0.137</v>
      </c>
      <c r="L2851" t="n">
        <v>0.863</v>
      </c>
      <c r="M2851" t="n">
        <v>0</v>
      </c>
    </row>
    <row r="2852" spans="1:13">
      <c r="A2852" s="1">
        <f>HYPERLINK("http://www.twitter.com/NathanBLawrence/status/953796514643611649", "953796514643611649")</f>
        <v/>
      </c>
      <c r="B2852" s="2" t="n">
        <v>43118.04842592592</v>
      </c>
      <c r="C2852" t="n">
        <v>0</v>
      </c>
      <c r="D2852" t="n">
        <v>0</v>
      </c>
      <c r="E2852" t="s">
        <v>2842</v>
      </c>
      <c r="F2852">
        <f>HYPERLINK("http://pbs.twimg.com/media/DTyQ3oKX4AE_zep.jpg", "http://pbs.twimg.com/media/DTyQ3oKX4AE_zep.jpg")</f>
        <v/>
      </c>
      <c r="G2852" t="s"/>
      <c r="H2852" t="s"/>
      <c r="I2852" t="s"/>
      <c r="J2852" t="n">
        <v>0</v>
      </c>
      <c r="K2852" t="n">
        <v>0</v>
      </c>
      <c r="L2852" t="n">
        <v>1</v>
      </c>
      <c r="M2852" t="n">
        <v>0</v>
      </c>
    </row>
    <row r="2853" spans="1:13">
      <c r="A2853" s="1">
        <f>HYPERLINK("http://www.twitter.com/NathanBLawrence/status/953793251030466560", "953793251030466560")</f>
        <v/>
      </c>
      <c r="B2853" s="2" t="n">
        <v>43118.03942129629</v>
      </c>
      <c r="C2853" t="n">
        <v>0</v>
      </c>
      <c r="D2853" t="n">
        <v>187</v>
      </c>
      <c r="E2853" t="s">
        <v>2843</v>
      </c>
      <c r="F2853">
        <f>HYPERLINK("http://pbs.twimg.com/media/DTyM_mvWAAIdFxA.jpg", "http://pbs.twimg.com/media/DTyM_mvWAAIdFxA.jpg")</f>
        <v/>
      </c>
      <c r="G2853" t="s"/>
      <c r="H2853" t="s"/>
      <c r="I2853" t="s"/>
      <c r="J2853" t="n">
        <v>0</v>
      </c>
      <c r="K2853" t="n">
        <v>0</v>
      </c>
      <c r="L2853" t="n">
        <v>1</v>
      </c>
      <c r="M2853" t="n">
        <v>0</v>
      </c>
    </row>
    <row r="2854" spans="1:13">
      <c r="A2854" s="1">
        <f>HYPERLINK("http://www.twitter.com/NathanBLawrence/status/953773178127618048", "953773178127618048")</f>
        <v/>
      </c>
      <c r="B2854" s="2" t="n">
        <v>43117.98402777778</v>
      </c>
      <c r="C2854" t="n">
        <v>0</v>
      </c>
      <c r="D2854" t="n">
        <v>276</v>
      </c>
      <c r="E2854" t="s">
        <v>2844</v>
      </c>
      <c r="F2854">
        <f>HYPERLINK("http://pbs.twimg.com/media/DTvhOqwU0AA7Hmt.jpg", "http://pbs.twimg.com/media/DTvhOqwU0AA7Hmt.jpg")</f>
        <v/>
      </c>
      <c r="G2854" t="s"/>
      <c r="H2854" t="s"/>
      <c r="I2854" t="s"/>
      <c r="J2854" t="n">
        <v>-0.5266999999999999</v>
      </c>
      <c r="K2854" t="n">
        <v>0.185</v>
      </c>
      <c r="L2854" t="n">
        <v>0.8149999999999999</v>
      </c>
      <c r="M2854" t="n">
        <v>0</v>
      </c>
    </row>
    <row r="2855" spans="1:13">
      <c r="A2855" s="1">
        <f>HYPERLINK("http://www.twitter.com/NathanBLawrence/status/953772726770167813", "953772726770167813")</f>
        <v/>
      </c>
      <c r="B2855" s="2" t="n">
        <v>43117.98277777778</v>
      </c>
      <c r="C2855" t="n">
        <v>0</v>
      </c>
      <c r="D2855" t="n">
        <v>74</v>
      </c>
      <c r="E2855" t="s">
        <v>2845</v>
      </c>
      <c r="F2855">
        <f>HYPERLINK("http://pbs.twimg.com/media/DTx44KBUMAExDul.jpg", "http://pbs.twimg.com/media/DTx44KBUMAExDul.jpg")</f>
        <v/>
      </c>
      <c r="G2855" t="s"/>
      <c r="H2855" t="s"/>
      <c r="I2855" t="s"/>
      <c r="J2855" t="n">
        <v>0.8555</v>
      </c>
      <c r="K2855" t="n">
        <v>0</v>
      </c>
      <c r="L2855" t="n">
        <v>0.5610000000000001</v>
      </c>
      <c r="M2855" t="n">
        <v>0.439</v>
      </c>
    </row>
    <row r="2856" spans="1:13">
      <c r="A2856" s="1">
        <f>HYPERLINK("http://www.twitter.com/NathanBLawrence/status/953772683027730433", "953772683027730433")</f>
        <v/>
      </c>
      <c r="B2856" s="2" t="n">
        <v>43117.98266203704</v>
      </c>
      <c r="C2856" t="n">
        <v>0</v>
      </c>
      <c r="D2856" t="n">
        <v>317</v>
      </c>
      <c r="E2856" t="s">
        <v>2846</v>
      </c>
      <c r="F2856">
        <f>HYPERLINK("http://pbs.twimg.com/media/DTx4JAZVQAA2Xkb.jpg", "http://pbs.twimg.com/media/DTx4JAZVQAA2Xkb.jpg")</f>
        <v/>
      </c>
      <c r="G2856" t="s"/>
      <c r="H2856" t="s"/>
      <c r="I2856" t="s"/>
      <c r="J2856" t="n">
        <v>0</v>
      </c>
      <c r="K2856" t="n">
        <v>0</v>
      </c>
      <c r="L2856" t="n">
        <v>1</v>
      </c>
      <c r="M2856" t="n">
        <v>0</v>
      </c>
    </row>
    <row r="2857" spans="1:13">
      <c r="A2857" s="1">
        <f>HYPERLINK("http://www.twitter.com/NathanBLawrence/status/953753836757413889", "953753836757413889")</f>
        <v/>
      </c>
      <c r="B2857" s="2" t="n">
        <v>43117.93065972222</v>
      </c>
      <c r="C2857" t="n">
        <v>0</v>
      </c>
      <c r="D2857" t="n">
        <v>35</v>
      </c>
      <c r="E2857" t="s">
        <v>2847</v>
      </c>
      <c r="F2857">
        <f>HYPERLINK("http://pbs.twimg.com/media/DTxoAyeX0AAnx4j.jpg", "http://pbs.twimg.com/media/DTxoAyeX0AAnx4j.jpg")</f>
        <v/>
      </c>
      <c r="G2857" t="s"/>
      <c r="H2857" t="s"/>
      <c r="I2857" t="s"/>
      <c r="J2857" t="n">
        <v>0</v>
      </c>
      <c r="K2857" t="n">
        <v>0</v>
      </c>
      <c r="L2857" t="n">
        <v>1</v>
      </c>
      <c r="M2857" t="n">
        <v>0</v>
      </c>
    </row>
    <row r="2858" spans="1:13">
      <c r="A2858" s="1">
        <f>HYPERLINK("http://www.twitter.com/NathanBLawrence/status/953747295727734784", "953747295727734784")</f>
        <v/>
      </c>
      <c r="B2858" s="2" t="n">
        <v>43117.91260416667</v>
      </c>
      <c r="C2858" t="n">
        <v>0</v>
      </c>
      <c r="D2858" t="n">
        <v>190</v>
      </c>
      <c r="E2858" t="s">
        <v>2848</v>
      </c>
      <c r="F2858">
        <f>HYPERLINK("http://pbs.twimg.com/media/DTuWx1dVAAUx4bE.jpg", "http://pbs.twimg.com/media/DTuWx1dVAAUx4bE.jpg")</f>
        <v/>
      </c>
      <c r="G2858" t="s"/>
      <c r="H2858" t="s"/>
      <c r="I2858" t="s"/>
      <c r="J2858" t="n">
        <v>0.34</v>
      </c>
      <c r="K2858" t="n">
        <v>0.144</v>
      </c>
      <c r="L2858" t="n">
        <v>0.602</v>
      </c>
      <c r="M2858" t="n">
        <v>0.255</v>
      </c>
    </row>
    <row r="2859" spans="1:13">
      <c r="A2859" s="1">
        <f>HYPERLINK("http://www.twitter.com/NathanBLawrence/status/953744951392788480", "953744951392788480")</f>
        <v/>
      </c>
      <c r="B2859" s="2" t="n">
        <v>43117.90613425926</v>
      </c>
      <c r="C2859" t="n">
        <v>0</v>
      </c>
      <c r="D2859" t="n">
        <v>157</v>
      </c>
      <c r="E2859" t="s">
        <v>2849</v>
      </c>
      <c r="F2859">
        <f>HYPERLINK("http://pbs.twimg.com/media/DTxg4sEVoAA0tiK.jpg", "http://pbs.twimg.com/media/DTxg4sEVoAA0tiK.jpg")</f>
        <v/>
      </c>
      <c r="G2859" t="s"/>
      <c r="H2859" t="s"/>
      <c r="I2859" t="s"/>
      <c r="J2859" t="n">
        <v>0.3182</v>
      </c>
      <c r="K2859" t="n">
        <v>0</v>
      </c>
      <c r="L2859" t="n">
        <v>0.887</v>
      </c>
      <c r="M2859" t="n">
        <v>0.113</v>
      </c>
    </row>
    <row r="2860" spans="1:13">
      <c r="A2860" s="1">
        <f>HYPERLINK("http://www.twitter.com/NathanBLawrence/status/953743928485965825", "953743928485965825")</f>
        <v/>
      </c>
      <c r="B2860" s="2" t="n">
        <v>43117.90331018518</v>
      </c>
      <c r="C2860" t="n">
        <v>0</v>
      </c>
      <c r="D2860" t="n">
        <v>2</v>
      </c>
      <c r="E2860" t="s">
        <v>2850</v>
      </c>
      <c r="F2860">
        <f>HYPERLINK("http://pbs.twimg.com/media/DTxfpkQXkAEjNEx.jpg", "http://pbs.twimg.com/media/DTxfpkQXkAEjNEx.jpg")</f>
        <v/>
      </c>
      <c r="G2860" t="s"/>
      <c r="H2860" t="s"/>
      <c r="I2860" t="s"/>
      <c r="J2860" t="n">
        <v>0.5266999999999999</v>
      </c>
      <c r="K2860" t="n">
        <v>0</v>
      </c>
      <c r="L2860" t="n">
        <v>0.714</v>
      </c>
      <c r="M2860" t="n">
        <v>0.286</v>
      </c>
    </row>
    <row r="2861" spans="1:13">
      <c r="A2861" s="1">
        <f>HYPERLINK("http://www.twitter.com/NathanBLawrence/status/953743464705019904", "953743464705019904")</f>
        <v/>
      </c>
      <c r="B2861" s="2" t="n">
        <v>43117.90203703703</v>
      </c>
      <c r="C2861" t="n">
        <v>0</v>
      </c>
      <c r="D2861" t="n">
        <v>313</v>
      </c>
      <c r="E2861" t="s">
        <v>2851</v>
      </c>
      <c r="F2861">
        <f>HYPERLINK("http://pbs.twimg.com/media/DTxf10rV4AAz6Wz.jpg", "http://pbs.twimg.com/media/DTxf10rV4AAz6Wz.jpg")</f>
        <v/>
      </c>
      <c r="G2861">
        <f>HYPERLINK("http://pbs.twimg.com/media/DTxf5vLV4AAoSqN.jpg", "http://pbs.twimg.com/media/DTxf5vLV4AAoSqN.jpg")</f>
        <v/>
      </c>
      <c r="H2861" t="s"/>
      <c r="I2861" t="s"/>
      <c r="J2861" t="n">
        <v>0.8689</v>
      </c>
      <c r="K2861" t="n">
        <v>0</v>
      </c>
      <c r="L2861" t="n">
        <v>0.6820000000000001</v>
      </c>
      <c r="M2861" t="n">
        <v>0.318</v>
      </c>
    </row>
    <row r="2862" spans="1:13">
      <c r="A2862" s="1">
        <f>HYPERLINK("http://www.twitter.com/NathanBLawrence/status/953743210983100416", "953743210983100416")</f>
        <v/>
      </c>
      <c r="B2862" s="2" t="n">
        <v>43117.90133101852</v>
      </c>
      <c r="C2862" t="n">
        <v>0</v>
      </c>
      <c r="D2862" t="n">
        <v>4</v>
      </c>
      <c r="E2862" t="s">
        <v>2852</v>
      </c>
      <c r="F2862">
        <f>HYPERLINK("http://pbs.twimg.com/media/DTxgLNWXcAA54st.jpg", "http://pbs.twimg.com/media/DTxgLNWXcAA54st.jpg")</f>
        <v/>
      </c>
      <c r="G2862" t="s"/>
      <c r="H2862" t="s"/>
      <c r="I2862" t="s"/>
      <c r="J2862" t="n">
        <v>0</v>
      </c>
      <c r="K2862" t="n">
        <v>0</v>
      </c>
      <c r="L2862" t="n">
        <v>1</v>
      </c>
      <c r="M2862" t="n">
        <v>0</v>
      </c>
    </row>
    <row r="2863" spans="1:13">
      <c r="A2863" s="1">
        <f>HYPERLINK("http://www.twitter.com/NathanBLawrence/status/953742172318306314", "953742172318306314")</f>
        <v/>
      </c>
      <c r="B2863" s="2" t="n">
        <v>43117.89847222222</v>
      </c>
      <c r="C2863" t="n">
        <v>0</v>
      </c>
      <c r="D2863" t="n">
        <v>22</v>
      </c>
      <c r="E2863" t="s">
        <v>2853</v>
      </c>
      <c r="F2863" t="s"/>
      <c r="G2863" t="s"/>
      <c r="H2863" t="s"/>
      <c r="I2863" t="s"/>
      <c r="J2863" t="n">
        <v>0</v>
      </c>
      <c r="K2863" t="n">
        <v>0</v>
      </c>
      <c r="L2863" t="n">
        <v>1</v>
      </c>
      <c r="M2863" t="n">
        <v>0</v>
      </c>
    </row>
    <row r="2864" spans="1:13">
      <c r="A2864" s="1">
        <f>HYPERLINK("http://www.twitter.com/NathanBLawrence/status/953741977111203842", "953741977111203842")</f>
        <v/>
      </c>
      <c r="B2864" s="2" t="n">
        <v>43117.89792824074</v>
      </c>
      <c r="C2864" t="n">
        <v>28</v>
      </c>
      <c r="D2864" t="n">
        <v>22</v>
      </c>
      <c r="E2864" t="s">
        <v>2854</v>
      </c>
      <c r="F2864" t="s"/>
      <c r="G2864" t="s"/>
      <c r="H2864" t="s"/>
      <c r="I2864" t="s"/>
      <c r="J2864" t="n">
        <v>-0.5826</v>
      </c>
      <c r="K2864" t="n">
        <v>0.136</v>
      </c>
      <c r="L2864" t="n">
        <v>0.806</v>
      </c>
      <c r="M2864" t="n">
        <v>0.058</v>
      </c>
    </row>
    <row r="2865" spans="1:13">
      <c r="A2865" s="1">
        <f>HYPERLINK("http://www.twitter.com/NathanBLawrence/status/953741010764554240", "953741010764554240")</f>
        <v/>
      </c>
      <c r="B2865" s="2" t="n">
        <v>43117.8952662037</v>
      </c>
      <c r="C2865" t="n">
        <v>47</v>
      </c>
      <c r="D2865" t="n">
        <v>30</v>
      </c>
      <c r="E2865" t="s">
        <v>2855</v>
      </c>
      <c r="F2865" t="s"/>
      <c r="G2865" t="s"/>
      <c r="H2865" t="s"/>
      <c r="I2865" t="s"/>
      <c r="J2865" t="n">
        <v>-0.5826</v>
      </c>
      <c r="K2865" t="n">
        <v>0.139</v>
      </c>
      <c r="L2865" t="n">
        <v>0.802</v>
      </c>
      <c r="M2865" t="n">
        <v>0.059</v>
      </c>
    </row>
    <row r="2866" spans="1:13">
      <c r="A2866" s="1">
        <f>HYPERLINK("http://www.twitter.com/NathanBLawrence/status/953733840803188737", "953733840803188737")</f>
        <v/>
      </c>
      <c r="B2866" s="2" t="n">
        <v>43117.87547453704</v>
      </c>
      <c r="C2866" t="n">
        <v>0</v>
      </c>
      <c r="D2866" t="n">
        <v>3</v>
      </c>
      <c r="E2866" t="s">
        <v>2856</v>
      </c>
      <c r="F2866">
        <f>HYPERLINK("http://pbs.twimg.com/media/DTxL9aFXUAANr12.jpg", "http://pbs.twimg.com/media/DTxL9aFXUAANr12.jpg")</f>
        <v/>
      </c>
      <c r="G2866" t="s"/>
      <c r="H2866" t="s"/>
      <c r="I2866" t="s"/>
      <c r="J2866" t="n">
        <v>-0.1032</v>
      </c>
      <c r="K2866" t="n">
        <v>0.117</v>
      </c>
      <c r="L2866" t="n">
        <v>0.783</v>
      </c>
      <c r="M2866" t="n">
        <v>0.1</v>
      </c>
    </row>
    <row r="2867" spans="1:13">
      <c r="A2867" s="1">
        <f>HYPERLINK("http://www.twitter.com/NathanBLawrence/status/953724838660763653", "953724838660763653")</f>
        <v/>
      </c>
      <c r="B2867" s="2" t="n">
        <v>43117.85063657408</v>
      </c>
      <c r="C2867" t="n">
        <v>0</v>
      </c>
      <c r="D2867" t="n">
        <v>0</v>
      </c>
      <c r="E2867" t="s">
        <v>2857</v>
      </c>
      <c r="F2867">
        <f>HYPERLINK("http://pbs.twimg.com/media/DTxPqAJWAAAPHws.jpg", "http://pbs.twimg.com/media/DTxPqAJWAAAPHws.jpg")</f>
        <v/>
      </c>
      <c r="G2867" t="s"/>
      <c r="H2867" t="s"/>
      <c r="I2867" t="s"/>
      <c r="J2867" t="n">
        <v>0</v>
      </c>
      <c r="K2867" t="n">
        <v>0</v>
      </c>
      <c r="L2867" t="n">
        <v>1</v>
      </c>
      <c r="M2867" t="n">
        <v>0</v>
      </c>
    </row>
    <row r="2868" spans="1:13">
      <c r="A2868" s="1">
        <f>HYPERLINK("http://www.twitter.com/NathanBLawrence/status/953719915718103041", "953719915718103041")</f>
        <v/>
      </c>
      <c r="B2868" s="2" t="n">
        <v>43117.83704861111</v>
      </c>
      <c r="C2868" t="n">
        <v>0</v>
      </c>
      <c r="D2868" t="n">
        <v>8418</v>
      </c>
      <c r="E2868" t="s">
        <v>2858</v>
      </c>
      <c r="F2868">
        <f>HYPERLINK("http://pbs.twimg.com/media/DTwwAzGWsAU8-Ri.jpg", "http://pbs.twimg.com/media/DTwwAzGWsAU8-Ri.jpg")</f>
        <v/>
      </c>
      <c r="G2868" t="s"/>
      <c r="H2868" t="s"/>
      <c r="I2868" t="s"/>
      <c r="J2868" t="n">
        <v>0.5399</v>
      </c>
      <c r="K2868" t="n">
        <v>0</v>
      </c>
      <c r="L2868" t="n">
        <v>0.852</v>
      </c>
      <c r="M2868" t="n">
        <v>0.148</v>
      </c>
    </row>
    <row r="2869" spans="1:13">
      <c r="A2869" s="1">
        <f>HYPERLINK("http://www.twitter.com/NathanBLawrence/status/953713473728536576", "953713473728536576")</f>
        <v/>
      </c>
      <c r="B2869" s="2" t="n">
        <v>43117.81927083333</v>
      </c>
      <c r="C2869" t="n">
        <v>0</v>
      </c>
      <c r="D2869" t="n">
        <v>26</v>
      </c>
      <c r="E2869" t="s">
        <v>2859</v>
      </c>
      <c r="F2869">
        <f>HYPERLINK("http://pbs.twimg.com/media/DTxCkB7V4AAB33p.jpg", "http://pbs.twimg.com/media/DTxCkB7V4AAB33p.jpg")</f>
        <v/>
      </c>
      <c r="G2869" t="s"/>
      <c r="H2869" t="s"/>
      <c r="I2869" t="s"/>
      <c r="J2869" t="n">
        <v>0</v>
      </c>
      <c r="K2869" t="n">
        <v>0</v>
      </c>
      <c r="L2869" t="n">
        <v>1</v>
      </c>
      <c r="M2869" t="n">
        <v>0</v>
      </c>
    </row>
    <row r="2870" spans="1:13">
      <c r="A2870" s="1">
        <f>HYPERLINK("http://www.twitter.com/NathanBLawrence/status/953700533679902725", "953700533679902725")</f>
        <v/>
      </c>
      <c r="B2870" s="2" t="n">
        <v>43117.78356481482</v>
      </c>
      <c r="C2870" t="n">
        <v>0</v>
      </c>
      <c r="D2870" t="n">
        <v>295</v>
      </c>
      <c r="E2870" t="s">
        <v>2860</v>
      </c>
      <c r="F2870" t="s"/>
      <c r="G2870" t="s"/>
      <c r="H2870" t="s"/>
      <c r="I2870" t="s"/>
      <c r="J2870" t="n">
        <v>-0.4981</v>
      </c>
      <c r="K2870" t="n">
        <v>0.152</v>
      </c>
      <c r="L2870" t="n">
        <v>0.848</v>
      </c>
      <c r="M2870" t="n">
        <v>0</v>
      </c>
    </row>
    <row r="2871" spans="1:13">
      <c r="A2871" s="1">
        <f>HYPERLINK("http://www.twitter.com/NathanBLawrence/status/953697462950223875", "953697462950223875")</f>
        <v/>
      </c>
      <c r="B2871" s="2" t="n">
        <v>43117.77509259259</v>
      </c>
      <c r="C2871" t="n">
        <v>12</v>
      </c>
      <c r="D2871" t="n">
        <v>9</v>
      </c>
      <c r="E2871" t="s">
        <v>2861</v>
      </c>
      <c r="F2871" t="s"/>
      <c r="G2871" t="s"/>
      <c r="H2871" t="s"/>
      <c r="I2871" t="s"/>
      <c r="J2871" t="n">
        <v>0</v>
      </c>
      <c r="K2871" t="n">
        <v>0</v>
      </c>
      <c r="L2871" t="n">
        <v>1</v>
      </c>
      <c r="M2871" t="n">
        <v>0</v>
      </c>
    </row>
    <row r="2872" spans="1:13">
      <c r="A2872" s="1">
        <f>HYPERLINK("http://www.twitter.com/NathanBLawrence/status/953692399326453760", "953692399326453760")</f>
        <v/>
      </c>
      <c r="B2872" s="2" t="n">
        <v>43117.76112268519</v>
      </c>
      <c r="C2872" t="n">
        <v>2</v>
      </c>
      <c r="D2872" t="n">
        <v>1</v>
      </c>
      <c r="E2872" t="s">
        <v>2862</v>
      </c>
      <c r="F2872" t="s"/>
      <c r="G2872" t="s"/>
      <c r="H2872" t="s"/>
      <c r="I2872" t="s"/>
      <c r="J2872" t="n">
        <v>0</v>
      </c>
      <c r="K2872" t="n">
        <v>0</v>
      </c>
      <c r="L2872" t="n">
        <v>1</v>
      </c>
      <c r="M2872" t="n">
        <v>0</v>
      </c>
    </row>
    <row r="2873" spans="1:13">
      <c r="A2873" s="1">
        <f>HYPERLINK("http://www.twitter.com/NathanBLawrence/status/953678661391183873", "953678661391183873")</f>
        <v/>
      </c>
      <c r="B2873" s="2" t="n">
        <v>43117.72321759259</v>
      </c>
      <c r="C2873" t="n">
        <v>0</v>
      </c>
      <c r="D2873" t="n">
        <v>334</v>
      </c>
      <c r="E2873" t="s">
        <v>2863</v>
      </c>
      <c r="F2873">
        <f>HYPERLINK("http://pbs.twimg.com/media/DTwlTLxVoAE9dgj.jpg", "http://pbs.twimg.com/media/DTwlTLxVoAE9dgj.jpg")</f>
        <v/>
      </c>
      <c r="G2873" t="s"/>
      <c r="H2873" t="s"/>
      <c r="I2873" t="s"/>
      <c r="J2873" t="n">
        <v>-0.8832</v>
      </c>
      <c r="K2873" t="n">
        <v>0.365</v>
      </c>
      <c r="L2873" t="n">
        <v>0.5570000000000001</v>
      </c>
      <c r="M2873" t="n">
        <v>0.077</v>
      </c>
    </row>
    <row r="2874" spans="1:13">
      <c r="A2874" s="1">
        <f>HYPERLINK("http://www.twitter.com/NathanBLawrence/status/953669725787127808", "953669725787127808")</f>
        <v/>
      </c>
      <c r="B2874" s="2" t="n">
        <v>43117.69855324074</v>
      </c>
      <c r="C2874" t="n">
        <v>7</v>
      </c>
      <c r="D2874" t="n">
        <v>1</v>
      </c>
      <c r="E2874" t="s">
        <v>2864</v>
      </c>
      <c r="F2874" t="s"/>
      <c r="G2874" t="s"/>
      <c r="H2874" t="s"/>
      <c r="I2874" t="s"/>
      <c r="J2874" t="n">
        <v>0</v>
      </c>
      <c r="K2874" t="n">
        <v>0</v>
      </c>
      <c r="L2874" t="n">
        <v>1</v>
      </c>
      <c r="M2874" t="n">
        <v>0</v>
      </c>
    </row>
    <row r="2875" spans="1:13">
      <c r="A2875" s="1">
        <f>HYPERLINK("http://www.twitter.com/NathanBLawrence/status/953669250102722562", "953669250102722562")</f>
        <v/>
      </c>
      <c r="B2875" s="2" t="n">
        <v>43117.69724537037</v>
      </c>
      <c r="C2875" t="n">
        <v>0</v>
      </c>
      <c r="D2875" t="n">
        <v>1641</v>
      </c>
      <c r="E2875" t="s">
        <v>2865</v>
      </c>
      <c r="F2875" t="s"/>
      <c r="G2875" t="s"/>
      <c r="H2875" t="s"/>
      <c r="I2875" t="s"/>
      <c r="J2875" t="n">
        <v>0.34</v>
      </c>
      <c r="K2875" t="n">
        <v>0</v>
      </c>
      <c r="L2875" t="n">
        <v>0.882</v>
      </c>
      <c r="M2875" t="n">
        <v>0.118</v>
      </c>
    </row>
    <row r="2876" spans="1:13">
      <c r="A2876" s="1">
        <f>HYPERLINK("http://www.twitter.com/NathanBLawrence/status/953665291724185600", "953665291724185600")</f>
        <v/>
      </c>
      <c r="B2876" s="2" t="n">
        <v>43117.68631944444</v>
      </c>
      <c r="C2876" t="n">
        <v>7</v>
      </c>
      <c r="D2876" t="n">
        <v>6</v>
      </c>
      <c r="E2876" t="s">
        <v>2866</v>
      </c>
      <c r="F2876" t="s"/>
      <c r="G2876" t="s"/>
      <c r="H2876" t="s"/>
      <c r="I2876" t="s"/>
      <c r="J2876" t="n">
        <v>0</v>
      </c>
      <c r="K2876" t="n">
        <v>0</v>
      </c>
      <c r="L2876" t="n">
        <v>1</v>
      </c>
      <c r="M2876" t="n">
        <v>0</v>
      </c>
    </row>
    <row r="2877" spans="1:13">
      <c r="A2877" s="1">
        <f>HYPERLINK("http://www.twitter.com/NathanBLawrence/status/953656746286944258", "953656746286944258")</f>
        <v/>
      </c>
      <c r="B2877" s="2" t="n">
        <v>43117.66274305555</v>
      </c>
      <c r="C2877" t="n">
        <v>142</v>
      </c>
      <c r="D2877" t="n">
        <v>63</v>
      </c>
      <c r="E2877" t="s">
        <v>2867</v>
      </c>
      <c r="F2877" t="s"/>
      <c r="G2877" t="s"/>
      <c r="H2877" t="s"/>
      <c r="I2877" t="s"/>
      <c r="J2877" t="n">
        <v>0.3818</v>
      </c>
      <c r="K2877" t="n">
        <v>0.08699999999999999</v>
      </c>
      <c r="L2877" t="n">
        <v>0.71</v>
      </c>
      <c r="M2877" t="n">
        <v>0.203</v>
      </c>
    </row>
    <row r="2878" spans="1:13">
      <c r="A2878" s="1">
        <f>HYPERLINK("http://www.twitter.com/NathanBLawrence/status/953502784841748481", "953502784841748481")</f>
        <v/>
      </c>
      <c r="B2878" s="2" t="n">
        <v>43117.23788194444</v>
      </c>
      <c r="C2878" t="n">
        <v>0</v>
      </c>
      <c r="D2878" t="n">
        <v>97</v>
      </c>
      <c r="E2878" t="s">
        <v>2868</v>
      </c>
      <c r="F2878">
        <f>HYPERLINK("http://pbs.twimg.com/media/DTuAocpX0AAOkFm.jpg", "http://pbs.twimg.com/media/DTuAocpX0AAOkFm.jpg")</f>
        <v/>
      </c>
      <c r="G2878" t="s"/>
      <c r="H2878" t="s"/>
      <c r="I2878" t="s"/>
      <c r="J2878" t="n">
        <v>0.5525</v>
      </c>
      <c r="K2878" t="n">
        <v>0.107</v>
      </c>
      <c r="L2878" t="n">
        <v>0.62</v>
      </c>
      <c r="M2878" t="n">
        <v>0.273</v>
      </c>
    </row>
    <row r="2879" spans="1:13">
      <c r="A2879" s="1">
        <f>HYPERLINK("http://www.twitter.com/NathanBLawrence/status/953501459512950785", "953501459512950785")</f>
        <v/>
      </c>
      <c r="B2879" s="2" t="n">
        <v>43117.23422453704</v>
      </c>
      <c r="C2879" t="n">
        <v>0</v>
      </c>
      <c r="D2879" t="n">
        <v>8768</v>
      </c>
      <c r="E2879" t="s">
        <v>2869</v>
      </c>
      <c r="F2879" t="s"/>
      <c r="G2879" t="s"/>
      <c r="H2879" t="s"/>
      <c r="I2879" t="s"/>
      <c r="J2879" t="n">
        <v>0.0258</v>
      </c>
      <c r="K2879" t="n">
        <v>0.167</v>
      </c>
      <c r="L2879" t="n">
        <v>0.631</v>
      </c>
      <c r="M2879" t="n">
        <v>0.202</v>
      </c>
    </row>
    <row r="2880" spans="1:13">
      <c r="A2880" s="1">
        <f>HYPERLINK("http://www.twitter.com/NathanBLawrence/status/953500814605193217", "953500814605193217")</f>
        <v/>
      </c>
      <c r="B2880" s="2" t="n">
        <v>43117.23245370371</v>
      </c>
      <c r="C2880" t="n">
        <v>0</v>
      </c>
      <c r="D2880" t="n">
        <v>0</v>
      </c>
      <c r="E2880" t="s">
        <v>2870</v>
      </c>
      <c r="F2880" t="s"/>
      <c r="G2880" t="s"/>
      <c r="H2880" t="s"/>
      <c r="I2880" t="s"/>
      <c r="J2880" t="n">
        <v>0</v>
      </c>
      <c r="K2880" t="n">
        <v>0</v>
      </c>
      <c r="L2880" t="n">
        <v>1</v>
      </c>
      <c r="M2880" t="n">
        <v>0</v>
      </c>
    </row>
    <row r="2881" spans="1:13">
      <c r="A2881" s="1">
        <f>HYPERLINK("http://www.twitter.com/NathanBLawrence/status/953490308813246465", "953490308813246465")</f>
        <v/>
      </c>
      <c r="B2881" s="2" t="n">
        <v>43117.20346064815</v>
      </c>
      <c r="C2881" t="n">
        <v>0</v>
      </c>
      <c r="D2881" t="n">
        <v>11789</v>
      </c>
      <c r="E2881" t="s">
        <v>2871</v>
      </c>
      <c r="F2881">
        <f>HYPERLINK("http://pbs.twimg.com/media/DTth1wuXkAAA6ol.jpg", "http://pbs.twimg.com/media/DTth1wuXkAAA6ol.jpg")</f>
        <v/>
      </c>
      <c r="G2881">
        <f>HYPERLINK("http://pbs.twimg.com/media/DTth_B0X0AALrl0.jpg", "http://pbs.twimg.com/media/DTth_B0X0AALrl0.jpg")</f>
        <v/>
      </c>
      <c r="H2881" t="s"/>
      <c r="I2881" t="s"/>
      <c r="J2881" t="n">
        <v>0</v>
      </c>
      <c r="K2881" t="n">
        <v>0</v>
      </c>
      <c r="L2881" t="n">
        <v>1</v>
      </c>
      <c r="M2881" t="n">
        <v>0</v>
      </c>
    </row>
    <row r="2882" spans="1:13">
      <c r="A2882" s="1">
        <f>HYPERLINK("http://www.twitter.com/NathanBLawrence/status/953485523842150400", "953485523842150400")</f>
        <v/>
      </c>
      <c r="B2882" s="2" t="n">
        <v>43117.19025462963</v>
      </c>
      <c r="C2882" t="n">
        <v>10</v>
      </c>
      <c r="D2882" t="n">
        <v>1</v>
      </c>
      <c r="E2882" t="s">
        <v>2872</v>
      </c>
      <c r="F2882" t="s"/>
      <c r="G2882" t="s"/>
      <c r="H2882" t="s"/>
      <c r="I2882" t="s"/>
      <c r="J2882" t="n">
        <v>0</v>
      </c>
      <c r="K2882" t="n">
        <v>0</v>
      </c>
      <c r="L2882" t="n">
        <v>1</v>
      </c>
      <c r="M2882" t="n">
        <v>0</v>
      </c>
    </row>
    <row r="2883" spans="1:13">
      <c r="A2883" s="1">
        <f>HYPERLINK("http://www.twitter.com/NathanBLawrence/status/953481793348472832", "953481793348472832")</f>
        <v/>
      </c>
      <c r="B2883" s="2" t="n">
        <v>43117.17996527778</v>
      </c>
      <c r="C2883" t="n">
        <v>0</v>
      </c>
      <c r="D2883" t="n">
        <v>0</v>
      </c>
      <c r="E2883" t="s">
        <v>2873</v>
      </c>
      <c r="F2883" t="s"/>
      <c r="G2883" t="s"/>
      <c r="H2883" t="s"/>
      <c r="I2883" t="s"/>
      <c r="J2883" t="n">
        <v>0</v>
      </c>
      <c r="K2883" t="n">
        <v>0</v>
      </c>
      <c r="L2883" t="n">
        <v>1</v>
      </c>
      <c r="M2883" t="n">
        <v>0</v>
      </c>
    </row>
    <row r="2884" spans="1:13">
      <c r="A2884" s="1">
        <f>HYPERLINK("http://www.twitter.com/NathanBLawrence/status/953480864041717760", "953480864041717760")</f>
        <v/>
      </c>
      <c r="B2884" s="2" t="n">
        <v>43117.17739583334</v>
      </c>
      <c r="C2884" t="n">
        <v>0</v>
      </c>
      <c r="D2884" t="n">
        <v>37</v>
      </c>
      <c r="E2884" t="s">
        <v>2874</v>
      </c>
      <c r="F2884" t="s"/>
      <c r="G2884" t="s"/>
      <c r="H2884" t="s"/>
      <c r="I2884" t="s"/>
      <c r="J2884" t="n">
        <v>-0.5106000000000001</v>
      </c>
      <c r="K2884" t="n">
        <v>0.13</v>
      </c>
      <c r="L2884" t="n">
        <v>0.87</v>
      </c>
      <c r="M2884" t="n">
        <v>0</v>
      </c>
    </row>
    <row r="2885" spans="1:13">
      <c r="A2885" s="1">
        <f>HYPERLINK("http://www.twitter.com/NathanBLawrence/status/953480344426119173", "953480344426119173")</f>
        <v/>
      </c>
      <c r="B2885" s="2" t="n">
        <v>43117.17596064815</v>
      </c>
      <c r="C2885" t="n">
        <v>0</v>
      </c>
      <c r="D2885" t="n">
        <v>165</v>
      </c>
      <c r="E2885" t="s">
        <v>2875</v>
      </c>
      <c r="F2885">
        <f>HYPERLINK("http://pbs.twimg.com/media/DTO2hwQVMAADkCN.jpg", "http://pbs.twimg.com/media/DTO2hwQVMAADkCN.jpg")</f>
        <v/>
      </c>
      <c r="G2885" t="s"/>
      <c r="H2885" t="s"/>
      <c r="I2885" t="s"/>
      <c r="J2885" t="n">
        <v>-0.3818</v>
      </c>
      <c r="K2885" t="n">
        <v>0.115</v>
      </c>
      <c r="L2885" t="n">
        <v>0.885</v>
      </c>
      <c r="M2885" t="n">
        <v>0</v>
      </c>
    </row>
    <row r="2886" spans="1:13">
      <c r="A2886" s="1">
        <f>HYPERLINK("http://www.twitter.com/NathanBLawrence/status/953474872864370689", "953474872864370689")</f>
        <v/>
      </c>
      <c r="B2886" s="2" t="n">
        <v>43117.16086805556</v>
      </c>
      <c r="C2886" t="n">
        <v>0</v>
      </c>
      <c r="D2886" t="n">
        <v>764</v>
      </c>
      <c r="E2886" t="s">
        <v>2876</v>
      </c>
      <c r="F2886">
        <f>HYPERLINK("http://pbs.twimg.com/media/DTtdW2qXkAIAk3Q.jpg", "http://pbs.twimg.com/media/DTtdW2qXkAIAk3Q.jpg")</f>
        <v/>
      </c>
      <c r="G2886" t="s"/>
      <c r="H2886" t="s"/>
      <c r="I2886" t="s"/>
      <c r="J2886" t="n">
        <v>0.8270999999999999</v>
      </c>
      <c r="K2886" t="n">
        <v>0</v>
      </c>
      <c r="L2886" t="n">
        <v>0.712</v>
      </c>
      <c r="M2886" t="n">
        <v>0.288</v>
      </c>
    </row>
    <row r="2887" spans="1:13">
      <c r="A2887" s="1">
        <f>HYPERLINK("http://www.twitter.com/NathanBLawrence/status/953473891120373760", "953473891120373760")</f>
        <v/>
      </c>
      <c r="B2887" s="2" t="n">
        <v>43117.15814814815</v>
      </c>
      <c r="C2887" t="n">
        <v>2</v>
      </c>
      <c r="D2887" t="n">
        <v>1</v>
      </c>
      <c r="E2887" t="s">
        <v>2877</v>
      </c>
      <c r="F2887" t="s"/>
      <c r="G2887" t="s"/>
      <c r="H2887" t="s"/>
      <c r="I2887" t="s"/>
      <c r="J2887" t="n">
        <v>0</v>
      </c>
      <c r="K2887" t="n">
        <v>0</v>
      </c>
      <c r="L2887" t="n">
        <v>1</v>
      </c>
      <c r="M2887" t="n">
        <v>0</v>
      </c>
    </row>
    <row r="2888" spans="1:13">
      <c r="A2888" s="1">
        <f>HYPERLINK("http://www.twitter.com/NathanBLawrence/status/953473354333413377", "953473354333413377")</f>
        <v/>
      </c>
      <c r="B2888" s="2" t="n">
        <v>43117.15667824074</v>
      </c>
      <c r="C2888" t="n">
        <v>0</v>
      </c>
      <c r="D2888" t="n">
        <v>4</v>
      </c>
      <c r="E2888" t="s">
        <v>2878</v>
      </c>
      <c r="F2888" t="s"/>
      <c r="G2888" t="s"/>
      <c r="H2888" t="s"/>
      <c r="I2888" t="s"/>
      <c r="J2888" t="n">
        <v>0.6808</v>
      </c>
      <c r="K2888" t="n">
        <v>0</v>
      </c>
      <c r="L2888" t="n">
        <v>0.797</v>
      </c>
      <c r="M2888" t="n">
        <v>0.203</v>
      </c>
    </row>
    <row r="2889" spans="1:13">
      <c r="A2889" s="1">
        <f>HYPERLINK("http://www.twitter.com/NathanBLawrence/status/953469232494403585", "953469232494403585")</f>
        <v/>
      </c>
      <c r="B2889" s="2" t="n">
        <v>43117.14530092593</v>
      </c>
      <c r="C2889" t="n">
        <v>0</v>
      </c>
      <c r="D2889" t="n">
        <v>5468</v>
      </c>
      <c r="E2889" t="s">
        <v>2879</v>
      </c>
      <c r="F2889">
        <f>HYPERLINK("http://pbs.twimg.com/media/DTrRh8KVQAA3051.jpg", "http://pbs.twimg.com/media/DTrRh8KVQAA3051.jpg")</f>
        <v/>
      </c>
      <c r="G2889" t="s"/>
      <c r="H2889" t="s"/>
      <c r="I2889" t="s"/>
      <c r="J2889" t="n">
        <v>0</v>
      </c>
      <c r="K2889" t="n">
        <v>0</v>
      </c>
      <c r="L2889" t="n">
        <v>1</v>
      </c>
      <c r="M2889" t="n">
        <v>0</v>
      </c>
    </row>
    <row r="2890" spans="1:13">
      <c r="A2890" s="1">
        <f>HYPERLINK("http://www.twitter.com/NathanBLawrence/status/953468670277292037", "953468670277292037")</f>
        <v/>
      </c>
      <c r="B2890" s="2" t="n">
        <v>43117.14375</v>
      </c>
      <c r="C2890" t="n">
        <v>0</v>
      </c>
      <c r="D2890" t="n">
        <v>104</v>
      </c>
      <c r="E2890" t="s">
        <v>2880</v>
      </c>
      <c r="F2890">
        <f>HYPERLINK("http://pbs.twimg.com/media/DTtgfT2WkAAho8U.jpg", "http://pbs.twimg.com/media/DTtgfT2WkAAho8U.jpg")</f>
        <v/>
      </c>
      <c r="G2890" t="s"/>
      <c r="H2890" t="s"/>
      <c r="I2890" t="s"/>
      <c r="J2890" t="n">
        <v>0.2244</v>
      </c>
      <c r="K2890" t="n">
        <v>0</v>
      </c>
      <c r="L2890" t="n">
        <v>0.927</v>
      </c>
      <c r="M2890" t="n">
        <v>0.073</v>
      </c>
    </row>
    <row r="2891" spans="1:13">
      <c r="A2891" s="1">
        <f>HYPERLINK("http://www.twitter.com/NathanBLawrence/status/953452135106138112", "953452135106138112")</f>
        <v/>
      </c>
      <c r="B2891" s="2" t="n">
        <v>43117.09811342593</v>
      </c>
      <c r="C2891" t="n">
        <v>0</v>
      </c>
      <c r="D2891" t="n">
        <v>391</v>
      </c>
      <c r="E2891" t="s">
        <v>2881</v>
      </c>
      <c r="F2891">
        <f>HYPERLINK("http://pbs.twimg.com/media/DTtP8_2U8AEJUt8.jpg", "http://pbs.twimg.com/media/DTtP8_2U8AEJUt8.jpg")</f>
        <v/>
      </c>
      <c r="G2891" t="s"/>
      <c r="H2891" t="s"/>
      <c r="I2891" t="s"/>
      <c r="J2891" t="n">
        <v>0.4199</v>
      </c>
      <c r="K2891" t="n">
        <v>0</v>
      </c>
      <c r="L2891" t="n">
        <v>0.823</v>
      </c>
      <c r="M2891" t="n">
        <v>0.177</v>
      </c>
    </row>
    <row r="2892" spans="1:13">
      <c r="A2892" s="1">
        <f>HYPERLINK("http://www.twitter.com/NathanBLawrence/status/953434221758083075", "953434221758083075")</f>
        <v/>
      </c>
      <c r="B2892" s="2" t="n">
        <v>43117.04869212963</v>
      </c>
      <c r="C2892" t="n">
        <v>2</v>
      </c>
      <c r="D2892" t="n">
        <v>1</v>
      </c>
      <c r="E2892" t="s">
        <v>2882</v>
      </c>
      <c r="F2892" t="s"/>
      <c r="G2892" t="s"/>
      <c r="H2892" t="s"/>
      <c r="I2892" t="s"/>
      <c r="J2892" t="n">
        <v>0</v>
      </c>
      <c r="K2892" t="n">
        <v>0</v>
      </c>
      <c r="L2892" t="n">
        <v>1</v>
      </c>
      <c r="M2892" t="n">
        <v>0</v>
      </c>
    </row>
    <row r="2893" spans="1:13">
      <c r="A2893" s="1">
        <f>HYPERLINK("http://www.twitter.com/NathanBLawrence/status/953432339669012480", "953432339669012480")</f>
        <v/>
      </c>
      <c r="B2893" s="2" t="n">
        <v>43117.04349537037</v>
      </c>
      <c r="C2893" t="n">
        <v>1</v>
      </c>
      <c r="D2893" t="n">
        <v>1</v>
      </c>
      <c r="E2893" t="s">
        <v>2883</v>
      </c>
      <c r="F2893" t="s"/>
      <c r="G2893" t="s"/>
      <c r="H2893" t="s"/>
      <c r="I2893" t="s"/>
      <c r="J2893" t="n">
        <v>-0.1779</v>
      </c>
      <c r="K2893" t="n">
        <v>0.054</v>
      </c>
      <c r="L2893" t="n">
        <v>0.946</v>
      </c>
      <c r="M2893" t="n">
        <v>0</v>
      </c>
    </row>
    <row r="2894" spans="1:13">
      <c r="A2894" s="1">
        <f>HYPERLINK("http://www.twitter.com/NathanBLawrence/status/953429012906500096", "953429012906500096")</f>
        <v/>
      </c>
      <c r="B2894" s="2" t="n">
        <v>43117.03431712963</v>
      </c>
      <c r="C2894" t="n">
        <v>0</v>
      </c>
      <c r="D2894" t="n">
        <v>25</v>
      </c>
      <c r="E2894" t="s">
        <v>2884</v>
      </c>
      <c r="F2894" t="s"/>
      <c r="G2894" t="s"/>
      <c r="H2894" t="s"/>
      <c r="I2894" t="s"/>
      <c r="J2894" t="n">
        <v>0</v>
      </c>
      <c r="K2894" t="n">
        <v>0</v>
      </c>
      <c r="L2894" t="n">
        <v>1</v>
      </c>
      <c r="M2894" t="n">
        <v>0</v>
      </c>
    </row>
    <row r="2895" spans="1:13">
      <c r="A2895" s="1">
        <f>HYPERLINK("http://www.twitter.com/NathanBLawrence/status/953423392748777472", "953423392748777472")</f>
        <v/>
      </c>
      <c r="B2895" s="2" t="n">
        <v>43117.01880787037</v>
      </c>
      <c r="C2895" t="n">
        <v>41</v>
      </c>
      <c r="D2895" t="n">
        <v>25</v>
      </c>
      <c r="E2895" t="s">
        <v>2885</v>
      </c>
      <c r="F2895" t="s"/>
      <c r="G2895" t="s"/>
      <c r="H2895" t="s"/>
      <c r="I2895" t="s"/>
      <c r="J2895" t="n">
        <v>-0.717</v>
      </c>
      <c r="K2895" t="n">
        <v>0.322</v>
      </c>
      <c r="L2895" t="n">
        <v>0.603</v>
      </c>
      <c r="M2895" t="n">
        <v>0.075</v>
      </c>
    </row>
    <row r="2896" spans="1:13">
      <c r="A2896" s="1">
        <f>HYPERLINK("http://www.twitter.com/NathanBLawrence/status/953421824385220609", "953421824385220609")</f>
        <v/>
      </c>
      <c r="B2896" s="2" t="n">
        <v>43117.01447916667</v>
      </c>
      <c r="C2896" t="n">
        <v>0</v>
      </c>
      <c r="D2896" t="n">
        <v>210</v>
      </c>
      <c r="E2896" t="s">
        <v>2886</v>
      </c>
      <c r="F2896">
        <f>HYPERLINK("http://pbs.twimg.com/media/DTsppY6VAAA2nxX.jpg", "http://pbs.twimg.com/media/DTsppY6VAAA2nxX.jpg")</f>
        <v/>
      </c>
      <c r="G2896" t="s"/>
      <c r="H2896" t="s"/>
      <c r="I2896" t="s"/>
      <c r="J2896" t="n">
        <v>0</v>
      </c>
      <c r="K2896" t="n">
        <v>0</v>
      </c>
      <c r="L2896" t="n">
        <v>1</v>
      </c>
      <c r="M2896" t="n">
        <v>0</v>
      </c>
    </row>
    <row r="2897" spans="1:13">
      <c r="A2897" s="1">
        <f>HYPERLINK("http://www.twitter.com/NathanBLawrence/status/953421588665380865", "953421588665380865")</f>
        <v/>
      </c>
      <c r="B2897" s="2" t="n">
        <v>43117.01383101852</v>
      </c>
      <c r="C2897" t="n">
        <v>0</v>
      </c>
      <c r="D2897" t="n">
        <v>588</v>
      </c>
      <c r="E2897" t="s">
        <v>2887</v>
      </c>
      <c r="F2897">
        <f>HYPERLINK("http://pbs.twimg.com/media/DTsz51ZU8AAt516.jpg", "http://pbs.twimg.com/media/DTsz51ZU8AAt516.jpg")</f>
        <v/>
      </c>
      <c r="G2897" t="s"/>
      <c r="H2897" t="s"/>
      <c r="I2897" t="s"/>
      <c r="J2897" t="n">
        <v>0.7089</v>
      </c>
      <c r="K2897" t="n">
        <v>0</v>
      </c>
      <c r="L2897" t="n">
        <v>0.781</v>
      </c>
      <c r="M2897" t="n">
        <v>0.219</v>
      </c>
    </row>
    <row r="2898" spans="1:13">
      <c r="A2898" s="1">
        <f>HYPERLINK("http://www.twitter.com/NathanBLawrence/status/953421057507110913", "953421057507110913")</f>
        <v/>
      </c>
      <c r="B2898" s="2" t="n">
        <v>43117.01236111111</v>
      </c>
      <c r="C2898" t="n">
        <v>0</v>
      </c>
      <c r="D2898" t="n">
        <v>121</v>
      </c>
      <c r="E2898" t="s">
        <v>2888</v>
      </c>
      <c r="F2898">
        <f>HYPERLINK("http://pbs.twimg.com/media/DTs4zDnV4AAjUyy.jpg", "http://pbs.twimg.com/media/DTs4zDnV4AAjUyy.jpg")</f>
        <v/>
      </c>
      <c r="G2898">
        <f>HYPERLINK("http://pbs.twimg.com/media/DTs4zDlVQAAggCn.jpg", "http://pbs.twimg.com/media/DTs4zDlVQAAggCn.jpg")</f>
        <v/>
      </c>
      <c r="H2898">
        <f>HYPERLINK("http://pbs.twimg.com/media/DTs4zDnVQAAYyPM.jpg", "http://pbs.twimg.com/media/DTs4zDnVQAAYyPM.jpg")</f>
        <v/>
      </c>
      <c r="I2898" t="s"/>
      <c r="J2898" t="n">
        <v>-0.4767</v>
      </c>
      <c r="K2898" t="n">
        <v>0.114</v>
      </c>
      <c r="L2898" t="n">
        <v>0.886</v>
      </c>
      <c r="M2898" t="n">
        <v>0</v>
      </c>
    </row>
    <row r="2899" spans="1:13">
      <c r="A2899" s="1">
        <f>HYPERLINK("http://www.twitter.com/NathanBLawrence/status/953407151531266049", "953407151531266049")</f>
        <v/>
      </c>
      <c r="B2899" s="2" t="n">
        <v>43116.97399305556</v>
      </c>
      <c r="C2899" t="n">
        <v>0</v>
      </c>
      <c r="D2899" t="n">
        <v>974</v>
      </c>
      <c r="E2899" t="s">
        <v>2889</v>
      </c>
      <c r="F2899">
        <f>HYPERLINK("http://pbs.twimg.com/media/DTog8m-VoAEFGF8.jpg", "http://pbs.twimg.com/media/DTog8m-VoAEFGF8.jpg")</f>
        <v/>
      </c>
      <c r="G2899">
        <f>HYPERLINK("http://pbs.twimg.com/media/DTog9qrVAAA8JO3.jpg", "http://pbs.twimg.com/media/DTog9qrVAAA8JO3.jpg")</f>
        <v/>
      </c>
      <c r="H2899">
        <f>HYPERLINK("http://pbs.twimg.com/media/DTog-fXVwAAzKzw.jpg", "http://pbs.twimg.com/media/DTog-fXVwAAzKzw.jpg")</f>
        <v/>
      </c>
      <c r="I2899" t="s"/>
      <c r="J2899" t="n">
        <v>0.4767</v>
      </c>
      <c r="K2899" t="n">
        <v>0</v>
      </c>
      <c r="L2899" t="n">
        <v>0.853</v>
      </c>
      <c r="M2899" t="n">
        <v>0.147</v>
      </c>
    </row>
    <row r="2900" spans="1:13">
      <c r="A2900" s="1">
        <f>HYPERLINK("http://www.twitter.com/NathanBLawrence/status/953405108322230272", "953405108322230272")</f>
        <v/>
      </c>
      <c r="B2900" s="2" t="n">
        <v>43116.96834490741</v>
      </c>
      <c r="C2900" t="n">
        <v>0</v>
      </c>
      <c r="D2900" t="n">
        <v>3</v>
      </c>
      <c r="E2900" t="s">
        <v>2890</v>
      </c>
      <c r="F2900" t="s"/>
      <c r="G2900" t="s"/>
      <c r="H2900" t="s"/>
      <c r="I2900" t="s"/>
      <c r="J2900" t="n">
        <v>0.7096</v>
      </c>
      <c r="K2900" t="n">
        <v>0</v>
      </c>
      <c r="L2900" t="n">
        <v>0.718</v>
      </c>
      <c r="M2900" t="n">
        <v>0.282</v>
      </c>
    </row>
    <row r="2901" spans="1:13">
      <c r="A2901" s="1">
        <f>HYPERLINK("http://www.twitter.com/NathanBLawrence/status/953403113192509441", "953403113192509441")</f>
        <v/>
      </c>
      <c r="B2901" s="2" t="n">
        <v>43116.96284722222</v>
      </c>
      <c r="C2901" t="n">
        <v>1</v>
      </c>
      <c r="D2901" t="n">
        <v>0</v>
      </c>
      <c r="E2901" t="s">
        <v>2891</v>
      </c>
      <c r="F2901" t="s"/>
      <c r="G2901" t="s"/>
      <c r="H2901" t="s"/>
      <c r="I2901" t="s"/>
      <c r="J2901" t="n">
        <v>0</v>
      </c>
      <c r="K2901" t="n">
        <v>0</v>
      </c>
      <c r="L2901" t="n">
        <v>1</v>
      </c>
      <c r="M2901" t="n">
        <v>0</v>
      </c>
    </row>
    <row r="2902" spans="1:13">
      <c r="A2902" s="1">
        <f>HYPERLINK("http://www.twitter.com/NathanBLawrence/status/953393026029600768", "953393026029600768")</f>
        <v/>
      </c>
      <c r="B2902" s="2" t="n">
        <v>43116.93501157407</v>
      </c>
      <c r="C2902" t="n">
        <v>0</v>
      </c>
      <c r="D2902" t="n">
        <v>12</v>
      </c>
      <c r="E2902" t="s">
        <v>2892</v>
      </c>
      <c r="F2902" t="s"/>
      <c r="G2902" t="s"/>
      <c r="H2902" t="s"/>
      <c r="I2902" t="s"/>
      <c r="J2902" t="n">
        <v>0</v>
      </c>
      <c r="K2902" t="n">
        <v>0</v>
      </c>
      <c r="L2902" t="n">
        <v>1</v>
      </c>
      <c r="M2902" t="n">
        <v>0</v>
      </c>
    </row>
    <row r="2903" spans="1:13">
      <c r="A2903" s="1">
        <f>HYPERLINK("http://www.twitter.com/NathanBLawrence/status/953389646536470529", "953389646536470529")</f>
        <v/>
      </c>
      <c r="B2903" s="2" t="n">
        <v>43116.92568287037</v>
      </c>
      <c r="C2903" t="n">
        <v>0</v>
      </c>
      <c r="D2903" t="n">
        <v>6067</v>
      </c>
      <c r="E2903" t="s">
        <v>2893</v>
      </c>
      <c r="F2903">
        <f>HYPERLINK("http://pbs.twimg.com/media/DTsMb9-XcAEZLhW.jpg", "http://pbs.twimg.com/media/DTsMb9-XcAEZLhW.jpg")</f>
        <v/>
      </c>
      <c r="G2903" t="s"/>
      <c r="H2903" t="s"/>
      <c r="I2903" t="s"/>
      <c r="J2903" t="n">
        <v>-0.5266999999999999</v>
      </c>
      <c r="K2903" t="n">
        <v>0.167</v>
      </c>
      <c r="L2903" t="n">
        <v>0.833</v>
      </c>
      <c r="M2903" t="n">
        <v>0</v>
      </c>
    </row>
    <row r="2904" spans="1:13">
      <c r="A2904" s="1">
        <f>HYPERLINK("http://www.twitter.com/NathanBLawrence/status/953378078176182274", "953378078176182274")</f>
        <v/>
      </c>
      <c r="B2904" s="2" t="n">
        <v>43116.89376157407</v>
      </c>
      <c r="C2904" t="n">
        <v>0</v>
      </c>
      <c r="D2904" t="n">
        <v>158</v>
      </c>
      <c r="E2904" t="s">
        <v>2894</v>
      </c>
      <c r="F2904" t="s"/>
      <c r="G2904" t="s"/>
      <c r="H2904" t="s"/>
      <c r="I2904" t="s"/>
      <c r="J2904" t="n">
        <v>0.5266999999999999</v>
      </c>
      <c r="K2904" t="n">
        <v>0</v>
      </c>
      <c r="L2904" t="n">
        <v>0.841</v>
      </c>
      <c r="M2904" t="n">
        <v>0.159</v>
      </c>
    </row>
    <row r="2905" spans="1:13">
      <c r="A2905" s="1">
        <f>HYPERLINK("http://www.twitter.com/NathanBLawrence/status/953354637763141633", "953354637763141633")</f>
        <v/>
      </c>
      <c r="B2905" s="2" t="n">
        <v>43116.82907407408</v>
      </c>
      <c r="C2905" t="n">
        <v>0</v>
      </c>
      <c r="D2905" t="n">
        <v>19005</v>
      </c>
      <c r="E2905" t="s">
        <v>2895</v>
      </c>
      <c r="F2905" t="s"/>
      <c r="G2905" t="s"/>
      <c r="H2905" t="s"/>
      <c r="I2905" t="s"/>
      <c r="J2905" t="n">
        <v>0.6369</v>
      </c>
      <c r="K2905" t="n">
        <v>0</v>
      </c>
      <c r="L2905" t="n">
        <v>0.769</v>
      </c>
      <c r="M2905" t="n">
        <v>0.231</v>
      </c>
    </row>
    <row r="2906" spans="1:13">
      <c r="A2906" s="1">
        <f>HYPERLINK("http://www.twitter.com/NathanBLawrence/status/953352723340169216", "953352723340169216")</f>
        <v/>
      </c>
      <c r="B2906" s="2" t="n">
        <v>43116.8237962963</v>
      </c>
      <c r="C2906" t="n">
        <v>0</v>
      </c>
      <c r="D2906" t="n">
        <v>46</v>
      </c>
      <c r="E2906" t="s">
        <v>2896</v>
      </c>
      <c r="F2906">
        <f>HYPERLINK("http://pbs.twimg.com/media/DTrq2isVoAAtQaj.jpg", "http://pbs.twimg.com/media/DTrq2isVoAAtQaj.jpg")</f>
        <v/>
      </c>
      <c r="G2906" t="s"/>
      <c r="H2906" t="s"/>
      <c r="I2906" t="s"/>
      <c r="J2906" t="n">
        <v>0.3612</v>
      </c>
      <c r="K2906" t="n">
        <v>0</v>
      </c>
      <c r="L2906" t="n">
        <v>0.8</v>
      </c>
      <c r="M2906" t="n">
        <v>0.2</v>
      </c>
    </row>
    <row r="2907" spans="1:13">
      <c r="A2907" s="1">
        <f>HYPERLINK("http://www.twitter.com/NathanBLawrence/status/953350840600973312", "953350840600973312")</f>
        <v/>
      </c>
      <c r="B2907" s="2" t="n">
        <v>43116.81859953704</v>
      </c>
      <c r="C2907" t="n">
        <v>0</v>
      </c>
      <c r="D2907" t="n">
        <v>3719</v>
      </c>
      <c r="E2907" t="s">
        <v>2897</v>
      </c>
      <c r="F2907">
        <f>HYPERLINK("https://video.twimg.com/ext_tw_video/953339833073709056/pu/vid/1280x720/2hRoL8dM1G5iyA0Z.mp4", "https://video.twimg.com/ext_tw_video/953339833073709056/pu/vid/1280x720/2hRoL8dM1G5iyA0Z.mp4")</f>
        <v/>
      </c>
      <c r="G2907" t="s"/>
      <c r="H2907" t="s"/>
      <c r="I2907" t="s"/>
      <c r="J2907" t="n">
        <v>0</v>
      </c>
      <c r="K2907" t="n">
        <v>0</v>
      </c>
      <c r="L2907" t="n">
        <v>1</v>
      </c>
      <c r="M2907" t="n">
        <v>0</v>
      </c>
    </row>
    <row r="2908" spans="1:13">
      <c r="A2908" s="1">
        <f>HYPERLINK("http://www.twitter.com/NathanBLawrence/status/953343370495234048", "953343370495234048")</f>
        <v/>
      </c>
      <c r="B2908" s="2" t="n">
        <v>43116.79798611111</v>
      </c>
      <c r="C2908" t="n">
        <v>0</v>
      </c>
      <c r="D2908" t="n">
        <v>8199</v>
      </c>
      <c r="E2908" t="s">
        <v>2898</v>
      </c>
      <c r="F2908" t="s"/>
      <c r="G2908" t="s"/>
      <c r="H2908" t="s"/>
      <c r="I2908" t="s"/>
      <c r="J2908" t="n">
        <v>0.3182</v>
      </c>
      <c r="K2908" t="n">
        <v>0.124</v>
      </c>
      <c r="L2908" t="n">
        <v>0.638</v>
      </c>
      <c r="M2908" t="n">
        <v>0.237</v>
      </c>
    </row>
    <row r="2909" spans="1:13">
      <c r="A2909" s="1">
        <f>HYPERLINK("http://www.twitter.com/NathanBLawrence/status/953342238645465088", "953342238645465088")</f>
        <v/>
      </c>
      <c r="B2909" s="2" t="n">
        <v>43116.79486111111</v>
      </c>
      <c r="C2909" t="n">
        <v>0</v>
      </c>
      <c r="D2909" t="n">
        <v>4590</v>
      </c>
      <c r="E2909" t="s">
        <v>2899</v>
      </c>
      <c r="F2909">
        <f>HYPERLINK("http://pbs.twimg.com/media/DTq1iL5XUAA1_kW.jpg", "http://pbs.twimg.com/media/DTq1iL5XUAA1_kW.jpg")</f>
        <v/>
      </c>
      <c r="G2909" t="s"/>
      <c r="H2909" t="s"/>
      <c r="I2909" t="s"/>
      <c r="J2909" t="n">
        <v>0.6996</v>
      </c>
      <c r="K2909" t="n">
        <v>0</v>
      </c>
      <c r="L2909" t="n">
        <v>0.737</v>
      </c>
      <c r="M2909" t="n">
        <v>0.263</v>
      </c>
    </row>
    <row r="2910" spans="1:13">
      <c r="A2910" s="1">
        <f>HYPERLINK("http://www.twitter.com/NathanBLawrence/status/953339492705894400", "953339492705894400")</f>
        <v/>
      </c>
      <c r="B2910" s="2" t="n">
        <v>43116.78728009259</v>
      </c>
      <c r="C2910" t="n">
        <v>0</v>
      </c>
      <c r="D2910" t="n">
        <v>28005</v>
      </c>
      <c r="E2910" t="s">
        <v>2900</v>
      </c>
      <c r="F2910" t="s"/>
      <c r="G2910" t="s"/>
      <c r="H2910" t="s"/>
      <c r="I2910" t="s"/>
      <c r="J2910" t="n">
        <v>0.7579</v>
      </c>
      <c r="K2910" t="n">
        <v>0</v>
      </c>
      <c r="L2910" t="n">
        <v>0.737</v>
      </c>
      <c r="M2910" t="n">
        <v>0.263</v>
      </c>
    </row>
    <row r="2911" spans="1:13">
      <c r="A2911" s="1">
        <f>HYPERLINK("http://www.twitter.com/NathanBLawrence/status/953337646633443328", "953337646633443328")</f>
        <v/>
      </c>
      <c r="B2911" s="2" t="n">
        <v>43116.7821875</v>
      </c>
      <c r="C2911" t="n">
        <v>0</v>
      </c>
      <c r="D2911" t="n">
        <v>323</v>
      </c>
      <c r="E2911" t="s">
        <v>2901</v>
      </c>
      <c r="F2911">
        <f>HYPERLINK("http://pbs.twimg.com/media/DTorreCVQAEy-iM.jpg", "http://pbs.twimg.com/media/DTorreCVQAEy-iM.jpg")</f>
        <v/>
      </c>
      <c r="G2911" t="s"/>
      <c r="H2911" t="s"/>
      <c r="I2911" t="s"/>
      <c r="J2911" t="n">
        <v>0.7906</v>
      </c>
      <c r="K2911" t="n">
        <v>0</v>
      </c>
      <c r="L2911" t="n">
        <v>0.72</v>
      </c>
      <c r="M2911" t="n">
        <v>0.28</v>
      </c>
    </row>
    <row r="2912" spans="1:13">
      <c r="A2912" s="1">
        <f>HYPERLINK("http://www.twitter.com/NathanBLawrence/status/953336160759304192", "953336160759304192")</f>
        <v/>
      </c>
      <c r="B2912" s="2" t="n">
        <v>43116.77809027778</v>
      </c>
      <c r="C2912" t="n">
        <v>0</v>
      </c>
      <c r="D2912" t="n">
        <v>5</v>
      </c>
      <c r="E2912" t="s">
        <v>2902</v>
      </c>
      <c r="F2912" t="s"/>
      <c r="G2912" t="s"/>
      <c r="H2912" t="s"/>
      <c r="I2912" t="s"/>
      <c r="J2912" t="n">
        <v>0.3182</v>
      </c>
      <c r="K2912" t="n">
        <v>0</v>
      </c>
      <c r="L2912" t="n">
        <v>0.892</v>
      </c>
      <c r="M2912" t="n">
        <v>0.108</v>
      </c>
    </row>
    <row r="2913" spans="1:13">
      <c r="A2913" s="1">
        <f>HYPERLINK("http://www.twitter.com/NathanBLawrence/status/953335800346890240", "953335800346890240")</f>
        <v/>
      </c>
      <c r="B2913" s="2" t="n">
        <v>43116.7770949074</v>
      </c>
      <c r="C2913" t="n">
        <v>0</v>
      </c>
      <c r="D2913" t="n">
        <v>233</v>
      </c>
      <c r="E2913" t="s">
        <v>2903</v>
      </c>
      <c r="F2913" t="s"/>
      <c r="G2913" t="s"/>
      <c r="H2913" t="s"/>
      <c r="I2913" t="s"/>
      <c r="J2913" t="n">
        <v>0</v>
      </c>
      <c r="K2913" t="n">
        <v>0</v>
      </c>
      <c r="L2913" t="n">
        <v>1</v>
      </c>
      <c r="M2913" t="n">
        <v>0</v>
      </c>
    </row>
    <row r="2914" spans="1:13">
      <c r="A2914" s="1">
        <f>HYPERLINK("http://www.twitter.com/NathanBLawrence/status/953335432410030080", "953335432410030080")</f>
        <v/>
      </c>
      <c r="B2914" s="2" t="n">
        <v>43116.77607638889</v>
      </c>
      <c r="C2914" t="n">
        <v>0</v>
      </c>
      <c r="D2914" t="n">
        <v>0</v>
      </c>
      <c r="E2914" t="s">
        <v>2904</v>
      </c>
      <c r="F2914" t="s"/>
      <c r="G2914" t="s"/>
      <c r="H2914" t="s"/>
      <c r="I2914" t="s"/>
      <c r="J2914" t="n">
        <v>-0.54</v>
      </c>
      <c r="K2914" t="n">
        <v>0.303</v>
      </c>
      <c r="L2914" t="n">
        <v>0.697</v>
      </c>
      <c r="M2914" t="n">
        <v>0</v>
      </c>
    </row>
    <row r="2915" spans="1:13">
      <c r="A2915" s="1">
        <f>HYPERLINK("http://www.twitter.com/NathanBLawrence/status/953334699941908481", "953334699941908481")</f>
        <v/>
      </c>
      <c r="B2915" s="2" t="n">
        <v>43116.7740625</v>
      </c>
      <c r="C2915" t="n">
        <v>0</v>
      </c>
      <c r="D2915" t="n">
        <v>201</v>
      </c>
      <c r="E2915" t="s">
        <v>2905</v>
      </c>
      <c r="F2915" t="s"/>
      <c r="G2915" t="s"/>
      <c r="H2915" t="s"/>
      <c r="I2915" t="s"/>
      <c r="J2915" t="n">
        <v>-0.4588</v>
      </c>
      <c r="K2915" t="n">
        <v>0.132</v>
      </c>
      <c r="L2915" t="n">
        <v>0.772</v>
      </c>
      <c r="M2915" t="n">
        <v>0.096</v>
      </c>
    </row>
    <row r="2916" spans="1:13">
      <c r="A2916" s="1">
        <f>HYPERLINK("http://www.twitter.com/NathanBLawrence/status/953330011003604993", "953330011003604993")</f>
        <v/>
      </c>
      <c r="B2916" s="2" t="n">
        <v>43116.76112268519</v>
      </c>
      <c r="C2916" t="n">
        <v>0</v>
      </c>
      <c r="D2916" t="n">
        <v>779</v>
      </c>
      <c r="E2916" t="s">
        <v>2906</v>
      </c>
      <c r="F2916">
        <f>HYPERLINK("http://pbs.twimg.com/media/DTppbReWkAAd7vy.jpg", "http://pbs.twimg.com/media/DTppbReWkAAd7vy.jpg")</f>
        <v/>
      </c>
      <c r="G2916" t="s"/>
      <c r="H2916" t="s"/>
      <c r="I2916" t="s"/>
      <c r="J2916" t="n">
        <v>-0.8689</v>
      </c>
      <c r="K2916" t="n">
        <v>0.403</v>
      </c>
      <c r="L2916" t="n">
        <v>0.503</v>
      </c>
      <c r="M2916" t="n">
        <v>0.094</v>
      </c>
    </row>
    <row r="2917" spans="1:13">
      <c r="A2917" s="1">
        <f>HYPERLINK("http://www.twitter.com/NathanBLawrence/status/953329391236452352", "953329391236452352")</f>
        <v/>
      </c>
      <c r="B2917" s="2" t="n">
        <v>43116.75940972222</v>
      </c>
      <c r="C2917" t="n">
        <v>0</v>
      </c>
      <c r="D2917" t="n">
        <v>0</v>
      </c>
      <c r="E2917" t="s">
        <v>2907</v>
      </c>
      <c r="F2917" t="s"/>
      <c r="G2917" t="s"/>
      <c r="H2917" t="s"/>
      <c r="I2917" t="s"/>
      <c r="J2917" t="n">
        <v>0.8932</v>
      </c>
      <c r="K2917" t="n">
        <v>0.081</v>
      </c>
      <c r="L2917" t="n">
        <v>0.571</v>
      </c>
      <c r="M2917" t="n">
        <v>0.348</v>
      </c>
    </row>
    <row r="2918" spans="1:13">
      <c r="A2918" s="1">
        <f>HYPERLINK("http://www.twitter.com/NathanBLawrence/status/953325086320324608", "953325086320324608")</f>
        <v/>
      </c>
      <c r="B2918" s="2" t="n">
        <v>43116.74753472222</v>
      </c>
      <c r="C2918" t="n">
        <v>0</v>
      </c>
      <c r="D2918" t="n">
        <v>0</v>
      </c>
      <c r="E2918" t="s">
        <v>2908</v>
      </c>
      <c r="F2918" t="s"/>
      <c r="G2918" t="s"/>
      <c r="H2918" t="s"/>
      <c r="I2918" t="s"/>
      <c r="J2918" t="n">
        <v>0.7506</v>
      </c>
      <c r="K2918" t="n">
        <v>0.075</v>
      </c>
      <c r="L2918" t="n">
        <v>0.6820000000000001</v>
      </c>
      <c r="M2918" t="n">
        <v>0.243</v>
      </c>
    </row>
    <row r="2919" spans="1:13">
      <c r="A2919" s="1">
        <f>HYPERLINK("http://www.twitter.com/NathanBLawrence/status/953297176326754304", "953297176326754304")</f>
        <v/>
      </c>
      <c r="B2919" s="2" t="n">
        <v>43116.67050925926</v>
      </c>
      <c r="C2919" t="n">
        <v>15</v>
      </c>
      <c r="D2919" t="n">
        <v>14</v>
      </c>
      <c r="E2919" t="s">
        <v>2909</v>
      </c>
      <c r="F2919">
        <f>HYPERLINK("http://pbs.twimg.com/media/DTrKrv_X0AIE4CU.jpg", "http://pbs.twimg.com/media/DTrKrv_X0AIE4CU.jpg")</f>
        <v/>
      </c>
      <c r="G2919" t="s"/>
      <c r="H2919" t="s"/>
      <c r="I2919" t="s"/>
      <c r="J2919" t="n">
        <v>-0.5596</v>
      </c>
      <c r="K2919" t="n">
        <v>0.167</v>
      </c>
      <c r="L2919" t="n">
        <v>0.833</v>
      </c>
      <c r="M2919" t="n">
        <v>0</v>
      </c>
    </row>
    <row r="2920" spans="1:13">
      <c r="A2920" s="1">
        <f>HYPERLINK("http://www.twitter.com/NathanBLawrence/status/953294195581767682", "953294195581767682")</f>
        <v/>
      </c>
      <c r="B2920" s="2" t="n">
        <v>43116.66229166667</v>
      </c>
      <c r="C2920" t="n">
        <v>0</v>
      </c>
      <c r="D2920" t="n">
        <v>1365</v>
      </c>
      <c r="E2920" t="s">
        <v>2910</v>
      </c>
      <c r="F2920" t="s"/>
      <c r="G2920" t="s"/>
      <c r="H2920" t="s"/>
      <c r="I2920" t="s"/>
      <c r="J2920" t="n">
        <v>0.9186</v>
      </c>
      <c r="K2920" t="n">
        <v>0.177</v>
      </c>
      <c r="L2920" t="n">
        <v>0.323</v>
      </c>
      <c r="M2920" t="n">
        <v>0.5</v>
      </c>
    </row>
    <row r="2921" spans="1:13">
      <c r="A2921" s="1">
        <f>HYPERLINK("http://www.twitter.com/NathanBLawrence/status/953293404393394181", "953293404393394181")</f>
        <v/>
      </c>
      <c r="B2921" s="2" t="n">
        <v>43116.66010416667</v>
      </c>
      <c r="C2921" t="n">
        <v>0</v>
      </c>
      <c r="D2921" t="n">
        <v>8</v>
      </c>
      <c r="E2921" t="s">
        <v>2911</v>
      </c>
      <c r="F2921" t="s"/>
      <c r="G2921" t="s"/>
      <c r="H2921" t="s"/>
      <c r="I2921" t="s"/>
      <c r="J2921" t="n">
        <v>0.0772</v>
      </c>
      <c r="K2921" t="n">
        <v>0</v>
      </c>
      <c r="L2921" t="n">
        <v>0.9360000000000001</v>
      </c>
      <c r="M2921" t="n">
        <v>0.064</v>
      </c>
    </row>
    <row r="2922" spans="1:13">
      <c r="A2922" s="1">
        <f>HYPERLINK("http://www.twitter.com/NathanBLawrence/status/953293369765228545", "953293369765228545")</f>
        <v/>
      </c>
      <c r="B2922" s="2" t="n">
        <v>43116.66001157407</v>
      </c>
      <c r="C2922" t="n">
        <v>0</v>
      </c>
      <c r="D2922" t="n">
        <v>5</v>
      </c>
      <c r="E2922" t="s">
        <v>2912</v>
      </c>
      <c r="F2922" t="s"/>
      <c r="G2922" t="s"/>
      <c r="H2922" t="s"/>
      <c r="I2922" t="s"/>
      <c r="J2922" t="n">
        <v>0</v>
      </c>
      <c r="K2922" t="n">
        <v>0</v>
      </c>
      <c r="L2922" t="n">
        <v>1</v>
      </c>
      <c r="M2922" t="n">
        <v>0</v>
      </c>
    </row>
    <row r="2923" spans="1:13">
      <c r="A2923" s="1">
        <f>HYPERLINK("http://www.twitter.com/NathanBLawrence/status/953293281324126208", "953293281324126208")</f>
        <v/>
      </c>
      <c r="B2923" s="2" t="n">
        <v>43116.65976851852</v>
      </c>
      <c r="C2923" t="n">
        <v>0</v>
      </c>
      <c r="D2923" t="n">
        <v>3</v>
      </c>
      <c r="E2923" t="s">
        <v>2913</v>
      </c>
      <c r="F2923" t="s"/>
      <c r="G2923" t="s"/>
      <c r="H2923" t="s"/>
      <c r="I2923" t="s"/>
      <c r="J2923" t="n">
        <v>0</v>
      </c>
      <c r="K2923" t="n">
        <v>0</v>
      </c>
      <c r="L2923" t="n">
        <v>1</v>
      </c>
      <c r="M2923" t="n">
        <v>0</v>
      </c>
    </row>
    <row r="2924" spans="1:13">
      <c r="A2924" s="1">
        <f>HYPERLINK("http://www.twitter.com/NathanBLawrence/status/953123475207618566", "953123475207618566")</f>
        <v/>
      </c>
      <c r="B2924" s="2" t="n">
        <v>43116.19119212963</v>
      </c>
      <c r="C2924" t="n">
        <v>0</v>
      </c>
      <c r="D2924" t="n">
        <v>5</v>
      </c>
      <c r="E2924" t="s">
        <v>2914</v>
      </c>
      <c r="F2924" t="s"/>
      <c r="G2924" t="s"/>
      <c r="H2924" t="s"/>
      <c r="I2924" t="s"/>
      <c r="J2924" t="n">
        <v>0.743</v>
      </c>
      <c r="K2924" t="n">
        <v>0</v>
      </c>
      <c r="L2924" t="n">
        <v>0.785</v>
      </c>
      <c r="M2924" t="n">
        <v>0.215</v>
      </c>
    </row>
    <row r="2925" spans="1:13">
      <c r="A2925" s="1">
        <f>HYPERLINK("http://www.twitter.com/NathanBLawrence/status/953081105636319232", "953081105636319232")</f>
        <v/>
      </c>
      <c r="B2925" s="2" t="n">
        <v>43116.07427083333</v>
      </c>
      <c r="C2925" t="n">
        <v>0</v>
      </c>
      <c r="D2925" t="n">
        <v>15</v>
      </c>
      <c r="E2925" t="s">
        <v>2915</v>
      </c>
      <c r="F2925">
        <f>HYPERLINK("http://pbs.twimg.com/media/DTn2dKqVAAATFKL.jpg", "http://pbs.twimg.com/media/DTn2dKqVAAATFKL.jpg")</f>
        <v/>
      </c>
      <c r="G2925" t="s"/>
      <c r="H2925" t="s"/>
      <c r="I2925" t="s"/>
      <c r="J2925" t="n">
        <v>0</v>
      </c>
      <c r="K2925" t="n">
        <v>0</v>
      </c>
      <c r="L2925" t="n">
        <v>1</v>
      </c>
      <c r="M2925" t="n">
        <v>0</v>
      </c>
    </row>
    <row r="2926" spans="1:13">
      <c r="A2926" s="1">
        <f>HYPERLINK("http://www.twitter.com/NathanBLawrence/status/953080870583390208", "953080870583390208")</f>
        <v/>
      </c>
      <c r="B2926" s="2" t="n">
        <v>43116.07362268519</v>
      </c>
      <c r="C2926" t="n">
        <v>0</v>
      </c>
      <c r="D2926" t="n">
        <v>185</v>
      </c>
      <c r="E2926" t="s">
        <v>2916</v>
      </c>
      <c r="F2926">
        <f>HYPERLINK("http://pbs.twimg.com/media/DTnoIFVVoAAke8a.jpg", "http://pbs.twimg.com/media/DTnoIFVVoAAke8a.jpg")</f>
        <v/>
      </c>
      <c r="G2926" t="s"/>
      <c r="H2926" t="s"/>
      <c r="I2926" t="s"/>
      <c r="J2926" t="n">
        <v>-0.6166</v>
      </c>
      <c r="K2926" t="n">
        <v>0.192</v>
      </c>
      <c r="L2926" t="n">
        <v>0.8080000000000001</v>
      </c>
      <c r="M2926" t="n">
        <v>0</v>
      </c>
    </row>
    <row r="2927" spans="1:13">
      <c r="A2927" s="1">
        <f>HYPERLINK("http://www.twitter.com/NathanBLawrence/status/953080600403107840", "953080600403107840")</f>
        <v/>
      </c>
      <c r="B2927" s="2" t="n">
        <v>43116.07288194444</v>
      </c>
      <c r="C2927" t="n">
        <v>0</v>
      </c>
      <c r="D2927" t="n">
        <v>14</v>
      </c>
      <c r="E2927" t="s">
        <v>2917</v>
      </c>
      <c r="F2927">
        <f>HYPERLINK("http://pbs.twimg.com/media/DToDIMFW4AEYmvn.jpg", "http://pbs.twimg.com/media/DToDIMFW4AEYmvn.jpg")</f>
        <v/>
      </c>
      <c r="G2927" t="s"/>
      <c r="H2927" t="s"/>
      <c r="I2927" t="s"/>
      <c r="J2927" t="n">
        <v>0.4019</v>
      </c>
      <c r="K2927" t="n">
        <v>0</v>
      </c>
      <c r="L2927" t="n">
        <v>0.787</v>
      </c>
      <c r="M2927" t="n">
        <v>0.213</v>
      </c>
    </row>
    <row r="2928" spans="1:13">
      <c r="A2928" s="1">
        <f>HYPERLINK("http://www.twitter.com/NathanBLawrence/status/953075210709798912", "953075210709798912")</f>
        <v/>
      </c>
      <c r="B2928" s="2" t="n">
        <v>43116.05800925926</v>
      </c>
      <c r="C2928" t="n">
        <v>0</v>
      </c>
      <c r="D2928" t="n">
        <v>1</v>
      </c>
      <c r="E2928" t="s">
        <v>2918</v>
      </c>
      <c r="F2928">
        <f>HYPERLINK("http://pbs.twimg.com/media/DToArJWX4AEuclK.jpg", "http://pbs.twimg.com/media/DToArJWX4AEuclK.jpg")</f>
        <v/>
      </c>
      <c r="G2928" t="s"/>
      <c r="H2928" t="s"/>
      <c r="I2928" t="s"/>
      <c r="J2928" t="n">
        <v>0.4019</v>
      </c>
      <c r="K2928" t="n">
        <v>0</v>
      </c>
      <c r="L2928" t="n">
        <v>0.803</v>
      </c>
      <c r="M2928" t="n">
        <v>0.197</v>
      </c>
    </row>
    <row r="2929" spans="1:13">
      <c r="A2929" s="1">
        <f>HYPERLINK("http://www.twitter.com/NathanBLawrence/status/953039382096830464", "953039382096830464")</f>
        <v/>
      </c>
      <c r="B2929" s="2" t="n">
        <v>43115.95913194444</v>
      </c>
      <c r="C2929" t="n">
        <v>0</v>
      </c>
      <c r="D2929" t="n">
        <v>0</v>
      </c>
      <c r="E2929" t="s">
        <v>2919</v>
      </c>
      <c r="F2929" t="s"/>
      <c r="G2929" t="s"/>
      <c r="H2929" t="s"/>
      <c r="I2929" t="s"/>
      <c r="J2929" t="n">
        <v>0.0941</v>
      </c>
      <c r="K2929" t="n">
        <v>0.133</v>
      </c>
      <c r="L2929" t="n">
        <v>0.712</v>
      </c>
      <c r="M2929" t="n">
        <v>0.155</v>
      </c>
    </row>
    <row r="2930" spans="1:13">
      <c r="A2930" s="1">
        <f>HYPERLINK("http://www.twitter.com/NathanBLawrence/status/953031603395203072", "953031603395203072")</f>
        <v/>
      </c>
      <c r="B2930" s="2" t="n">
        <v>43115.93767361111</v>
      </c>
      <c r="C2930" t="n">
        <v>0</v>
      </c>
      <c r="D2930" t="n">
        <v>97</v>
      </c>
      <c r="E2930" t="s">
        <v>2920</v>
      </c>
      <c r="F2930">
        <f>HYPERLINK("https://video.twimg.com/ext_tw_video/953015201892216832/pu/vid/1280x720/RcfAHv22XoUT6F0u.mp4", "https://video.twimg.com/ext_tw_video/953015201892216832/pu/vid/1280x720/RcfAHv22XoUT6F0u.mp4")</f>
        <v/>
      </c>
      <c r="G2930" t="s"/>
      <c r="H2930" t="s"/>
      <c r="I2930" t="s"/>
      <c r="J2930" t="n">
        <v>-0.4939</v>
      </c>
      <c r="K2930" t="n">
        <v>0.118</v>
      </c>
      <c r="L2930" t="n">
        <v>0.882</v>
      </c>
      <c r="M2930" t="n">
        <v>0</v>
      </c>
    </row>
    <row r="2931" spans="1:13">
      <c r="A2931" s="1">
        <f>HYPERLINK("http://www.twitter.com/NathanBLawrence/status/953031580255125510", "953031580255125510")</f>
        <v/>
      </c>
      <c r="B2931" s="2" t="n">
        <v>43115.93760416667</v>
      </c>
      <c r="C2931" t="n">
        <v>0</v>
      </c>
      <c r="D2931" t="n">
        <v>39</v>
      </c>
      <c r="E2931" t="s">
        <v>2921</v>
      </c>
      <c r="F2931">
        <f>HYPERLINK("https://video.twimg.com/ext_tw_video/953016613061537793/pu/vid/1280x720/T5zvO5ZjPQ2z3Xic.mp4", "https://video.twimg.com/ext_tw_video/953016613061537793/pu/vid/1280x720/T5zvO5ZjPQ2z3Xic.mp4")</f>
        <v/>
      </c>
      <c r="G2931" t="s"/>
      <c r="H2931" t="s"/>
      <c r="I2931" t="s"/>
      <c r="J2931" t="n">
        <v>0</v>
      </c>
      <c r="K2931" t="n">
        <v>0</v>
      </c>
      <c r="L2931" t="n">
        <v>1</v>
      </c>
      <c r="M2931" t="n">
        <v>0</v>
      </c>
    </row>
    <row r="2932" spans="1:13">
      <c r="A2932" s="1">
        <f>HYPERLINK("http://www.twitter.com/NathanBLawrence/status/953031540430331909", "953031540430331909")</f>
        <v/>
      </c>
      <c r="B2932" s="2" t="n">
        <v>43115.9375</v>
      </c>
      <c r="C2932" t="n">
        <v>0</v>
      </c>
      <c r="D2932" t="n">
        <v>33</v>
      </c>
      <c r="E2932" t="s">
        <v>2922</v>
      </c>
      <c r="F2932">
        <f>HYPERLINK("https://video.twimg.com/ext_tw_video/953018895685713920/pu/vid/1280x720/by9-pbDivYU6ZkVW.mp4", "https://video.twimg.com/ext_tw_video/953018895685713920/pu/vid/1280x720/by9-pbDivYU6ZkVW.mp4")</f>
        <v/>
      </c>
      <c r="G2932" t="s"/>
      <c r="H2932" t="s"/>
      <c r="I2932" t="s"/>
      <c r="J2932" t="n">
        <v>-0.5106000000000001</v>
      </c>
      <c r="K2932" t="n">
        <v>0.171</v>
      </c>
      <c r="L2932" t="n">
        <v>0.829</v>
      </c>
      <c r="M2932" t="n">
        <v>0</v>
      </c>
    </row>
    <row r="2933" spans="1:13">
      <c r="A2933" s="1">
        <f>HYPERLINK("http://www.twitter.com/NathanBLawrence/status/953017318384259072", "953017318384259072")</f>
        <v/>
      </c>
      <c r="B2933" s="2" t="n">
        <v>43115.89825231482</v>
      </c>
      <c r="C2933" t="n">
        <v>50</v>
      </c>
      <c r="D2933" t="n">
        <v>30</v>
      </c>
      <c r="E2933" t="s">
        <v>2923</v>
      </c>
      <c r="F2933">
        <f>HYPERLINK("http://pbs.twimg.com/media/DTnMMXVXUAYESwk.jpg", "http://pbs.twimg.com/media/DTnMMXVXUAYESwk.jpg")</f>
        <v/>
      </c>
      <c r="G2933" t="s"/>
      <c r="H2933" t="s"/>
      <c r="I2933" t="s"/>
      <c r="J2933" t="n">
        <v>-0.4939</v>
      </c>
      <c r="K2933" t="n">
        <v>0.144</v>
      </c>
      <c r="L2933" t="n">
        <v>0.856</v>
      </c>
      <c r="M2933" t="n">
        <v>0</v>
      </c>
    </row>
    <row r="2934" spans="1:13">
      <c r="A2934" s="1">
        <f>HYPERLINK("http://www.twitter.com/NathanBLawrence/status/953009354659258371", "953009354659258371")</f>
        <v/>
      </c>
      <c r="B2934" s="2" t="n">
        <v>43115.87627314815</v>
      </c>
      <c r="C2934" t="n">
        <v>0</v>
      </c>
      <c r="D2934" t="n">
        <v>66</v>
      </c>
      <c r="E2934" t="s">
        <v>2924</v>
      </c>
      <c r="F2934">
        <f>HYPERLINK("http://pbs.twimg.com/media/DTmUTw7VMAAC4dA.jpg", "http://pbs.twimg.com/media/DTmUTw7VMAAC4dA.jpg")</f>
        <v/>
      </c>
      <c r="G2934" t="s"/>
      <c r="H2934" t="s"/>
      <c r="I2934" t="s"/>
      <c r="J2934" t="n">
        <v>0</v>
      </c>
      <c r="K2934" t="n">
        <v>0</v>
      </c>
      <c r="L2934" t="n">
        <v>1</v>
      </c>
      <c r="M2934" t="n">
        <v>0</v>
      </c>
    </row>
    <row r="2935" spans="1:13">
      <c r="A2935" s="1">
        <f>HYPERLINK("http://www.twitter.com/NathanBLawrence/status/952991616003985408", "952991616003985408")</f>
        <v/>
      </c>
      <c r="B2935" s="2" t="n">
        <v>43115.82732638889</v>
      </c>
      <c r="C2935" t="n">
        <v>0</v>
      </c>
      <c r="D2935" t="n">
        <v>50</v>
      </c>
      <c r="E2935" t="s">
        <v>2925</v>
      </c>
      <c r="F2935">
        <f>HYPERLINK("http://pbs.twimg.com/media/DTix6HIVMAAOOGH.jpg", "http://pbs.twimg.com/media/DTix6HIVMAAOOGH.jpg")</f>
        <v/>
      </c>
      <c r="G2935" t="s"/>
      <c r="H2935" t="s"/>
      <c r="I2935" t="s"/>
      <c r="J2935" t="n">
        <v>0</v>
      </c>
      <c r="K2935" t="n">
        <v>0</v>
      </c>
      <c r="L2935" t="n">
        <v>1</v>
      </c>
      <c r="M2935" t="n">
        <v>0</v>
      </c>
    </row>
    <row r="2936" spans="1:13">
      <c r="A2936" s="1">
        <f>HYPERLINK("http://www.twitter.com/NathanBLawrence/status/952979316954091522", "952979316954091522")</f>
        <v/>
      </c>
      <c r="B2936" s="2" t="n">
        <v>43115.7933912037</v>
      </c>
      <c r="C2936" t="n">
        <v>0</v>
      </c>
      <c r="D2936" t="n">
        <v>30</v>
      </c>
      <c r="E2936" t="s">
        <v>2926</v>
      </c>
      <c r="F2936">
        <f>HYPERLINK("http://pbs.twimg.com/media/DTmh9ITVoAAjJHX.jpg", "http://pbs.twimg.com/media/DTmh9ITVoAAjJHX.jpg")</f>
        <v/>
      </c>
      <c r="G2936" t="s"/>
      <c r="H2936" t="s"/>
      <c r="I2936" t="s"/>
      <c r="J2936" t="n">
        <v>-0.4404</v>
      </c>
      <c r="K2936" t="n">
        <v>0.104</v>
      </c>
      <c r="L2936" t="n">
        <v>0.896</v>
      </c>
      <c r="M2936" t="n">
        <v>0</v>
      </c>
    </row>
    <row r="2937" spans="1:13">
      <c r="A2937" s="1">
        <f>HYPERLINK("http://www.twitter.com/NathanBLawrence/status/952979228340969472", "952979228340969472")</f>
        <v/>
      </c>
      <c r="B2937" s="2" t="n">
        <v>43115.79314814815</v>
      </c>
      <c r="C2937" t="n">
        <v>0</v>
      </c>
      <c r="D2937" t="n">
        <v>49</v>
      </c>
      <c r="E2937" t="s">
        <v>2927</v>
      </c>
      <c r="F2937" t="s"/>
      <c r="G2937" t="s"/>
      <c r="H2937" t="s"/>
      <c r="I2937" t="s"/>
      <c r="J2937" t="n">
        <v>0.6414</v>
      </c>
      <c r="K2937" t="n">
        <v>0.117</v>
      </c>
      <c r="L2937" t="n">
        <v>0.601</v>
      </c>
      <c r="M2937" t="n">
        <v>0.283</v>
      </c>
    </row>
    <row r="2938" spans="1:13">
      <c r="A2938" s="1">
        <f>HYPERLINK("http://www.twitter.com/NathanBLawrence/status/952949161376219144", "952949161376219144")</f>
        <v/>
      </c>
      <c r="B2938" s="2" t="n">
        <v>43115.71017361111</v>
      </c>
      <c r="C2938" t="n">
        <v>0</v>
      </c>
      <c r="D2938" t="n">
        <v>6</v>
      </c>
      <c r="E2938" t="s">
        <v>2928</v>
      </c>
      <c r="F2938" t="s"/>
      <c r="G2938" t="s"/>
      <c r="H2938" t="s"/>
      <c r="I2938" t="s"/>
      <c r="J2938" t="n">
        <v>-0.2057</v>
      </c>
      <c r="K2938" t="n">
        <v>0.083</v>
      </c>
      <c r="L2938" t="n">
        <v>0.917</v>
      </c>
      <c r="M2938" t="n">
        <v>0</v>
      </c>
    </row>
    <row r="2939" spans="1:13">
      <c r="A2939" s="1">
        <f>HYPERLINK("http://www.twitter.com/NathanBLawrence/status/952947574155116544", "952947574155116544")</f>
        <v/>
      </c>
      <c r="B2939" s="2" t="n">
        <v>43115.70579861111</v>
      </c>
      <c r="C2939" t="n">
        <v>4</v>
      </c>
      <c r="D2939" t="n">
        <v>6</v>
      </c>
      <c r="E2939" t="s">
        <v>2929</v>
      </c>
      <c r="F2939" t="s"/>
      <c r="G2939" t="s"/>
      <c r="H2939" t="s"/>
      <c r="I2939" t="s"/>
      <c r="J2939" t="n">
        <v>-0.5445</v>
      </c>
      <c r="K2939" t="n">
        <v>0.149</v>
      </c>
      <c r="L2939" t="n">
        <v>0.79</v>
      </c>
      <c r="M2939" t="n">
        <v>0.062</v>
      </c>
    </row>
    <row r="2940" spans="1:13">
      <c r="A2940" s="1">
        <f>HYPERLINK("http://www.twitter.com/NathanBLawrence/status/952934130140041216", "952934130140041216")</f>
        <v/>
      </c>
      <c r="B2940" s="2" t="n">
        <v>43115.66869212963</v>
      </c>
      <c r="C2940" t="n">
        <v>0</v>
      </c>
      <c r="D2940" t="n">
        <v>0</v>
      </c>
      <c r="E2940" t="s">
        <v>2930</v>
      </c>
      <c r="F2940" t="s"/>
      <c r="G2940" t="s"/>
      <c r="H2940" t="s"/>
      <c r="I2940" t="s"/>
      <c r="J2940" t="n">
        <v>0</v>
      </c>
      <c r="K2940" t="n">
        <v>0</v>
      </c>
      <c r="L2940" t="n">
        <v>1</v>
      </c>
      <c r="M2940" t="n">
        <v>0</v>
      </c>
    </row>
    <row r="2941" spans="1:13">
      <c r="A2941" s="1">
        <f>HYPERLINK("http://www.twitter.com/NathanBLawrence/status/952932826000904194", "952932826000904194")</f>
        <v/>
      </c>
      <c r="B2941" s="2" t="n">
        <v>43115.66510416667</v>
      </c>
      <c r="C2941" t="n">
        <v>0</v>
      </c>
      <c r="D2941" t="n">
        <v>175</v>
      </c>
      <c r="E2941" t="s">
        <v>2931</v>
      </c>
      <c r="F2941">
        <f>HYPERLINK("http://pbs.twimg.com/media/DThIrw6U0AAUvby.jpg", "http://pbs.twimg.com/media/DThIrw6U0AAUvby.jpg")</f>
        <v/>
      </c>
      <c r="G2941" t="s"/>
      <c r="H2941" t="s"/>
      <c r="I2941" t="s"/>
      <c r="J2941" t="n">
        <v>0.3612</v>
      </c>
      <c r="K2941" t="n">
        <v>0</v>
      </c>
      <c r="L2941" t="n">
        <v>0.898</v>
      </c>
      <c r="M2941" t="n">
        <v>0.102</v>
      </c>
    </row>
    <row r="2942" spans="1:13">
      <c r="A2942" s="1">
        <f>HYPERLINK("http://www.twitter.com/NathanBLawrence/status/952929560714235914", "952929560714235914")</f>
        <v/>
      </c>
      <c r="B2942" s="2" t="n">
        <v>43115.65608796296</v>
      </c>
      <c r="C2942" t="n">
        <v>0</v>
      </c>
      <c r="D2942" t="n">
        <v>16</v>
      </c>
      <c r="E2942" t="s">
        <v>2932</v>
      </c>
      <c r="F2942">
        <f>HYPERLINK("http://pbs.twimg.com/media/DTl6Cp8VwAIVv6C.jpg", "http://pbs.twimg.com/media/DTl6Cp8VwAIVv6C.jpg")</f>
        <v/>
      </c>
      <c r="G2942" t="s"/>
      <c r="H2942" t="s"/>
      <c r="I2942" t="s"/>
      <c r="J2942" t="n">
        <v>0</v>
      </c>
      <c r="K2942" t="n">
        <v>0</v>
      </c>
      <c r="L2942" t="n">
        <v>1</v>
      </c>
      <c r="M2942" t="n">
        <v>0</v>
      </c>
    </row>
    <row r="2943" spans="1:13">
      <c r="A2943" s="1">
        <f>HYPERLINK("http://www.twitter.com/NathanBLawrence/status/952929130043109376", "952929130043109376")</f>
        <v/>
      </c>
      <c r="B2943" s="2" t="n">
        <v>43115.65489583334</v>
      </c>
      <c r="C2943" t="n">
        <v>0</v>
      </c>
      <c r="D2943" t="n">
        <v>14</v>
      </c>
      <c r="E2943" t="s">
        <v>2933</v>
      </c>
      <c r="F2943">
        <f>HYPERLINK("http://pbs.twimg.com/media/DTl71pFVMAAmtij.jpg", "http://pbs.twimg.com/media/DTl71pFVMAAmtij.jpg")</f>
        <v/>
      </c>
      <c r="G2943" t="s"/>
      <c r="H2943" t="s"/>
      <c r="I2943" t="s"/>
      <c r="J2943" t="n">
        <v>0.3595</v>
      </c>
      <c r="K2943" t="n">
        <v>0</v>
      </c>
      <c r="L2943" t="n">
        <v>0.898</v>
      </c>
      <c r="M2943" t="n">
        <v>0.102</v>
      </c>
    </row>
    <row r="2944" spans="1:13">
      <c r="A2944" s="1">
        <f>HYPERLINK("http://www.twitter.com/NathanBLawrence/status/952926031819702283", "952926031819702283")</f>
        <v/>
      </c>
      <c r="B2944" s="2" t="n">
        <v>43115.64635416667</v>
      </c>
      <c r="C2944" t="n">
        <v>0</v>
      </c>
      <c r="D2944" t="n">
        <v>1794</v>
      </c>
      <c r="E2944" t="s">
        <v>2934</v>
      </c>
      <c r="F2944" t="s"/>
      <c r="G2944" t="s"/>
      <c r="H2944" t="s"/>
      <c r="I2944" t="s"/>
      <c r="J2944" t="n">
        <v>-0.1531</v>
      </c>
      <c r="K2944" t="n">
        <v>0.192</v>
      </c>
      <c r="L2944" t="n">
        <v>0.64</v>
      </c>
      <c r="M2944" t="n">
        <v>0.168</v>
      </c>
    </row>
    <row r="2945" spans="1:13">
      <c r="A2945" s="1">
        <f>HYPERLINK("http://www.twitter.com/NathanBLawrence/status/952922907663007745", "952922907663007745")</f>
        <v/>
      </c>
      <c r="B2945" s="2" t="n">
        <v>43115.63773148148</v>
      </c>
      <c r="C2945" t="n">
        <v>0</v>
      </c>
      <c r="D2945" t="n">
        <v>399</v>
      </c>
      <c r="E2945" t="s">
        <v>2935</v>
      </c>
      <c r="F2945">
        <f>HYPERLINK("http://pbs.twimg.com/media/DTloWbIVoAA-72M.jpg", "http://pbs.twimg.com/media/DTloWbIVoAA-72M.jpg")</f>
        <v/>
      </c>
      <c r="G2945" t="s"/>
      <c r="H2945" t="s"/>
      <c r="I2945" t="s"/>
      <c r="J2945" t="n">
        <v>0.5719</v>
      </c>
      <c r="K2945" t="n">
        <v>0</v>
      </c>
      <c r="L2945" t="n">
        <v>0.844</v>
      </c>
      <c r="M2945" t="n">
        <v>0.156</v>
      </c>
    </row>
    <row r="2946" spans="1:13">
      <c r="A2946" s="1">
        <f>HYPERLINK("http://www.twitter.com/NathanBLawrence/status/952922459271057408", "952922459271057408")</f>
        <v/>
      </c>
      <c r="B2946" s="2" t="n">
        <v>43115.63649305556</v>
      </c>
      <c r="C2946" t="n">
        <v>0</v>
      </c>
      <c r="D2946" t="n">
        <v>9542</v>
      </c>
      <c r="E2946" t="s">
        <v>2936</v>
      </c>
      <c r="F2946" t="s"/>
      <c r="G2946" t="s"/>
      <c r="H2946" t="s"/>
      <c r="I2946" t="s"/>
      <c r="J2946" t="n">
        <v>-0.4767</v>
      </c>
      <c r="K2946" t="n">
        <v>0.147</v>
      </c>
      <c r="L2946" t="n">
        <v>0.853</v>
      </c>
      <c r="M2946" t="n">
        <v>0</v>
      </c>
    </row>
    <row r="2947" spans="1:13">
      <c r="A2947" s="1">
        <f>HYPERLINK("http://www.twitter.com/NathanBLawrence/status/952789028683776000", "952789028683776000")</f>
        <v/>
      </c>
      <c r="B2947" s="2" t="n">
        <v>43115.26829861111</v>
      </c>
      <c r="C2947" t="n">
        <v>1</v>
      </c>
      <c r="D2947" t="n">
        <v>0</v>
      </c>
      <c r="E2947" t="s">
        <v>2937</v>
      </c>
      <c r="F2947" t="s"/>
      <c r="G2947" t="s"/>
      <c r="H2947" t="s"/>
      <c r="I2947" t="s"/>
      <c r="J2947" t="n">
        <v>0.744</v>
      </c>
      <c r="K2947" t="n">
        <v>0.144</v>
      </c>
      <c r="L2947" t="n">
        <v>0.547</v>
      </c>
      <c r="M2947" t="n">
        <v>0.309</v>
      </c>
    </row>
    <row r="2948" spans="1:13">
      <c r="A2948" s="1">
        <f>HYPERLINK("http://www.twitter.com/NathanBLawrence/status/952767598701240320", "952767598701240320")</f>
        <v/>
      </c>
      <c r="B2948" s="2" t="n">
        <v>43115.20915509259</v>
      </c>
      <c r="C2948" t="n">
        <v>0</v>
      </c>
      <c r="D2948" t="n">
        <v>44</v>
      </c>
      <c r="E2948" t="s">
        <v>2938</v>
      </c>
      <c r="F2948">
        <f>HYPERLINK("http://pbs.twimg.com/media/DTjkoTZW0AAs2f9.jpg", "http://pbs.twimg.com/media/DTjkoTZW0AAs2f9.jpg")</f>
        <v/>
      </c>
      <c r="G2948" t="s"/>
      <c r="H2948" t="s"/>
      <c r="I2948" t="s"/>
      <c r="J2948" t="n">
        <v>-0.0258</v>
      </c>
      <c r="K2948" t="n">
        <v>0.095</v>
      </c>
      <c r="L2948" t="n">
        <v>0.8129999999999999</v>
      </c>
      <c r="M2948" t="n">
        <v>0.092</v>
      </c>
    </row>
    <row r="2949" spans="1:13">
      <c r="A2949" s="1">
        <f>HYPERLINK("http://www.twitter.com/NathanBLawrence/status/952765402999869440", "952765402999869440")</f>
        <v/>
      </c>
      <c r="B2949" s="2" t="n">
        <v>43115.20310185185</v>
      </c>
      <c r="C2949" t="n">
        <v>0</v>
      </c>
      <c r="D2949" t="n">
        <v>273</v>
      </c>
      <c r="E2949" t="s">
        <v>2939</v>
      </c>
      <c r="F2949">
        <f>HYPERLINK("http://pbs.twimg.com/media/DTYENIxV4AUgcP-.jpg", "http://pbs.twimg.com/media/DTYENIxV4AUgcP-.jpg")</f>
        <v/>
      </c>
      <c r="G2949" t="s"/>
      <c r="H2949" t="s"/>
      <c r="I2949" t="s"/>
      <c r="J2949" t="n">
        <v>0.3182</v>
      </c>
      <c r="K2949" t="n">
        <v>0</v>
      </c>
      <c r="L2949" t="n">
        <v>0.897</v>
      </c>
      <c r="M2949" t="n">
        <v>0.103</v>
      </c>
    </row>
    <row r="2950" spans="1:13">
      <c r="A2950" s="1">
        <f>HYPERLINK("http://www.twitter.com/NathanBLawrence/status/952750768892891136", "952750768892891136")</f>
        <v/>
      </c>
      <c r="B2950" s="2" t="n">
        <v>43115.16271990741</v>
      </c>
      <c r="C2950" t="n">
        <v>0</v>
      </c>
      <c r="D2950" t="n">
        <v>0</v>
      </c>
      <c r="E2950" t="s">
        <v>2940</v>
      </c>
      <c r="F2950">
        <f>HYPERLINK("http://pbs.twimg.com/media/DTjZwJyUMAAYu5a.jpg", "http://pbs.twimg.com/media/DTjZwJyUMAAYu5a.jpg")</f>
        <v/>
      </c>
      <c r="G2950" t="s"/>
      <c r="H2950" t="s"/>
      <c r="I2950" t="s"/>
      <c r="J2950" t="n">
        <v>0</v>
      </c>
      <c r="K2950" t="n">
        <v>0</v>
      </c>
      <c r="L2950" t="n">
        <v>1</v>
      </c>
      <c r="M2950" t="n">
        <v>0</v>
      </c>
    </row>
    <row r="2951" spans="1:13">
      <c r="A2951" s="1">
        <f>HYPERLINK("http://www.twitter.com/NathanBLawrence/status/952697939188699136", "952697939188699136")</f>
        <v/>
      </c>
      <c r="B2951" s="2" t="n">
        <v>43115.01693287037</v>
      </c>
      <c r="C2951" t="n">
        <v>0</v>
      </c>
      <c r="D2951" t="n">
        <v>95</v>
      </c>
      <c r="E2951" t="s">
        <v>2941</v>
      </c>
      <c r="F2951">
        <f>HYPERLINK("http://pbs.twimg.com/media/DTiVBI6UQAAMb-r.jpg", "http://pbs.twimg.com/media/DTiVBI6UQAAMb-r.jpg")</f>
        <v/>
      </c>
      <c r="G2951" t="s"/>
      <c r="H2951" t="s"/>
      <c r="I2951" t="s"/>
      <c r="J2951" t="n">
        <v>0.5423</v>
      </c>
      <c r="K2951" t="n">
        <v>0</v>
      </c>
      <c r="L2951" t="n">
        <v>0.791</v>
      </c>
      <c r="M2951" t="n">
        <v>0.209</v>
      </c>
    </row>
    <row r="2952" spans="1:13">
      <c r="A2952" s="1">
        <f>HYPERLINK("http://www.twitter.com/NathanBLawrence/status/952674880574623744", "952674880574623744")</f>
        <v/>
      </c>
      <c r="B2952" s="2" t="n">
        <v>43114.95331018518</v>
      </c>
      <c r="C2952" t="n">
        <v>0</v>
      </c>
      <c r="D2952" t="n">
        <v>4</v>
      </c>
      <c r="E2952" t="s">
        <v>2942</v>
      </c>
      <c r="F2952" t="s"/>
      <c r="G2952" t="s"/>
      <c r="H2952" t="s"/>
      <c r="I2952" t="s"/>
      <c r="J2952" t="n">
        <v>-0.296</v>
      </c>
      <c r="K2952" t="n">
        <v>0.169</v>
      </c>
      <c r="L2952" t="n">
        <v>0.743</v>
      </c>
      <c r="M2952" t="n">
        <v>0.08799999999999999</v>
      </c>
    </row>
    <row r="2953" spans="1:13">
      <c r="A2953" s="1">
        <f>HYPERLINK("http://www.twitter.com/NathanBLawrence/status/952674154691559426", "952674154691559426")</f>
        <v/>
      </c>
      <c r="B2953" s="2" t="n">
        <v>43114.9512962963</v>
      </c>
      <c r="C2953" t="n">
        <v>0</v>
      </c>
      <c r="D2953" t="n">
        <v>4</v>
      </c>
      <c r="E2953" t="s">
        <v>2943</v>
      </c>
      <c r="F2953" t="s"/>
      <c r="G2953" t="s"/>
      <c r="H2953" t="s"/>
      <c r="I2953" t="s"/>
      <c r="J2953" t="n">
        <v>-0.34</v>
      </c>
      <c r="K2953" t="n">
        <v>0.103</v>
      </c>
      <c r="L2953" t="n">
        <v>0.897</v>
      </c>
      <c r="M2953" t="n">
        <v>0</v>
      </c>
    </row>
    <row r="2954" spans="1:13">
      <c r="A2954" s="1">
        <f>HYPERLINK("http://www.twitter.com/NathanBLawrence/status/952673630021971969", "952673630021971969")</f>
        <v/>
      </c>
      <c r="B2954" s="2" t="n">
        <v>43114.94984953704</v>
      </c>
      <c r="C2954" t="n">
        <v>0</v>
      </c>
      <c r="D2954" t="n">
        <v>36</v>
      </c>
      <c r="E2954" t="s">
        <v>2944</v>
      </c>
      <c r="F2954" t="s"/>
      <c r="G2954" t="s"/>
      <c r="H2954" t="s"/>
      <c r="I2954" t="s"/>
      <c r="J2954" t="n">
        <v>0</v>
      </c>
      <c r="K2954" t="n">
        <v>0</v>
      </c>
      <c r="L2954" t="n">
        <v>1</v>
      </c>
      <c r="M2954" t="n">
        <v>0</v>
      </c>
    </row>
    <row r="2955" spans="1:13">
      <c r="A2955" s="1">
        <f>HYPERLINK("http://www.twitter.com/NathanBLawrence/status/952673384625819648", "952673384625819648")</f>
        <v/>
      </c>
      <c r="B2955" s="2" t="n">
        <v>43114.94917824074</v>
      </c>
      <c r="C2955" t="n">
        <v>0</v>
      </c>
      <c r="D2955" t="n">
        <v>25</v>
      </c>
      <c r="E2955" t="s">
        <v>2945</v>
      </c>
      <c r="F2955">
        <f>HYPERLINK("http://pbs.twimg.com/media/DThMHIUVQAAbD1e.jpg", "http://pbs.twimg.com/media/DThMHIUVQAAbD1e.jpg")</f>
        <v/>
      </c>
      <c r="G2955" t="s"/>
      <c r="H2955" t="s"/>
      <c r="I2955" t="s"/>
      <c r="J2955" t="n">
        <v>0.5106000000000001</v>
      </c>
      <c r="K2955" t="n">
        <v>0</v>
      </c>
      <c r="L2955" t="n">
        <v>0.845</v>
      </c>
      <c r="M2955" t="n">
        <v>0.155</v>
      </c>
    </row>
    <row r="2956" spans="1:13">
      <c r="A2956" s="1">
        <f>HYPERLINK("http://www.twitter.com/NathanBLawrence/status/952671420773011456", "952671420773011456")</f>
        <v/>
      </c>
      <c r="B2956" s="2" t="n">
        <v>43114.94376157408</v>
      </c>
      <c r="C2956" t="n">
        <v>23</v>
      </c>
      <c r="D2956" t="n">
        <v>38</v>
      </c>
      <c r="E2956" t="s">
        <v>2946</v>
      </c>
      <c r="F2956">
        <f>HYPERLINK("http://pbs.twimg.com/media/DTiRmWGVMAElH2O.jpg", "http://pbs.twimg.com/media/DTiRmWGVMAElH2O.jpg")</f>
        <v/>
      </c>
      <c r="G2956" t="s"/>
      <c r="H2956" t="s"/>
      <c r="I2956" t="s"/>
      <c r="J2956" t="n">
        <v>0</v>
      </c>
      <c r="K2956" t="n">
        <v>0</v>
      </c>
      <c r="L2956" t="n">
        <v>1</v>
      </c>
      <c r="M2956" t="n">
        <v>0</v>
      </c>
    </row>
    <row r="2957" spans="1:13">
      <c r="A2957" s="1">
        <f>HYPERLINK("http://www.twitter.com/NathanBLawrence/status/952668320397971457", "952668320397971457")</f>
        <v/>
      </c>
      <c r="B2957" s="2" t="n">
        <v>43114.93519675926</v>
      </c>
      <c r="C2957" t="n">
        <v>3</v>
      </c>
      <c r="D2957" t="n">
        <v>6</v>
      </c>
      <c r="E2957" t="s">
        <v>2947</v>
      </c>
      <c r="F2957">
        <f>HYPERLINK("http://pbs.twimg.com/media/DTiOxmdWkAUMU8b.jpg", "http://pbs.twimg.com/media/DTiOxmdWkAUMU8b.jpg")</f>
        <v/>
      </c>
      <c r="G2957" t="s"/>
      <c r="H2957" t="s"/>
      <c r="I2957" t="s"/>
      <c r="J2957" t="n">
        <v>0.3724</v>
      </c>
      <c r="K2957" t="n">
        <v>0</v>
      </c>
      <c r="L2957" t="n">
        <v>0.911</v>
      </c>
      <c r="M2957" t="n">
        <v>0.089</v>
      </c>
    </row>
    <row r="2958" spans="1:13">
      <c r="A2958" s="1">
        <f>HYPERLINK("http://www.twitter.com/NathanBLawrence/status/952609178698375173", "952609178698375173")</f>
        <v/>
      </c>
      <c r="B2958" s="2" t="n">
        <v>43114.77200231481</v>
      </c>
      <c r="C2958" t="n">
        <v>0</v>
      </c>
      <c r="D2958" t="n">
        <v>261</v>
      </c>
      <c r="E2958" t="s">
        <v>2948</v>
      </c>
      <c r="F2958" t="s"/>
      <c r="G2958" t="s"/>
      <c r="H2958" t="s"/>
      <c r="I2958" t="s"/>
      <c r="J2958" t="n">
        <v>0.3412</v>
      </c>
      <c r="K2958" t="n">
        <v>0</v>
      </c>
      <c r="L2958" t="n">
        <v>0.882</v>
      </c>
      <c r="M2958" t="n">
        <v>0.118</v>
      </c>
    </row>
    <row r="2959" spans="1:13">
      <c r="A2959" s="1">
        <f>HYPERLINK("http://www.twitter.com/NathanBLawrence/status/952595282793062400", "952595282793062400")</f>
        <v/>
      </c>
      <c r="B2959" s="2" t="n">
        <v>43114.73365740741</v>
      </c>
      <c r="C2959" t="n">
        <v>0</v>
      </c>
      <c r="D2959" t="n">
        <v>403</v>
      </c>
      <c r="E2959" t="s">
        <v>2949</v>
      </c>
      <c r="F2959" t="s"/>
      <c r="G2959" t="s"/>
      <c r="H2959" t="s"/>
      <c r="I2959" t="s"/>
      <c r="J2959" t="n">
        <v>0</v>
      </c>
      <c r="K2959" t="n">
        <v>0</v>
      </c>
      <c r="L2959" t="n">
        <v>1</v>
      </c>
      <c r="M2959" t="n">
        <v>0</v>
      </c>
    </row>
    <row r="2960" spans="1:13">
      <c r="A2960" s="1">
        <f>HYPERLINK("http://www.twitter.com/NathanBLawrence/status/952584516635385856", "952584516635385856")</f>
        <v/>
      </c>
      <c r="B2960" s="2" t="n">
        <v>43114.70394675926</v>
      </c>
      <c r="C2960" t="n">
        <v>1</v>
      </c>
      <c r="D2960" t="n">
        <v>0</v>
      </c>
      <c r="E2960" t="s">
        <v>2950</v>
      </c>
      <c r="F2960" t="s"/>
      <c r="G2960" t="s"/>
      <c r="H2960" t="s"/>
      <c r="I2960" t="s"/>
      <c r="J2960" t="n">
        <v>0.54</v>
      </c>
      <c r="K2960" t="n">
        <v>0</v>
      </c>
      <c r="L2960" t="n">
        <v>0.697</v>
      </c>
      <c r="M2960" t="n">
        <v>0.303</v>
      </c>
    </row>
    <row r="2961" spans="1:13">
      <c r="A2961" s="1">
        <f>HYPERLINK("http://www.twitter.com/NathanBLawrence/status/952579523282862082", "952579523282862082")</f>
        <v/>
      </c>
      <c r="B2961" s="2" t="n">
        <v>43114.69017361111</v>
      </c>
      <c r="C2961" t="n">
        <v>0</v>
      </c>
      <c r="D2961" t="n">
        <v>6581</v>
      </c>
      <c r="E2961" t="s">
        <v>2951</v>
      </c>
      <c r="F2961" t="s"/>
      <c r="G2961" t="s"/>
      <c r="H2961" t="s"/>
      <c r="I2961" t="s"/>
      <c r="J2961" t="n">
        <v>-0.2732</v>
      </c>
      <c r="K2961" t="n">
        <v>0.095</v>
      </c>
      <c r="L2961" t="n">
        <v>0.905</v>
      </c>
      <c r="M2961" t="n">
        <v>0</v>
      </c>
    </row>
    <row r="2962" spans="1:13">
      <c r="A2962" s="1">
        <f>HYPERLINK("http://www.twitter.com/NathanBLawrence/status/952524921929859072", "952524921929859072")</f>
        <v/>
      </c>
      <c r="B2962" s="2" t="n">
        <v>43114.53950231482</v>
      </c>
      <c r="C2962" t="n">
        <v>0</v>
      </c>
      <c r="D2962" t="n">
        <v>180</v>
      </c>
      <c r="E2962" t="s">
        <v>2952</v>
      </c>
      <c r="F2962" t="s"/>
      <c r="G2962" t="s"/>
      <c r="H2962" t="s"/>
      <c r="I2962" t="s"/>
      <c r="J2962" t="n">
        <v>-0.128</v>
      </c>
      <c r="K2962" t="n">
        <v>0.14</v>
      </c>
      <c r="L2962" t="n">
        <v>0.769</v>
      </c>
      <c r="M2962" t="n">
        <v>0.09</v>
      </c>
    </row>
    <row r="2963" spans="1:13">
      <c r="A2963" s="1">
        <f>HYPERLINK("http://www.twitter.com/NathanBLawrence/status/952523335044300801", "952523335044300801")</f>
        <v/>
      </c>
      <c r="B2963" s="2" t="n">
        <v>43114.53511574074</v>
      </c>
      <c r="C2963" t="n">
        <v>0</v>
      </c>
      <c r="D2963" t="n">
        <v>124</v>
      </c>
      <c r="E2963" t="s">
        <v>2953</v>
      </c>
      <c r="F2963">
        <f>HYPERLINK("http://pbs.twimg.com/media/DTKO7A7VAAIx-Zf.jpg", "http://pbs.twimg.com/media/DTKO7A7VAAIx-Zf.jpg")</f>
        <v/>
      </c>
      <c r="G2963" t="s"/>
      <c r="H2963" t="s"/>
      <c r="I2963" t="s"/>
      <c r="J2963" t="n">
        <v>0.6908</v>
      </c>
      <c r="K2963" t="n">
        <v>0.075</v>
      </c>
      <c r="L2963" t="n">
        <v>0.627</v>
      </c>
      <c r="M2963" t="n">
        <v>0.298</v>
      </c>
    </row>
    <row r="2964" spans="1:13">
      <c r="A2964" s="1">
        <f>HYPERLINK("http://www.twitter.com/NathanBLawrence/status/952522145439145984", "952522145439145984")</f>
        <v/>
      </c>
      <c r="B2964" s="2" t="n">
        <v>43114.53184027778</v>
      </c>
      <c r="C2964" t="n">
        <v>0</v>
      </c>
      <c r="D2964" t="n">
        <v>5145</v>
      </c>
      <c r="E2964" t="s">
        <v>2954</v>
      </c>
      <c r="F2964">
        <f>HYPERLINK("http://pbs.twimg.com/media/DTf0f15XkAAXr69.jpg", "http://pbs.twimg.com/media/DTf0f15XkAAXr69.jpg")</f>
        <v/>
      </c>
      <c r="G2964" t="s"/>
      <c r="H2964" t="s"/>
      <c r="I2964" t="s"/>
      <c r="J2964" t="n">
        <v>0</v>
      </c>
      <c r="K2964" t="n">
        <v>0</v>
      </c>
      <c r="L2964" t="n">
        <v>1</v>
      </c>
      <c r="M2964" t="n">
        <v>0</v>
      </c>
    </row>
    <row r="2965" spans="1:13">
      <c r="A2965" s="1">
        <f>HYPERLINK("http://www.twitter.com/NathanBLawrence/status/952520472771682305", "952520472771682305")</f>
        <v/>
      </c>
      <c r="B2965" s="2" t="n">
        <v>43114.52722222222</v>
      </c>
      <c r="C2965" t="n">
        <v>2</v>
      </c>
      <c r="D2965" t="n">
        <v>0</v>
      </c>
      <c r="E2965" t="s">
        <v>2955</v>
      </c>
      <c r="F2965" t="s"/>
      <c r="G2965" t="s"/>
      <c r="H2965" t="s"/>
      <c r="I2965" t="s"/>
      <c r="J2965" t="n">
        <v>0.3578</v>
      </c>
      <c r="K2965" t="n">
        <v>0.166</v>
      </c>
      <c r="L2965" t="n">
        <v>0.535</v>
      </c>
      <c r="M2965" t="n">
        <v>0.299</v>
      </c>
    </row>
    <row r="2966" spans="1:13">
      <c r="A2966" s="1">
        <f>HYPERLINK("http://www.twitter.com/NathanBLawrence/status/952518588782600192", "952518588782600192")</f>
        <v/>
      </c>
      <c r="B2966" s="2" t="n">
        <v>43114.52202546296</v>
      </c>
      <c r="C2966" t="n">
        <v>51</v>
      </c>
      <c r="D2966" t="n">
        <v>44</v>
      </c>
      <c r="E2966" t="s">
        <v>2956</v>
      </c>
      <c r="F2966" t="s"/>
      <c r="G2966" t="s"/>
      <c r="H2966" t="s"/>
      <c r="I2966" t="s"/>
      <c r="J2966" t="n">
        <v>-0.7102000000000001</v>
      </c>
      <c r="K2966" t="n">
        <v>0.208</v>
      </c>
      <c r="L2966" t="n">
        <v>0.694</v>
      </c>
      <c r="M2966" t="n">
        <v>0.098</v>
      </c>
    </row>
    <row r="2967" spans="1:13">
      <c r="A2967" s="1">
        <f>HYPERLINK("http://www.twitter.com/NathanBLawrence/status/952483250697535488", "952483250697535488")</f>
        <v/>
      </c>
      <c r="B2967" s="2" t="n">
        <v>43114.42450231482</v>
      </c>
      <c r="C2967" t="n">
        <v>0</v>
      </c>
      <c r="D2967" t="n">
        <v>32</v>
      </c>
      <c r="E2967" t="s">
        <v>2957</v>
      </c>
      <c r="F2967">
        <f>HYPERLINK("http://pbs.twimg.com/media/DTffMhdU0AA7j_Z.jpg", "http://pbs.twimg.com/media/DTffMhdU0AA7j_Z.jpg")</f>
        <v/>
      </c>
      <c r="G2967" t="s"/>
      <c r="H2967" t="s"/>
      <c r="I2967" t="s"/>
      <c r="J2967" t="n">
        <v>0.7865</v>
      </c>
      <c r="K2967" t="n">
        <v>0</v>
      </c>
      <c r="L2967" t="n">
        <v>0.634</v>
      </c>
      <c r="M2967" t="n">
        <v>0.366</v>
      </c>
    </row>
    <row r="2968" spans="1:13">
      <c r="A2968" s="1">
        <f>HYPERLINK("http://www.twitter.com/NathanBLawrence/status/952452734665547776", "952452734665547776")</f>
        <v/>
      </c>
      <c r="B2968" s="2" t="n">
        <v>43114.34030092593</v>
      </c>
      <c r="C2968" t="n">
        <v>0</v>
      </c>
      <c r="D2968" t="n">
        <v>469</v>
      </c>
      <c r="E2968" t="s">
        <v>2958</v>
      </c>
      <c r="F2968" t="s"/>
      <c r="G2968" t="s"/>
      <c r="H2968" t="s"/>
      <c r="I2968" t="s"/>
      <c r="J2968" t="n">
        <v>-0.5423</v>
      </c>
      <c r="K2968" t="n">
        <v>0.212</v>
      </c>
      <c r="L2968" t="n">
        <v>0.788</v>
      </c>
      <c r="M2968" t="n">
        <v>0</v>
      </c>
    </row>
    <row r="2969" spans="1:13">
      <c r="A2969" s="1">
        <f>HYPERLINK("http://www.twitter.com/NathanBLawrence/status/952437247546220544", "952437247546220544")</f>
        <v/>
      </c>
      <c r="B2969" s="2" t="n">
        <v>43114.29755787037</v>
      </c>
      <c r="C2969" t="n">
        <v>0</v>
      </c>
      <c r="D2969" t="n">
        <v>406</v>
      </c>
      <c r="E2969" t="s">
        <v>2959</v>
      </c>
      <c r="F2969" t="s"/>
      <c r="G2969" t="s"/>
      <c r="H2969" t="s"/>
      <c r="I2969" t="s"/>
      <c r="J2969" t="n">
        <v>0</v>
      </c>
      <c r="K2969" t="n">
        <v>0</v>
      </c>
      <c r="L2969" t="n">
        <v>1</v>
      </c>
      <c r="M2969" t="n">
        <v>0</v>
      </c>
    </row>
    <row r="2970" spans="1:13">
      <c r="A2970" s="1">
        <f>HYPERLINK("http://www.twitter.com/NathanBLawrence/status/952427906353041409", "952427906353041409")</f>
        <v/>
      </c>
      <c r="B2970" s="2" t="n">
        <v>43114.27178240741</v>
      </c>
      <c r="C2970" t="n">
        <v>0</v>
      </c>
      <c r="D2970" t="n">
        <v>1150</v>
      </c>
      <c r="E2970" t="s">
        <v>2960</v>
      </c>
      <c r="F2970">
        <f>HYPERLINK("http://pbs.twimg.com/media/DTdspHiVMAA5o40.jpg", "http://pbs.twimg.com/media/DTdspHiVMAA5o40.jpg")</f>
        <v/>
      </c>
      <c r="G2970" t="s"/>
      <c r="H2970" t="s"/>
      <c r="I2970" t="s"/>
      <c r="J2970" t="n">
        <v>-0.6808</v>
      </c>
      <c r="K2970" t="n">
        <v>0.277</v>
      </c>
      <c r="L2970" t="n">
        <v>0.647</v>
      </c>
      <c r="M2970" t="n">
        <v>0.076</v>
      </c>
    </row>
    <row r="2971" spans="1:13">
      <c r="A2971" s="1">
        <f>HYPERLINK("http://www.twitter.com/NathanBLawrence/status/952427471072301056", "952427471072301056")</f>
        <v/>
      </c>
      <c r="B2971" s="2" t="n">
        <v>43114.27059027777</v>
      </c>
      <c r="C2971" t="n">
        <v>1</v>
      </c>
      <c r="D2971" t="n">
        <v>0</v>
      </c>
      <c r="E2971" t="s">
        <v>2961</v>
      </c>
      <c r="F2971" t="s"/>
      <c r="G2971" t="s"/>
      <c r="H2971" t="s"/>
      <c r="I2971" t="s"/>
      <c r="J2971" t="n">
        <v>0</v>
      </c>
      <c r="K2971" t="n">
        <v>0</v>
      </c>
      <c r="L2971" t="n">
        <v>1</v>
      </c>
      <c r="M2971" t="n">
        <v>0</v>
      </c>
    </row>
    <row r="2972" spans="1:13">
      <c r="A2972" s="1">
        <f>HYPERLINK("http://www.twitter.com/NathanBLawrence/status/952426378774933509", "952426378774933509")</f>
        <v/>
      </c>
      <c r="B2972" s="2" t="n">
        <v>43114.26756944445</v>
      </c>
      <c r="C2972" t="n">
        <v>2</v>
      </c>
      <c r="D2972" t="n">
        <v>0</v>
      </c>
      <c r="E2972" t="s">
        <v>2962</v>
      </c>
      <c r="F2972" t="s"/>
      <c r="G2972" t="s"/>
      <c r="H2972" t="s"/>
      <c r="I2972" t="s"/>
      <c r="J2972" t="n">
        <v>0</v>
      </c>
      <c r="K2972" t="n">
        <v>0</v>
      </c>
      <c r="L2972" t="n">
        <v>1</v>
      </c>
      <c r="M2972" t="n">
        <v>0</v>
      </c>
    </row>
    <row r="2973" spans="1:13">
      <c r="A2973" s="1">
        <f>HYPERLINK("http://www.twitter.com/NathanBLawrence/status/952426189112729600", "952426189112729600")</f>
        <v/>
      </c>
      <c r="B2973" s="2" t="n">
        <v>43114.26704861111</v>
      </c>
      <c r="C2973" t="n">
        <v>26</v>
      </c>
      <c r="D2973" t="n">
        <v>5</v>
      </c>
      <c r="E2973" t="s">
        <v>2963</v>
      </c>
      <c r="F2973" t="s"/>
      <c r="G2973" t="s"/>
      <c r="H2973" t="s"/>
      <c r="I2973" t="s"/>
      <c r="J2973" t="n">
        <v>0</v>
      </c>
      <c r="K2973" t="n">
        <v>0</v>
      </c>
      <c r="L2973" t="n">
        <v>1</v>
      </c>
      <c r="M2973" t="n">
        <v>0</v>
      </c>
    </row>
    <row r="2974" spans="1:13">
      <c r="A2974" s="1">
        <f>HYPERLINK("http://www.twitter.com/NathanBLawrence/status/952425892420243456", "952425892420243456")</f>
        <v/>
      </c>
      <c r="B2974" s="2" t="n">
        <v>43114.26622685185</v>
      </c>
      <c r="C2974" t="n">
        <v>3</v>
      </c>
      <c r="D2974" t="n">
        <v>0</v>
      </c>
      <c r="E2974" t="s">
        <v>2964</v>
      </c>
      <c r="F2974" t="s"/>
      <c r="G2974" t="s"/>
      <c r="H2974" t="s"/>
      <c r="I2974" t="s"/>
      <c r="J2974" t="n">
        <v>0</v>
      </c>
      <c r="K2974" t="n">
        <v>0</v>
      </c>
      <c r="L2974" t="n">
        <v>1</v>
      </c>
      <c r="M2974" t="n">
        <v>0</v>
      </c>
    </row>
    <row r="2975" spans="1:13">
      <c r="A2975" s="1">
        <f>HYPERLINK("http://www.twitter.com/NathanBLawrence/status/952424910508515328", "952424910508515328")</f>
        <v/>
      </c>
      <c r="B2975" s="2" t="n">
        <v>43114.26351851852</v>
      </c>
      <c r="C2975" t="n">
        <v>0</v>
      </c>
      <c r="D2975" t="n">
        <v>194</v>
      </c>
      <c r="E2975" t="s">
        <v>2965</v>
      </c>
      <c r="F2975" t="s"/>
      <c r="G2975" t="s"/>
      <c r="H2975" t="s"/>
      <c r="I2975" t="s"/>
      <c r="J2975" t="n">
        <v>-0.2732</v>
      </c>
      <c r="K2975" t="n">
        <v>0.091</v>
      </c>
      <c r="L2975" t="n">
        <v>0.909</v>
      </c>
      <c r="M2975" t="n">
        <v>0</v>
      </c>
    </row>
    <row r="2976" spans="1:13">
      <c r="A2976" s="1">
        <f>HYPERLINK("http://www.twitter.com/NathanBLawrence/status/952424295564763136", "952424295564763136")</f>
        <v/>
      </c>
      <c r="B2976" s="2" t="n">
        <v>43114.26181712963</v>
      </c>
      <c r="C2976" t="n">
        <v>0</v>
      </c>
      <c r="D2976" t="n">
        <v>334</v>
      </c>
      <c r="E2976" t="s">
        <v>2966</v>
      </c>
      <c r="F2976" t="s"/>
      <c r="G2976" t="s"/>
      <c r="H2976" t="s"/>
      <c r="I2976" t="s"/>
      <c r="J2976" t="n">
        <v>-0.5266999999999999</v>
      </c>
      <c r="K2976" t="n">
        <v>0.134</v>
      </c>
      <c r="L2976" t="n">
        <v>0.866</v>
      </c>
      <c r="M2976" t="n">
        <v>0</v>
      </c>
    </row>
    <row r="2977" spans="1:13">
      <c r="A2977" s="1">
        <f>HYPERLINK("http://www.twitter.com/NathanBLawrence/status/952390477592096768", "952390477592096768")</f>
        <v/>
      </c>
      <c r="B2977" s="2" t="n">
        <v>43114.16850694444</v>
      </c>
      <c r="C2977" t="n">
        <v>1</v>
      </c>
      <c r="D2977" t="n">
        <v>1</v>
      </c>
      <c r="E2977" t="s">
        <v>2967</v>
      </c>
      <c r="F2977" t="s"/>
      <c r="G2977" t="s"/>
      <c r="H2977" t="s"/>
      <c r="I2977" t="s"/>
      <c r="J2977" t="n">
        <v>0.2809</v>
      </c>
      <c r="K2977" t="n">
        <v>0.081</v>
      </c>
      <c r="L2977" t="n">
        <v>0.8179999999999999</v>
      </c>
      <c r="M2977" t="n">
        <v>0.101</v>
      </c>
    </row>
    <row r="2978" spans="1:13">
      <c r="A2978" s="1">
        <f>HYPERLINK("http://www.twitter.com/NathanBLawrence/status/952369483397681153", "952369483397681153")</f>
        <v/>
      </c>
      <c r="B2978" s="2" t="n">
        <v>43114.11056712963</v>
      </c>
      <c r="C2978" t="n">
        <v>0</v>
      </c>
      <c r="D2978" t="n">
        <v>0</v>
      </c>
      <c r="E2978" t="s">
        <v>2968</v>
      </c>
      <c r="F2978" t="s"/>
      <c r="G2978" t="s"/>
      <c r="H2978" t="s"/>
      <c r="I2978" t="s"/>
      <c r="J2978" t="n">
        <v>0.9014</v>
      </c>
      <c r="K2978" t="n">
        <v>0.108</v>
      </c>
      <c r="L2978" t="n">
        <v>0.621</v>
      </c>
      <c r="M2978" t="n">
        <v>0.271</v>
      </c>
    </row>
    <row r="2979" spans="1:13">
      <c r="A2979" s="1">
        <f>HYPERLINK("http://www.twitter.com/NathanBLawrence/status/952264918220361728", "952264918220361728")</f>
        <v/>
      </c>
      <c r="B2979" s="2" t="n">
        <v>43113.82202546296</v>
      </c>
      <c r="C2979" t="n">
        <v>0</v>
      </c>
      <c r="D2979" t="n">
        <v>26</v>
      </c>
      <c r="E2979" t="s">
        <v>2969</v>
      </c>
      <c r="F2979">
        <f>HYPERLINK("http://pbs.twimg.com/media/DTcdxlbW4AEGzJ2.jpg", "http://pbs.twimg.com/media/DTcdxlbW4AEGzJ2.jpg")</f>
        <v/>
      </c>
      <c r="G2979" t="s"/>
      <c r="H2979" t="s"/>
      <c r="I2979" t="s"/>
      <c r="J2979" t="n">
        <v>0.7111</v>
      </c>
      <c r="K2979" t="n">
        <v>0</v>
      </c>
      <c r="L2979" t="n">
        <v>0.603</v>
      </c>
      <c r="M2979" t="n">
        <v>0.397</v>
      </c>
    </row>
    <row r="2980" spans="1:13">
      <c r="A2980" s="1">
        <f>HYPERLINK("http://www.twitter.com/NathanBLawrence/status/952245200520466432", "952245200520466432")</f>
        <v/>
      </c>
      <c r="B2980" s="2" t="n">
        <v>43113.76761574074</v>
      </c>
      <c r="C2980" t="n">
        <v>29</v>
      </c>
      <c r="D2980" t="n">
        <v>31</v>
      </c>
      <c r="E2980" t="s">
        <v>2970</v>
      </c>
      <c r="F2980" t="s"/>
      <c r="G2980" t="s"/>
      <c r="H2980" t="s"/>
      <c r="I2980" t="s"/>
      <c r="J2980" t="n">
        <v>0</v>
      </c>
      <c r="K2980" t="n">
        <v>0</v>
      </c>
      <c r="L2980" t="n">
        <v>1</v>
      </c>
      <c r="M2980" t="n">
        <v>0</v>
      </c>
    </row>
    <row r="2981" spans="1:13">
      <c r="A2981" s="1">
        <f>HYPERLINK("http://www.twitter.com/NathanBLawrence/status/952232509252784128", "952232509252784128")</f>
        <v/>
      </c>
      <c r="B2981" s="2" t="n">
        <v>43113.73259259259</v>
      </c>
      <c r="C2981" t="n">
        <v>1</v>
      </c>
      <c r="D2981" t="n">
        <v>0</v>
      </c>
      <c r="E2981" t="s">
        <v>2971</v>
      </c>
      <c r="F2981" t="s"/>
      <c r="G2981" t="s"/>
      <c r="H2981" t="s"/>
      <c r="I2981" t="s"/>
      <c r="J2981" t="n">
        <v>0.1177</v>
      </c>
      <c r="K2981" t="n">
        <v>0.255</v>
      </c>
      <c r="L2981" t="n">
        <v>0.449</v>
      </c>
      <c r="M2981" t="n">
        <v>0.296</v>
      </c>
    </row>
    <row r="2982" spans="1:13">
      <c r="A2982" s="1">
        <f>HYPERLINK("http://www.twitter.com/NathanBLawrence/status/952229245908111360", "952229245908111360")</f>
        <v/>
      </c>
      <c r="B2982" s="2" t="n">
        <v>43113.72358796297</v>
      </c>
      <c r="C2982" t="n">
        <v>1</v>
      </c>
      <c r="D2982" t="n">
        <v>1</v>
      </c>
      <c r="E2982" t="s">
        <v>2972</v>
      </c>
      <c r="F2982" t="s"/>
      <c r="G2982" t="s"/>
      <c r="H2982" t="s"/>
      <c r="I2982" t="s"/>
      <c r="J2982" t="n">
        <v>0</v>
      </c>
      <c r="K2982" t="n">
        <v>0</v>
      </c>
      <c r="L2982" t="n">
        <v>1</v>
      </c>
      <c r="M2982" t="n">
        <v>0</v>
      </c>
    </row>
    <row r="2983" spans="1:13">
      <c r="A2983" s="1">
        <f>HYPERLINK("http://www.twitter.com/NathanBLawrence/status/952228483782119434", "952228483782119434")</f>
        <v/>
      </c>
      <c r="B2983" s="2" t="n">
        <v>43113.72148148148</v>
      </c>
      <c r="C2983" t="n">
        <v>0</v>
      </c>
      <c r="D2983" t="n">
        <v>15750</v>
      </c>
      <c r="E2983" t="s">
        <v>2973</v>
      </c>
      <c r="F2983">
        <f>HYPERLINK("https://video.twimg.com/ext_tw_video/952063229793943552/pu/vid/1280x720/UuE_Ny7-SQNBtH2t.mp4", "https://video.twimg.com/ext_tw_video/952063229793943552/pu/vid/1280x720/UuE_Ny7-SQNBtH2t.mp4")</f>
        <v/>
      </c>
      <c r="G2983" t="s"/>
      <c r="H2983" t="s"/>
      <c r="I2983" t="s"/>
      <c r="J2983" t="n">
        <v>-0.4588</v>
      </c>
      <c r="K2983" t="n">
        <v>0.143</v>
      </c>
      <c r="L2983" t="n">
        <v>0.857</v>
      </c>
      <c r="M2983" t="n">
        <v>0</v>
      </c>
    </row>
    <row r="2984" spans="1:13">
      <c r="A2984" s="1">
        <f>HYPERLINK("http://www.twitter.com/NathanBLawrence/status/952228147189207041", "952228147189207041")</f>
        <v/>
      </c>
      <c r="B2984" s="2" t="n">
        <v>43113.72055555556</v>
      </c>
      <c r="C2984" t="n">
        <v>0</v>
      </c>
      <c r="D2984" t="n">
        <v>244</v>
      </c>
      <c r="E2984" t="s">
        <v>2974</v>
      </c>
      <c r="F2984" t="s"/>
      <c r="G2984" t="s"/>
      <c r="H2984" t="s"/>
      <c r="I2984" t="s"/>
      <c r="J2984" t="n">
        <v>-0.204</v>
      </c>
      <c r="K2984" t="n">
        <v>0.073</v>
      </c>
      <c r="L2984" t="n">
        <v>0.927</v>
      </c>
      <c r="M2984" t="n">
        <v>0</v>
      </c>
    </row>
    <row r="2985" spans="1:13">
      <c r="A2985" s="1">
        <f>HYPERLINK("http://www.twitter.com/NathanBLawrence/status/952226559561228289", "952226559561228289")</f>
        <v/>
      </c>
      <c r="B2985" s="2" t="n">
        <v>43113.71616898148</v>
      </c>
      <c r="C2985" t="n">
        <v>0</v>
      </c>
      <c r="D2985" t="n">
        <v>0</v>
      </c>
      <c r="E2985" t="s">
        <v>2975</v>
      </c>
      <c r="F2985" t="s"/>
      <c r="G2985" t="s"/>
      <c r="H2985" t="s"/>
      <c r="I2985" t="s"/>
      <c r="J2985" t="n">
        <v>0</v>
      </c>
      <c r="K2985" t="n">
        <v>0</v>
      </c>
      <c r="L2985" t="n">
        <v>1</v>
      </c>
      <c r="M2985" t="n">
        <v>0</v>
      </c>
    </row>
    <row r="2986" spans="1:13">
      <c r="A2986" s="1">
        <f>HYPERLINK("http://www.twitter.com/NathanBLawrence/status/952225917283307522", "952225917283307522")</f>
        <v/>
      </c>
      <c r="B2986" s="2" t="n">
        <v>43113.71439814815</v>
      </c>
      <c r="C2986" t="n">
        <v>37</v>
      </c>
      <c r="D2986" t="n">
        <v>32</v>
      </c>
      <c r="E2986" t="s">
        <v>2976</v>
      </c>
      <c r="F2986" t="s"/>
      <c r="G2986" t="s"/>
      <c r="H2986" t="s"/>
      <c r="I2986" t="s"/>
      <c r="J2986" t="n">
        <v>-0.6155</v>
      </c>
      <c r="K2986" t="n">
        <v>0.13</v>
      </c>
      <c r="L2986" t="n">
        <v>0.87</v>
      </c>
      <c r="M2986" t="n">
        <v>0</v>
      </c>
    </row>
    <row r="2987" spans="1:13">
      <c r="A2987" s="1">
        <f>HYPERLINK("http://www.twitter.com/NathanBLawrence/status/952215997523660800", "952215997523660800")</f>
        <v/>
      </c>
      <c r="B2987" s="2" t="n">
        <v>43113.68702546296</v>
      </c>
      <c r="C2987" t="n">
        <v>0</v>
      </c>
      <c r="D2987" t="n">
        <v>819</v>
      </c>
      <c r="E2987" t="s">
        <v>2977</v>
      </c>
      <c r="F2987" t="s"/>
      <c r="G2987" t="s"/>
      <c r="H2987" t="s"/>
      <c r="I2987" t="s"/>
      <c r="J2987" t="n">
        <v>-0.0572</v>
      </c>
      <c r="K2987" t="n">
        <v>0.048</v>
      </c>
      <c r="L2987" t="n">
        <v>0.952</v>
      </c>
      <c r="M2987" t="n">
        <v>0</v>
      </c>
    </row>
    <row r="2988" spans="1:13">
      <c r="A2988" s="1">
        <f>HYPERLINK("http://www.twitter.com/NathanBLawrence/status/952210318608011266", "952210318608011266")</f>
        <v/>
      </c>
      <c r="B2988" s="2" t="n">
        <v>43113.67135416667</v>
      </c>
      <c r="C2988" t="n">
        <v>0</v>
      </c>
      <c r="D2988" t="n">
        <v>3325</v>
      </c>
      <c r="E2988" t="s">
        <v>2978</v>
      </c>
      <c r="F2988">
        <f>HYPERLINK("https://video.twimg.com/ext_tw_video/951797828619137026/pu/vid/720x720/NaNtjLFWkqEDjnBn.mp4", "https://video.twimg.com/ext_tw_video/951797828619137026/pu/vid/720x720/NaNtjLFWkqEDjnBn.mp4")</f>
        <v/>
      </c>
      <c r="G2988" t="s"/>
      <c r="H2988" t="s"/>
      <c r="I2988" t="s"/>
      <c r="J2988" t="n">
        <v>-0.8074</v>
      </c>
      <c r="K2988" t="n">
        <v>0.293</v>
      </c>
      <c r="L2988" t="n">
        <v>0.707</v>
      </c>
      <c r="M2988" t="n">
        <v>0</v>
      </c>
    </row>
    <row r="2989" spans="1:13">
      <c r="A2989" s="1">
        <f>HYPERLINK("http://www.twitter.com/NathanBLawrence/status/952206945020186624", "952206945020186624")</f>
        <v/>
      </c>
      <c r="B2989" s="2" t="n">
        <v>43113.66204861111</v>
      </c>
      <c r="C2989" t="n">
        <v>0</v>
      </c>
      <c r="D2989" t="n">
        <v>120</v>
      </c>
      <c r="E2989" t="s">
        <v>2979</v>
      </c>
      <c r="F2989" t="s"/>
      <c r="G2989" t="s"/>
      <c r="H2989" t="s"/>
      <c r="I2989" t="s"/>
      <c r="J2989" t="n">
        <v>0</v>
      </c>
      <c r="K2989" t="n">
        <v>0</v>
      </c>
      <c r="L2989" t="n">
        <v>1</v>
      </c>
      <c r="M2989" t="n">
        <v>0</v>
      </c>
    </row>
    <row r="2990" spans="1:13">
      <c r="A2990" s="1">
        <f>HYPERLINK("http://www.twitter.com/NathanBLawrence/status/952206931468398592", "952206931468398592")</f>
        <v/>
      </c>
      <c r="B2990" s="2" t="n">
        <v>43113.66201388889</v>
      </c>
      <c r="C2990" t="n">
        <v>0</v>
      </c>
      <c r="D2990" t="n">
        <v>4</v>
      </c>
      <c r="E2990" t="s">
        <v>2980</v>
      </c>
      <c r="F2990" t="s"/>
      <c r="G2990" t="s"/>
      <c r="H2990" t="s"/>
      <c r="I2990" t="s"/>
      <c r="J2990" t="n">
        <v>0</v>
      </c>
      <c r="K2990" t="n">
        <v>0</v>
      </c>
      <c r="L2990" t="n">
        <v>1</v>
      </c>
      <c r="M2990" t="n">
        <v>0</v>
      </c>
    </row>
    <row r="2991" spans="1:13">
      <c r="A2991" s="1">
        <f>HYPERLINK("http://www.twitter.com/NathanBLawrence/status/952206738148724736", "952206738148724736")</f>
        <v/>
      </c>
      <c r="B2991" s="2" t="n">
        <v>43113.66148148148</v>
      </c>
      <c r="C2991" t="n">
        <v>5</v>
      </c>
      <c r="D2991" t="n">
        <v>4</v>
      </c>
      <c r="E2991" t="s">
        <v>2981</v>
      </c>
      <c r="F2991" t="s"/>
      <c r="G2991" t="s"/>
      <c r="H2991" t="s"/>
      <c r="I2991" t="s"/>
      <c r="J2991" t="n">
        <v>0</v>
      </c>
      <c r="K2991" t="n">
        <v>0</v>
      </c>
      <c r="L2991" t="n">
        <v>1</v>
      </c>
      <c r="M2991" t="n">
        <v>0</v>
      </c>
    </row>
    <row r="2992" spans="1:13">
      <c r="A2992" s="1">
        <f>HYPERLINK("http://www.twitter.com/NathanBLawrence/status/952203577925259264", "952203577925259264")</f>
        <v/>
      </c>
      <c r="B2992" s="2" t="n">
        <v>43113.65275462963</v>
      </c>
      <c r="C2992" t="n">
        <v>0</v>
      </c>
      <c r="D2992" t="n">
        <v>9</v>
      </c>
      <c r="E2992" t="s">
        <v>2982</v>
      </c>
      <c r="F2992" t="s"/>
      <c r="G2992" t="s"/>
      <c r="H2992" t="s"/>
      <c r="I2992" t="s"/>
      <c r="J2992" t="n">
        <v>0</v>
      </c>
      <c r="K2992" t="n">
        <v>0</v>
      </c>
      <c r="L2992" t="n">
        <v>1</v>
      </c>
      <c r="M2992" t="n">
        <v>0</v>
      </c>
    </row>
    <row r="2993" spans="1:13">
      <c r="A2993" s="1">
        <f>HYPERLINK("http://www.twitter.com/NathanBLawrence/status/952203475919822848", "952203475919822848")</f>
        <v/>
      </c>
      <c r="B2993" s="2" t="n">
        <v>43113.65247685185</v>
      </c>
      <c r="C2993" t="n">
        <v>0</v>
      </c>
      <c r="D2993" t="n">
        <v>117</v>
      </c>
      <c r="E2993" t="s">
        <v>2983</v>
      </c>
      <c r="F2993">
        <f>HYPERLINK("http://pbs.twimg.com/media/DTYdv2oVMAAICri.jpg", "http://pbs.twimg.com/media/DTYdv2oVMAAICri.jpg")</f>
        <v/>
      </c>
      <c r="G2993" t="s"/>
      <c r="H2993" t="s"/>
      <c r="I2993" t="s"/>
      <c r="J2993" t="n">
        <v>0</v>
      </c>
      <c r="K2993" t="n">
        <v>0</v>
      </c>
      <c r="L2993" t="n">
        <v>1</v>
      </c>
      <c r="M2993" t="n">
        <v>0</v>
      </c>
    </row>
    <row r="2994" spans="1:13">
      <c r="A2994" s="1">
        <f>HYPERLINK("http://www.twitter.com/NathanBLawrence/status/952201600470274048", "952201600470274048")</f>
        <v/>
      </c>
      <c r="B2994" s="2" t="n">
        <v>43113.64730324074</v>
      </c>
      <c r="C2994" t="n">
        <v>0</v>
      </c>
      <c r="D2994" t="n">
        <v>413</v>
      </c>
      <c r="E2994" t="s">
        <v>2984</v>
      </c>
      <c r="F2994">
        <f>HYPERLINK("http://pbs.twimg.com/media/DTZdH-0WAAAIAn2.jpg", "http://pbs.twimg.com/media/DTZdH-0WAAAIAn2.jpg")</f>
        <v/>
      </c>
      <c r="G2994" t="s"/>
      <c r="H2994" t="s"/>
      <c r="I2994" t="s"/>
      <c r="J2994" t="n">
        <v>0.5106000000000001</v>
      </c>
      <c r="K2994" t="n">
        <v>0</v>
      </c>
      <c r="L2994" t="n">
        <v>0.769</v>
      </c>
      <c r="M2994" t="n">
        <v>0.231</v>
      </c>
    </row>
    <row r="2995" spans="1:13">
      <c r="A2995" s="1">
        <f>HYPERLINK("http://www.twitter.com/NathanBLawrence/status/952200409933844480", "952200409933844480")</f>
        <v/>
      </c>
      <c r="B2995" s="2" t="n">
        <v>43113.6440162037</v>
      </c>
      <c r="C2995" t="n">
        <v>0</v>
      </c>
      <c r="D2995" t="n">
        <v>663</v>
      </c>
      <c r="E2995" t="s">
        <v>2985</v>
      </c>
      <c r="F2995">
        <f>HYPERLINK("http://pbs.twimg.com/media/DTUbSaKXcAAfwrx.jpg", "http://pbs.twimg.com/media/DTUbSaKXcAAfwrx.jpg")</f>
        <v/>
      </c>
      <c r="G2995">
        <f>HYPERLINK("http://pbs.twimg.com/media/DTUbiMKW4AAVGbf.jpg", "http://pbs.twimg.com/media/DTUbiMKW4AAVGbf.jpg")</f>
        <v/>
      </c>
      <c r="H2995">
        <f>HYPERLINK("http://pbs.twimg.com/media/DTUbokqXkAYnTnk.jpg", "http://pbs.twimg.com/media/DTUbokqXkAYnTnk.jpg")</f>
        <v/>
      </c>
      <c r="I2995">
        <f>HYPERLINK("http://pbs.twimg.com/media/DTUbusrX0AAi6Bq.jpg", "http://pbs.twimg.com/media/DTUbusrX0AAi6Bq.jpg")</f>
        <v/>
      </c>
      <c r="J2995" t="n">
        <v>0.4767</v>
      </c>
      <c r="K2995" t="n">
        <v>0</v>
      </c>
      <c r="L2995" t="n">
        <v>0.86</v>
      </c>
      <c r="M2995" t="n">
        <v>0.14</v>
      </c>
    </row>
    <row r="2996" spans="1:13">
      <c r="A2996" s="1">
        <f>HYPERLINK("http://www.twitter.com/NathanBLawrence/status/952200063903772672", "952200063903772672")</f>
        <v/>
      </c>
      <c r="B2996" s="2" t="n">
        <v>43113.64305555556</v>
      </c>
      <c r="C2996" t="n">
        <v>0</v>
      </c>
      <c r="D2996" t="n">
        <v>561</v>
      </c>
      <c r="E2996" t="s">
        <v>2986</v>
      </c>
      <c r="F2996">
        <f>HYPERLINK("http://pbs.twimg.com/media/DKmTMItXUAAbzEN.jpg", "http://pbs.twimg.com/media/DKmTMItXUAAbzEN.jpg")</f>
        <v/>
      </c>
      <c r="G2996" t="s"/>
      <c r="H2996" t="s"/>
      <c r="I2996" t="s"/>
      <c r="J2996" t="n">
        <v>0</v>
      </c>
      <c r="K2996" t="n">
        <v>0</v>
      </c>
      <c r="L2996" t="n">
        <v>1</v>
      </c>
      <c r="M2996" t="n">
        <v>0</v>
      </c>
    </row>
    <row r="2997" spans="1:13">
      <c r="A2997" s="1">
        <f>HYPERLINK("http://www.twitter.com/NathanBLawrence/status/952198861652623360", "952198861652623360")</f>
        <v/>
      </c>
      <c r="B2997" s="2" t="n">
        <v>43113.63974537037</v>
      </c>
      <c r="C2997" t="n">
        <v>0</v>
      </c>
      <c r="D2997" t="n">
        <v>1666</v>
      </c>
      <c r="E2997" t="s">
        <v>2987</v>
      </c>
      <c r="F2997">
        <f>HYPERLINK("https://video.twimg.com/ext_tw_video/951945200443842562/pu/vid/1280x720/NGR1OQge6C4HlxTi.mp4", "https://video.twimg.com/ext_tw_video/951945200443842562/pu/vid/1280x720/NGR1OQge6C4HlxTi.mp4")</f>
        <v/>
      </c>
      <c r="G2997" t="s"/>
      <c r="H2997" t="s"/>
      <c r="I2997" t="s"/>
      <c r="J2997" t="n">
        <v>0</v>
      </c>
      <c r="K2997" t="n">
        <v>0</v>
      </c>
      <c r="L2997" t="n">
        <v>1</v>
      </c>
      <c r="M2997" t="n">
        <v>0</v>
      </c>
    </row>
    <row r="2998" spans="1:13">
      <c r="A2998" s="1">
        <f>HYPERLINK("http://www.twitter.com/NathanBLawrence/status/952198815372767234", "952198815372767234")</f>
        <v/>
      </c>
      <c r="B2998" s="2" t="n">
        <v>43113.63961805555</v>
      </c>
      <c r="C2998" t="n">
        <v>0</v>
      </c>
      <c r="D2998" t="n">
        <v>5</v>
      </c>
      <c r="E2998" t="s">
        <v>2988</v>
      </c>
      <c r="F2998" t="s"/>
      <c r="G2998" t="s"/>
      <c r="H2998" t="s"/>
      <c r="I2998" t="s"/>
      <c r="J2998" t="n">
        <v>-0.636</v>
      </c>
      <c r="K2998" t="n">
        <v>0.16</v>
      </c>
      <c r="L2998" t="n">
        <v>0.84</v>
      </c>
      <c r="M2998" t="n">
        <v>0</v>
      </c>
    </row>
    <row r="2999" spans="1:13">
      <c r="A2999" s="1">
        <f>HYPERLINK("http://www.twitter.com/NathanBLawrence/status/952197396653576192", "952197396653576192")</f>
        <v/>
      </c>
      <c r="B2999" s="2" t="n">
        <v>43113.63569444444</v>
      </c>
      <c r="C2999" t="n">
        <v>0</v>
      </c>
      <c r="D2999" t="n">
        <v>1453</v>
      </c>
      <c r="E2999" t="s">
        <v>2989</v>
      </c>
      <c r="F2999">
        <f>HYPERLINK("http://pbs.twimg.com/media/DTZqL64X0AAmMul.jpg", "http://pbs.twimg.com/media/DTZqL64X0AAmMul.jpg")</f>
        <v/>
      </c>
      <c r="G2999" t="s"/>
      <c r="H2999" t="s"/>
      <c r="I2999" t="s"/>
      <c r="J2999" t="n">
        <v>0</v>
      </c>
      <c r="K2999" t="n">
        <v>0</v>
      </c>
      <c r="L2999" t="n">
        <v>1</v>
      </c>
      <c r="M2999" t="n">
        <v>0</v>
      </c>
    </row>
    <row r="3000" spans="1:13">
      <c r="A3000" s="1">
        <f>HYPERLINK("http://www.twitter.com/NathanBLawrence/status/952196641074941958", "952196641074941958")</f>
        <v/>
      </c>
      <c r="B3000" s="2" t="n">
        <v>43113.63361111111</v>
      </c>
      <c r="C3000" t="n">
        <v>0</v>
      </c>
      <c r="D3000" t="n">
        <v>99</v>
      </c>
      <c r="E3000" t="s">
        <v>2990</v>
      </c>
      <c r="F3000">
        <f>HYPERLINK("http://pbs.twimg.com/media/DTThYNxX0AARvKR.jpg", "http://pbs.twimg.com/media/DTThYNxX0AARvKR.jpg")</f>
        <v/>
      </c>
      <c r="G3000" t="s"/>
      <c r="H3000" t="s"/>
      <c r="I3000" t="s"/>
      <c r="J3000" t="n">
        <v>0.3612</v>
      </c>
      <c r="K3000" t="n">
        <v>0</v>
      </c>
      <c r="L3000" t="n">
        <v>0.889</v>
      </c>
      <c r="M3000" t="n">
        <v>0.111</v>
      </c>
    </row>
    <row r="3001" spans="1:13">
      <c r="A3001" s="1">
        <f>HYPERLINK("http://www.twitter.com/NathanBLawrence/status/952029360235655168", "952029360235655168")</f>
        <v/>
      </c>
      <c r="B3001" s="2" t="n">
        <v>43113.17200231482</v>
      </c>
      <c r="C3001" t="n">
        <v>0</v>
      </c>
      <c r="D3001" t="n">
        <v>130</v>
      </c>
      <c r="E3001" t="s">
        <v>2991</v>
      </c>
      <c r="F3001">
        <f>HYPERLINK("http://pbs.twimg.com/media/DRcyi1KVoAAb5D-.jpg", "http://pbs.twimg.com/media/DRcyi1KVoAAb5D-.jpg")</f>
        <v/>
      </c>
      <c r="G3001" t="s"/>
      <c r="H3001" t="s"/>
      <c r="I3001" t="s"/>
      <c r="J3001" t="n">
        <v>0.6369</v>
      </c>
      <c r="K3001" t="n">
        <v>0</v>
      </c>
      <c r="L3001" t="n">
        <v>0.741</v>
      </c>
      <c r="M3001" t="n">
        <v>0.259</v>
      </c>
    </row>
    <row r="3002" spans="1:13">
      <c r="A3002" s="1">
        <f>HYPERLINK("http://www.twitter.com/NathanBLawrence/status/951894986487992322", "951894986487992322")</f>
        <v/>
      </c>
      <c r="B3002" s="2" t="n">
        <v>43112.8012037037</v>
      </c>
      <c r="C3002" t="n">
        <v>0</v>
      </c>
      <c r="D3002" t="n">
        <v>8513</v>
      </c>
      <c r="E3002" t="s">
        <v>2992</v>
      </c>
      <c r="F3002" t="s"/>
      <c r="G3002" t="s"/>
      <c r="H3002" t="s"/>
      <c r="I3002" t="s"/>
      <c r="J3002" t="n">
        <v>0.1531</v>
      </c>
      <c r="K3002" t="n">
        <v>0.194</v>
      </c>
      <c r="L3002" t="n">
        <v>0.594</v>
      </c>
      <c r="M3002" t="n">
        <v>0.213</v>
      </c>
    </row>
    <row r="3003" spans="1:13">
      <c r="A3003" s="1">
        <f>HYPERLINK("http://www.twitter.com/NathanBLawrence/status/951894839976759296", "951894839976759296")</f>
        <v/>
      </c>
      <c r="B3003" s="2" t="n">
        <v>43112.80079861111</v>
      </c>
      <c r="C3003" t="n">
        <v>0</v>
      </c>
      <c r="D3003" t="n">
        <v>276</v>
      </c>
      <c r="E3003" t="s">
        <v>2993</v>
      </c>
      <c r="F3003">
        <f>HYPERLINK("http://pbs.twimg.com/media/DTXDV8xVMAA2SKu.jpg", "http://pbs.twimg.com/media/DTXDV8xVMAA2SKu.jpg")</f>
        <v/>
      </c>
      <c r="G3003">
        <f>HYPERLINK("http://pbs.twimg.com/media/DTXDcmrV4AA-Cp_.jpg", "http://pbs.twimg.com/media/DTXDcmrV4AA-Cp_.jpg")</f>
        <v/>
      </c>
      <c r="H3003" t="s"/>
      <c r="I3003" t="s"/>
      <c r="J3003" t="n">
        <v>0.6124000000000001</v>
      </c>
      <c r="K3003" t="n">
        <v>0</v>
      </c>
      <c r="L3003" t="n">
        <v>0.8080000000000001</v>
      </c>
      <c r="M3003" t="n">
        <v>0.192</v>
      </c>
    </row>
    <row r="3004" spans="1:13">
      <c r="A3004" s="1">
        <f>HYPERLINK("http://www.twitter.com/NathanBLawrence/status/951887703330689024", "951887703330689024")</f>
        <v/>
      </c>
      <c r="B3004" s="2" t="n">
        <v>43112.78111111111</v>
      </c>
      <c r="C3004" t="n">
        <v>30</v>
      </c>
      <c r="D3004" t="n">
        <v>32</v>
      </c>
      <c r="E3004" t="s">
        <v>2994</v>
      </c>
      <c r="F3004">
        <f>HYPERLINK("http://pbs.twimg.com/media/DTXIswNWAAE5G2I.jpg", "http://pbs.twimg.com/media/DTXIswNWAAE5G2I.jpg")</f>
        <v/>
      </c>
      <c r="G3004" t="s"/>
      <c r="H3004" t="s"/>
      <c r="I3004" t="s"/>
      <c r="J3004" t="n">
        <v>0</v>
      </c>
      <c r="K3004" t="n">
        <v>0</v>
      </c>
      <c r="L3004" t="n">
        <v>1</v>
      </c>
      <c r="M3004" t="n">
        <v>0</v>
      </c>
    </row>
    <row r="3005" spans="1:13">
      <c r="A3005" s="1">
        <f>HYPERLINK("http://www.twitter.com/NathanBLawrence/status/951885965538349056", "951885965538349056")</f>
        <v/>
      </c>
      <c r="B3005" s="2" t="n">
        <v>43112.77631944444</v>
      </c>
      <c r="C3005" t="n">
        <v>0</v>
      </c>
      <c r="D3005" t="n">
        <v>2907</v>
      </c>
      <c r="E3005" t="s">
        <v>2995</v>
      </c>
      <c r="F3005">
        <f>HYPERLINK("https://video.twimg.com/ext_tw_video/789486897617735681/pu/vid/640x360/Xemg1_apACFDkdF0.mp4", "https://video.twimg.com/ext_tw_video/789486897617735681/pu/vid/640x360/Xemg1_apACFDkdF0.mp4")</f>
        <v/>
      </c>
      <c r="G3005" t="s"/>
      <c r="H3005" t="s"/>
      <c r="I3005" t="s"/>
      <c r="J3005" t="n">
        <v>0</v>
      </c>
      <c r="K3005" t="n">
        <v>0</v>
      </c>
      <c r="L3005" t="n">
        <v>1</v>
      </c>
      <c r="M3005" t="n">
        <v>0</v>
      </c>
    </row>
    <row r="3006" spans="1:13">
      <c r="A3006" s="1">
        <f>HYPERLINK("http://www.twitter.com/NathanBLawrence/status/951883014400892928", "951883014400892928")</f>
        <v/>
      </c>
      <c r="B3006" s="2" t="n">
        <v>43112.76817129629</v>
      </c>
      <c r="C3006" t="n">
        <v>0</v>
      </c>
      <c r="D3006" t="n">
        <v>309</v>
      </c>
      <c r="E3006" t="s">
        <v>2996</v>
      </c>
      <c r="F3006" t="s"/>
      <c r="G3006" t="s"/>
      <c r="H3006" t="s"/>
      <c r="I3006" t="s"/>
      <c r="J3006" t="n">
        <v>0</v>
      </c>
      <c r="K3006" t="n">
        <v>0</v>
      </c>
      <c r="L3006" t="n">
        <v>1</v>
      </c>
      <c r="M3006" t="n">
        <v>0</v>
      </c>
    </row>
    <row r="3007" spans="1:13">
      <c r="A3007" s="1">
        <f>HYPERLINK("http://www.twitter.com/NathanBLawrence/status/951882493254348800", "951882493254348800")</f>
        <v/>
      </c>
      <c r="B3007" s="2" t="n">
        <v>43112.76673611111</v>
      </c>
      <c r="C3007" t="n">
        <v>2</v>
      </c>
      <c r="D3007" t="n">
        <v>1</v>
      </c>
      <c r="E3007" t="s">
        <v>2997</v>
      </c>
      <c r="F3007" t="s"/>
      <c r="G3007" t="s"/>
      <c r="H3007" t="s"/>
      <c r="I3007" t="s"/>
      <c r="J3007" t="n">
        <v>0.079</v>
      </c>
      <c r="K3007" t="n">
        <v>0.11</v>
      </c>
      <c r="L3007" t="n">
        <v>0.769</v>
      </c>
      <c r="M3007" t="n">
        <v>0.121</v>
      </c>
    </row>
    <row r="3008" spans="1:13">
      <c r="A3008" s="1">
        <f>HYPERLINK("http://www.twitter.com/NathanBLawrence/status/951878839252242432", "951878839252242432")</f>
        <v/>
      </c>
      <c r="B3008" s="2" t="n">
        <v>43112.75664351852</v>
      </c>
      <c r="C3008" t="n">
        <v>10</v>
      </c>
      <c r="D3008" t="n">
        <v>6</v>
      </c>
      <c r="E3008" t="s">
        <v>2998</v>
      </c>
      <c r="F3008" t="s"/>
      <c r="G3008" t="s"/>
      <c r="H3008" t="s"/>
      <c r="I3008" t="s"/>
      <c r="J3008" t="n">
        <v>-0.9508</v>
      </c>
      <c r="K3008" t="n">
        <v>0.314</v>
      </c>
      <c r="L3008" t="n">
        <v>0.644</v>
      </c>
      <c r="M3008" t="n">
        <v>0.042</v>
      </c>
    </row>
    <row r="3009" spans="1:13">
      <c r="A3009" s="1">
        <f>HYPERLINK("http://www.twitter.com/NathanBLawrence/status/951853550459674624", "951853550459674624")</f>
        <v/>
      </c>
      <c r="B3009" s="2" t="n">
        <v>43112.68686342592</v>
      </c>
      <c r="C3009" t="n">
        <v>0</v>
      </c>
      <c r="D3009" t="n">
        <v>238</v>
      </c>
      <c r="E3009" t="s">
        <v>2999</v>
      </c>
      <c r="F3009">
        <f>HYPERLINK("http://pbs.twimg.com/media/DTVaQ8QVoAAmAvw.jpg", "http://pbs.twimg.com/media/DTVaQ8QVoAAmAvw.jpg")</f>
        <v/>
      </c>
      <c r="G3009" t="s"/>
      <c r="H3009" t="s"/>
      <c r="I3009" t="s"/>
      <c r="J3009" t="n">
        <v>-0.9055</v>
      </c>
      <c r="K3009" t="n">
        <v>0.392</v>
      </c>
      <c r="L3009" t="n">
        <v>0.533</v>
      </c>
      <c r="M3009" t="n">
        <v>0.076</v>
      </c>
    </row>
    <row r="3010" spans="1:13">
      <c r="A3010" s="1">
        <f>HYPERLINK("http://www.twitter.com/NathanBLawrence/status/951853314026758146", "951853314026758146")</f>
        <v/>
      </c>
      <c r="B3010" s="2" t="n">
        <v>43112.68621527778</v>
      </c>
      <c r="C3010" t="n">
        <v>0</v>
      </c>
      <c r="D3010" t="n">
        <v>94</v>
      </c>
      <c r="E3010" t="s">
        <v>3000</v>
      </c>
      <c r="F3010">
        <f>HYPERLINK("http://pbs.twimg.com/media/DTVXtAgUQAAQY8H.jpg", "http://pbs.twimg.com/media/DTVXtAgUQAAQY8H.jpg")</f>
        <v/>
      </c>
      <c r="G3010" t="s"/>
      <c r="H3010" t="s"/>
      <c r="I3010" t="s"/>
      <c r="J3010" t="n">
        <v>0.5423</v>
      </c>
      <c r="K3010" t="n">
        <v>0</v>
      </c>
      <c r="L3010" t="n">
        <v>0.8</v>
      </c>
      <c r="M3010" t="n">
        <v>0.2</v>
      </c>
    </row>
    <row r="3011" spans="1:13">
      <c r="A3011" s="1">
        <f>HYPERLINK("http://www.twitter.com/NathanBLawrence/status/951852515296980992", "951852515296980992")</f>
        <v/>
      </c>
      <c r="B3011" s="2" t="n">
        <v>43112.68400462963</v>
      </c>
      <c r="C3011" t="n">
        <v>17</v>
      </c>
      <c r="D3011" t="n">
        <v>14</v>
      </c>
      <c r="E3011" t="s">
        <v>3001</v>
      </c>
      <c r="F3011" t="s"/>
      <c r="G3011" t="s"/>
      <c r="H3011" t="s"/>
      <c r="I3011" t="s"/>
      <c r="J3011" t="n">
        <v>0.8269</v>
      </c>
      <c r="K3011" t="n">
        <v>0.115</v>
      </c>
      <c r="L3011" t="n">
        <v>0.617</v>
      </c>
      <c r="M3011" t="n">
        <v>0.268</v>
      </c>
    </row>
    <row r="3012" spans="1:13">
      <c r="A3012" s="1">
        <f>HYPERLINK("http://www.twitter.com/NathanBLawrence/status/951848443064061953", "951848443064061953")</f>
        <v/>
      </c>
      <c r="B3012" s="2" t="n">
        <v>43112.6727662037</v>
      </c>
      <c r="C3012" t="n">
        <v>0</v>
      </c>
      <c r="D3012" t="n">
        <v>1684</v>
      </c>
      <c r="E3012" t="s">
        <v>3002</v>
      </c>
      <c r="F3012" t="s"/>
      <c r="G3012" t="s"/>
      <c r="H3012" t="s"/>
      <c r="I3012" t="s"/>
      <c r="J3012" t="n">
        <v>0</v>
      </c>
      <c r="K3012" t="n">
        <v>0</v>
      </c>
      <c r="L3012" t="n">
        <v>1</v>
      </c>
      <c r="M3012" t="n">
        <v>0</v>
      </c>
    </row>
    <row r="3013" spans="1:13">
      <c r="A3013" s="1">
        <f>HYPERLINK("http://www.twitter.com/NathanBLawrence/status/951838514118787076", "951838514118787076")</f>
        <v/>
      </c>
      <c r="B3013" s="2" t="n">
        <v>43112.64537037037</v>
      </c>
      <c r="C3013" t="n">
        <v>42</v>
      </c>
      <c r="D3013" t="n">
        <v>28</v>
      </c>
      <c r="E3013" t="s">
        <v>3003</v>
      </c>
      <c r="F3013" t="s"/>
      <c r="G3013" t="s"/>
      <c r="H3013" t="s"/>
      <c r="I3013" t="s"/>
      <c r="J3013" t="n">
        <v>-0.5319</v>
      </c>
      <c r="K3013" t="n">
        <v>0.091</v>
      </c>
      <c r="L3013" t="n">
        <v>0.863</v>
      </c>
      <c r="M3013" t="n">
        <v>0.046</v>
      </c>
    </row>
    <row r="3014" spans="1:13">
      <c r="A3014" s="1">
        <f>HYPERLINK("http://www.twitter.com/NathanBLawrence/status/951835905144258561", "951835905144258561")</f>
        <v/>
      </c>
      <c r="B3014" s="2" t="n">
        <v>43112.6381712963</v>
      </c>
      <c r="C3014" t="n">
        <v>0</v>
      </c>
      <c r="D3014" t="n">
        <v>20</v>
      </c>
      <c r="E3014" t="s">
        <v>3004</v>
      </c>
      <c r="F3014">
        <f>HYPERLINK("http://pbs.twimg.com/media/DTWZZ-uW0AA6W8y.jpg", "http://pbs.twimg.com/media/DTWZZ-uW0AA6W8y.jpg")</f>
        <v/>
      </c>
      <c r="G3014" t="s"/>
      <c r="H3014" t="s"/>
      <c r="I3014" t="s"/>
      <c r="J3014" t="n">
        <v>0</v>
      </c>
      <c r="K3014" t="n">
        <v>0</v>
      </c>
      <c r="L3014" t="n">
        <v>1</v>
      </c>
      <c r="M3014" t="n">
        <v>0</v>
      </c>
    </row>
    <row r="3015" spans="1:13">
      <c r="A3015" s="1">
        <f>HYPERLINK("http://www.twitter.com/NathanBLawrence/status/951835598519664641", "951835598519664641")</f>
        <v/>
      </c>
      <c r="B3015" s="2" t="n">
        <v>43112.63732638889</v>
      </c>
      <c r="C3015" t="n">
        <v>20</v>
      </c>
      <c r="D3015" t="n">
        <v>20</v>
      </c>
      <c r="E3015" t="s">
        <v>3005</v>
      </c>
      <c r="F3015">
        <f>HYPERLINK("http://pbs.twimg.com/media/DTWZZ-uW0AA6W8y.jpg", "http://pbs.twimg.com/media/DTWZZ-uW0AA6W8y.jpg")</f>
        <v/>
      </c>
      <c r="G3015" t="s"/>
      <c r="H3015" t="s"/>
      <c r="I3015" t="s"/>
      <c r="J3015" t="n">
        <v>-0.6259</v>
      </c>
      <c r="K3015" t="n">
        <v>0.154</v>
      </c>
      <c r="L3015" t="n">
        <v>0.712</v>
      </c>
      <c r="M3015" t="n">
        <v>0.134</v>
      </c>
    </row>
    <row r="3016" spans="1:13">
      <c r="A3016" s="1">
        <f>HYPERLINK("http://www.twitter.com/NathanBLawrence/status/951652068535816192", "951652068535816192")</f>
        <v/>
      </c>
      <c r="B3016" s="2" t="n">
        <v>43112.13087962963</v>
      </c>
      <c r="C3016" t="n">
        <v>0</v>
      </c>
      <c r="D3016" t="n">
        <v>335</v>
      </c>
      <c r="E3016" t="s">
        <v>3006</v>
      </c>
      <c r="F3016" t="s"/>
      <c r="G3016" t="s"/>
      <c r="H3016" t="s"/>
      <c r="I3016" t="s"/>
      <c r="J3016" t="n">
        <v>-0.5449000000000001</v>
      </c>
      <c r="K3016" t="n">
        <v>0.156</v>
      </c>
      <c r="L3016" t="n">
        <v>0.844</v>
      </c>
      <c r="M3016" t="n">
        <v>0</v>
      </c>
    </row>
    <row r="3017" spans="1:13">
      <c r="A3017" s="1">
        <f>HYPERLINK("http://www.twitter.com/NathanBLawrence/status/951592374278467584", "951592374278467584")</f>
        <v/>
      </c>
      <c r="B3017" s="2" t="n">
        <v>43111.96615740741</v>
      </c>
      <c r="C3017" t="n">
        <v>0</v>
      </c>
      <c r="D3017" t="n">
        <v>153</v>
      </c>
      <c r="E3017" t="s">
        <v>3007</v>
      </c>
      <c r="F3017">
        <f>HYPERLINK("http://pbs.twimg.com/media/DTBqr8HWsAEbmM_.jpg", "http://pbs.twimg.com/media/DTBqr8HWsAEbmM_.jpg")</f>
        <v/>
      </c>
      <c r="G3017" t="s"/>
      <c r="H3017" t="s"/>
      <c r="I3017" t="s"/>
      <c r="J3017" t="n">
        <v>-0.7262999999999999</v>
      </c>
      <c r="K3017" t="n">
        <v>0.233</v>
      </c>
      <c r="L3017" t="n">
        <v>0.767</v>
      </c>
      <c r="M3017" t="n">
        <v>0</v>
      </c>
    </row>
    <row r="3018" spans="1:13">
      <c r="A3018" s="1">
        <f>HYPERLINK("http://www.twitter.com/NathanBLawrence/status/951564302057697281", "951564302057697281")</f>
        <v/>
      </c>
      <c r="B3018" s="2" t="n">
        <v>43111.88869212963</v>
      </c>
      <c r="C3018" t="n">
        <v>0</v>
      </c>
      <c r="D3018" t="n">
        <v>173</v>
      </c>
      <c r="E3018" t="s">
        <v>3008</v>
      </c>
      <c r="F3018">
        <f>HYPERLINK("http://pbs.twimg.com/media/DTSZg8eX4AEHQOf.jpg", "http://pbs.twimg.com/media/DTSZg8eX4AEHQOf.jpg")</f>
        <v/>
      </c>
      <c r="G3018" t="s"/>
      <c r="H3018" t="s"/>
      <c r="I3018" t="s"/>
      <c r="J3018" t="n">
        <v>0.3818</v>
      </c>
      <c r="K3018" t="n">
        <v>0</v>
      </c>
      <c r="L3018" t="n">
        <v>0.833</v>
      </c>
      <c r="M3018" t="n">
        <v>0.167</v>
      </c>
    </row>
    <row r="3019" spans="1:13">
      <c r="A3019" s="1">
        <f>HYPERLINK("http://www.twitter.com/NathanBLawrence/status/951564277202214912", "951564277202214912")</f>
        <v/>
      </c>
      <c r="B3019" s="2" t="n">
        <v>43111.88862268518</v>
      </c>
      <c r="C3019" t="n">
        <v>0</v>
      </c>
      <c r="D3019" t="n">
        <v>43</v>
      </c>
      <c r="E3019" t="s">
        <v>3009</v>
      </c>
      <c r="F3019">
        <f>HYPERLINK("http://pbs.twimg.com/media/DTSeL5rUQAAV6k9.jpg", "http://pbs.twimg.com/media/DTSeL5rUQAAV6k9.jpg")</f>
        <v/>
      </c>
      <c r="G3019" t="s"/>
      <c r="H3019" t="s"/>
      <c r="I3019" t="s"/>
      <c r="J3019" t="n">
        <v>0.296</v>
      </c>
      <c r="K3019" t="n">
        <v>0.097</v>
      </c>
      <c r="L3019" t="n">
        <v>0.708</v>
      </c>
      <c r="M3019" t="n">
        <v>0.195</v>
      </c>
    </row>
    <row r="3020" spans="1:13">
      <c r="A3020" s="1">
        <f>HYPERLINK("http://www.twitter.com/NathanBLawrence/status/951562710528995328", "951562710528995328")</f>
        <v/>
      </c>
      <c r="B3020" s="2" t="n">
        <v>43111.88430555556</v>
      </c>
      <c r="C3020" t="n">
        <v>0</v>
      </c>
      <c r="D3020" t="n">
        <v>3742</v>
      </c>
      <c r="E3020" t="s">
        <v>3010</v>
      </c>
      <c r="F3020">
        <f>HYPERLINK("http://pbs.twimg.com/media/DTR0JuDW4AQ2sBm.jpg", "http://pbs.twimg.com/media/DTR0JuDW4AQ2sBm.jpg")</f>
        <v/>
      </c>
      <c r="G3020" t="s"/>
      <c r="H3020" t="s"/>
      <c r="I3020" t="s"/>
      <c r="J3020" t="n">
        <v>0</v>
      </c>
      <c r="K3020" t="n">
        <v>0</v>
      </c>
      <c r="L3020" t="n">
        <v>1</v>
      </c>
      <c r="M3020" t="n">
        <v>0</v>
      </c>
    </row>
    <row r="3021" spans="1:13">
      <c r="A3021" s="1">
        <f>HYPERLINK("http://www.twitter.com/NathanBLawrence/status/951562040757379072", "951562040757379072")</f>
        <v/>
      </c>
      <c r="B3021" s="2" t="n">
        <v>43111.88245370371</v>
      </c>
      <c r="C3021" t="n">
        <v>0</v>
      </c>
      <c r="D3021" t="n">
        <v>81</v>
      </c>
      <c r="E3021" t="s">
        <v>3011</v>
      </c>
      <c r="F3021">
        <f>HYPERLINK("http://pbs.twimg.com/media/DTR-JMgWAAAamB1.jpg", "http://pbs.twimg.com/media/DTR-JMgWAAAamB1.jpg")</f>
        <v/>
      </c>
      <c r="G3021" t="s"/>
      <c r="H3021" t="s"/>
      <c r="I3021" t="s"/>
      <c r="J3021" t="n">
        <v>0.9349</v>
      </c>
      <c r="K3021" t="n">
        <v>0</v>
      </c>
      <c r="L3021" t="n">
        <v>0.53</v>
      </c>
      <c r="M3021" t="n">
        <v>0.47</v>
      </c>
    </row>
    <row r="3022" spans="1:13">
      <c r="A3022" s="1">
        <f>HYPERLINK("http://www.twitter.com/NathanBLawrence/status/951554534245064704", "951554534245064704")</f>
        <v/>
      </c>
      <c r="B3022" s="2" t="n">
        <v>43111.86173611111</v>
      </c>
      <c r="C3022" t="n">
        <v>0</v>
      </c>
      <c r="D3022" t="n">
        <v>593</v>
      </c>
      <c r="E3022" t="s">
        <v>3012</v>
      </c>
      <c r="F3022">
        <f>HYPERLINK("http://pbs.twimg.com/media/DTSVGsiWAAAbJpX.jpg", "http://pbs.twimg.com/media/DTSVGsiWAAAbJpX.jpg")</f>
        <v/>
      </c>
      <c r="G3022" t="s"/>
      <c r="H3022" t="s"/>
      <c r="I3022" t="s"/>
      <c r="J3022" t="n">
        <v>0.0772</v>
      </c>
      <c r="K3022" t="n">
        <v>0</v>
      </c>
      <c r="L3022" t="n">
        <v>0.9419999999999999</v>
      </c>
      <c r="M3022" t="n">
        <v>0.058</v>
      </c>
    </row>
    <row r="3023" spans="1:13">
      <c r="A3023" s="1">
        <f>HYPERLINK("http://www.twitter.com/NathanBLawrence/status/951512352721178625", "951512352721178625")</f>
        <v/>
      </c>
      <c r="B3023" s="2" t="n">
        <v>43111.74533564815</v>
      </c>
      <c r="C3023" t="n">
        <v>0</v>
      </c>
      <c r="D3023" t="n">
        <v>948</v>
      </c>
      <c r="E3023" t="s">
        <v>3013</v>
      </c>
      <c r="F3023" t="s"/>
      <c r="G3023" t="s"/>
      <c r="H3023" t="s"/>
      <c r="I3023" t="s"/>
      <c r="J3023" t="n">
        <v>-0.8316</v>
      </c>
      <c r="K3023" t="n">
        <v>0.253</v>
      </c>
      <c r="L3023" t="n">
        <v>0.747</v>
      </c>
      <c r="M3023" t="n">
        <v>0</v>
      </c>
    </row>
    <row r="3024" spans="1:13">
      <c r="A3024" s="1">
        <f>HYPERLINK("http://www.twitter.com/NathanBLawrence/status/951511931281698821", "951511931281698821")</f>
        <v/>
      </c>
      <c r="B3024" s="2" t="n">
        <v>43111.74417824074</v>
      </c>
      <c r="C3024" t="n">
        <v>0</v>
      </c>
      <c r="D3024" t="n">
        <v>53</v>
      </c>
      <c r="E3024" t="s">
        <v>3014</v>
      </c>
      <c r="F3024" t="s"/>
      <c r="G3024" t="s"/>
      <c r="H3024" t="s"/>
      <c r="I3024" t="s"/>
      <c r="J3024" t="n">
        <v>-0.3182</v>
      </c>
      <c r="K3024" t="n">
        <v>0.108</v>
      </c>
      <c r="L3024" t="n">
        <v>0.892</v>
      </c>
      <c r="M3024" t="n">
        <v>0</v>
      </c>
    </row>
    <row r="3025" spans="1:13">
      <c r="A3025" s="1">
        <f>HYPERLINK("http://www.twitter.com/NathanBLawrence/status/951508169511010304", "951508169511010304")</f>
        <v/>
      </c>
      <c r="B3025" s="2" t="n">
        <v>43111.7337962963</v>
      </c>
      <c r="C3025" t="n">
        <v>10</v>
      </c>
      <c r="D3025" t="n">
        <v>9</v>
      </c>
      <c r="E3025" t="s">
        <v>3015</v>
      </c>
      <c r="F3025" t="s"/>
      <c r="G3025" t="s"/>
      <c r="H3025" t="s"/>
      <c r="I3025" t="s"/>
      <c r="J3025" t="n">
        <v>0</v>
      </c>
      <c r="K3025" t="n">
        <v>0</v>
      </c>
      <c r="L3025" t="n">
        <v>1</v>
      </c>
      <c r="M3025" t="n">
        <v>0</v>
      </c>
    </row>
    <row r="3026" spans="1:13">
      <c r="A3026" s="1">
        <f>HYPERLINK("http://www.twitter.com/NathanBLawrence/status/951502107416449024", "951502107416449024")</f>
        <v/>
      </c>
      <c r="B3026" s="2" t="n">
        <v>43111.71707175926</v>
      </c>
      <c r="C3026" t="n">
        <v>0</v>
      </c>
      <c r="D3026" t="n">
        <v>1397</v>
      </c>
      <c r="E3026" t="s">
        <v>3016</v>
      </c>
      <c r="F3026">
        <f>HYPERLINK("http://pbs.twimg.com/media/DTRo1B1UQAIZQiC.jpg", "http://pbs.twimg.com/media/DTRo1B1UQAIZQiC.jpg")</f>
        <v/>
      </c>
      <c r="G3026" t="s"/>
      <c r="H3026" t="s"/>
      <c r="I3026" t="s"/>
      <c r="J3026" t="n">
        <v>-0.4301</v>
      </c>
      <c r="K3026" t="n">
        <v>0.239</v>
      </c>
      <c r="L3026" t="n">
        <v>0.64</v>
      </c>
      <c r="M3026" t="n">
        <v>0.121</v>
      </c>
    </row>
    <row r="3027" spans="1:13">
      <c r="A3027" s="1">
        <f>HYPERLINK("http://www.twitter.com/NathanBLawrence/status/951501476861562882", "951501476861562882")</f>
        <v/>
      </c>
      <c r="B3027" s="2" t="n">
        <v>43111.71532407407</v>
      </c>
      <c r="C3027" t="n">
        <v>0</v>
      </c>
      <c r="D3027" t="n">
        <v>219</v>
      </c>
      <c r="E3027" t="s">
        <v>3017</v>
      </c>
      <c r="F3027" t="s"/>
      <c r="G3027" t="s"/>
      <c r="H3027" t="s"/>
      <c r="I3027" t="s"/>
      <c r="J3027" t="n">
        <v>0.4019</v>
      </c>
      <c r="K3027" t="n">
        <v>0</v>
      </c>
      <c r="L3027" t="n">
        <v>0.891</v>
      </c>
      <c r="M3027" t="n">
        <v>0.109</v>
      </c>
    </row>
    <row r="3028" spans="1:13">
      <c r="A3028" s="1">
        <f>HYPERLINK("http://www.twitter.com/NathanBLawrence/status/951501464840605696", "951501464840605696")</f>
        <v/>
      </c>
      <c r="B3028" s="2" t="n">
        <v>43111.71528935185</v>
      </c>
      <c r="C3028" t="n">
        <v>0</v>
      </c>
      <c r="D3028" t="n">
        <v>20</v>
      </c>
      <c r="E3028" t="s">
        <v>3018</v>
      </c>
      <c r="F3028" t="s"/>
      <c r="G3028" t="s"/>
      <c r="H3028" t="s"/>
      <c r="I3028" t="s"/>
      <c r="J3028" t="n">
        <v>-0.1027</v>
      </c>
      <c r="K3028" t="n">
        <v>0.055</v>
      </c>
      <c r="L3028" t="n">
        <v>0.945</v>
      </c>
      <c r="M3028" t="n">
        <v>0</v>
      </c>
    </row>
    <row r="3029" spans="1:13">
      <c r="A3029" s="1">
        <f>HYPERLINK("http://www.twitter.com/NathanBLawrence/status/951501377758547971", "951501377758547971")</f>
        <v/>
      </c>
      <c r="B3029" s="2" t="n">
        <v>43111.71505787037</v>
      </c>
      <c r="C3029" t="n">
        <v>19</v>
      </c>
      <c r="D3029" t="n">
        <v>20</v>
      </c>
      <c r="E3029" t="s">
        <v>3019</v>
      </c>
      <c r="F3029" t="s"/>
      <c r="G3029" t="s"/>
      <c r="H3029" t="s"/>
      <c r="I3029" t="s"/>
      <c r="J3029" t="n">
        <v>-0.8478</v>
      </c>
      <c r="K3029" t="n">
        <v>0.213</v>
      </c>
      <c r="L3029" t="n">
        <v>0.787</v>
      </c>
      <c r="M3029" t="n">
        <v>0</v>
      </c>
    </row>
    <row r="3030" spans="1:13">
      <c r="A3030" s="1">
        <f>HYPERLINK("http://www.twitter.com/NathanBLawrence/status/951490675777986560", "951490675777986560")</f>
        <v/>
      </c>
      <c r="B3030" s="2" t="n">
        <v>43111.68552083334</v>
      </c>
      <c r="C3030" t="n">
        <v>0</v>
      </c>
      <c r="D3030" t="n">
        <v>11132</v>
      </c>
      <c r="E3030" t="s">
        <v>3020</v>
      </c>
      <c r="F3030" t="s"/>
      <c r="G3030" t="s"/>
      <c r="H3030" t="s"/>
      <c r="I3030" t="s"/>
      <c r="J3030" t="n">
        <v>-0.5574</v>
      </c>
      <c r="K3030" t="n">
        <v>0.167</v>
      </c>
      <c r="L3030" t="n">
        <v>0.833</v>
      </c>
      <c r="M3030" t="n">
        <v>0</v>
      </c>
    </row>
    <row r="3031" spans="1:13">
      <c r="A3031" s="1">
        <f>HYPERLINK("http://www.twitter.com/NathanBLawrence/status/951485645272338434", "951485645272338434")</f>
        <v/>
      </c>
      <c r="B3031" s="2" t="n">
        <v>43111.67164351852</v>
      </c>
      <c r="C3031" t="n">
        <v>0</v>
      </c>
      <c r="D3031" t="n">
        <v>874</v>
      </c>
      <c r="E3031" t="s">
        <v>3021</v>
      </c>
      <c r="F3031">
        <f>HYPERLINK("http://pbs.twimg.com/media/DTRYFpjWsAAp69U.jpg", "http://pbs.twimg.com/media/DTRYFpjWsAAp69U.jpg")</f>
        <v/>
      </c>
      <c r="G3031" t="s"/>
      <c r="H3031" t="s"/>
      <c r="I3031" t="s"/>
      <c r="J3031" t="n">
        <v>0</v>
      </c>
      <c r="K3031" t="n">
        <v>0</v>
      </c>
      <c r="L3031" t="n">
        <v>1</v>
      </c>
      <c r="M3031" t="n">
        <v>0</v>
      </c>
    </row>
    <row r="3032" spans="1:13">
      <c r="A3032" s="1">
        <f>HYPERLINK("http://www.twitter.com/NathanBLawrence/status/951480692562694146", "951480692562694146")</f>
        <v/>
      </c>
      <c r="B3032" s="2" t="n">
        <v>43111.65797453704</v>
      </c>
      <c r="C3032" t="n">
        <v>0</v>
      </c>
      <c r="D3032" t="n">
        <v>15369</v>
      </c>
      <c r="E3032" t="s">
        <v>3022</v>
      </c>
      <c r="F3032" t="s"/>
      <c r="G3032" t="s"/>
      <c r="H3032" t="s"/>
      <c r="I3032" t="s"/>
      <c r="J3032" t="n">
        <v>0.0772</v>
      </c>
      <c r="K3032" t="n">
        <v>0</v>
      </c>
      <c r="L3032" t="n">
        <v>0.949</v>
      </c>
      <c r="M3032" t="n">
        <v>0.051</v>
      </c>
    </row>
    <row r="3033" spans="1:13">
      <c r="A3033" s="1">
        <f>HYPERLINK("http://www.twitter.com/NathanBLawrence/status/951480212109320193", "951480212109320193")</f>
        <v/>
      </c>
      <c r="B3033" s="2" t="n">
        <v>43111.65664351852</v>
      </c>
      <c r="C3033" t="n">
        <v>0</v>
      </c>
      <c r="D3033" t="n">
        <v>45</v>
      </c>
      <c r="E3033" t="s">
        <v>3023</v>
      </c>
      <c r="F3033" t="s"/>
      <c r="G3033" t="s"/>
      <c r="H3033" t="s"/>
      <c r="I3033" t="s"/>
      <c r="J3033" t="n">
        <v>-0.6808</v>
      </c>
      <c r="K3033" t="n">
        <v>0.202</v>
      </c>
      <c r="L3033" t="n">
        <v>0.753</v>
      </c>
      <c r="M3033" t="n">
        <v>0.045</v>
      </c>
    </row>
    <row r="3034" spans="1:13">
      <c r="A3034" s="1">
        <f>HYPERLINK("http://www.twitter.com/NathanBLawrence/status/951471336236437504", "951471336236437504")</f>
        <v/>
      </c>
      <c r="B3034" s="2" t="n">
        <v>43111.63215277778</v>
      </c>
      <c r="C3034" t="n">
        <v>0</v>
      </c>
      <c r="D3034" t="n">
        <v>17</v>
      </c>
      <c r="E3034" t="s">
        <v>3024</v>
      </c>
      <c r="F3034">
        <f>HYPERLINK("http://pbs.twimg.com/media/DTRFEH-VMAER-eR.jpg", "http://pbs.twimg.com/media/DTRFEH-VMAER-eR.jpg")</f>
        <v/>
      </c>
      <c r="G3034" t="s"/>
      <c r="H3034" t="s"/>
      <c r="I3034" t="s"/>
      <c r="J3034" t="n">
        <v>-0.3818</v>
      </c>
      <c r="K3034" t="n">
        <v>0.205</v>
      </c>
      <c r="L3034" t="n">
        <v>0.795</v>
      </c>
      <c r="M3034" t="n">
        <v>0</v>
      </c>
    </row>
    <row r="3035" spans="1:13">
      <c r="A3035" s="1">
        <f>HYPERLINK("http://www.twitter.com/NathanBLawrence/status/951470538861531137", "951470538861531137")</f>
        <v/>
      </c>
      <c r="B3035" s="2" t="n">
        <v>43111.6299537037</v>
      </c>
      <c r="C3035" t="n">
        <v>0</v>
      </c>
      <c r="D3035" t="n">
        <v>39</v>
      </c>
      <c r="E3035" t="s">
        <v>3025</v>
      </c>
      <c r="F3035">
        <f>HYPERLINK("http://pbs.twimg.com/media/DTQYAyIU0AEkN2g.jpg", "http://pbs.twimg.com/media/DTQYAyIU0AEkN2g.jpg")</f>
        <v/>
      </c>
      <c r="G3035" t="s"/>
      <c r="H3035" t="s"/>
      <c r="I3035" t="s"/>
      <c r="J3035" t="n">
        <v>0</v>
      </c>
      <c r="K3035" t="n">
        <v>0</v>
      </c>
      <c r="L3035" t="n">
        <v>1</v>
      </c>
      <c r="M3035" t="n">
        <v>0</v>
      </c>
    </row>
    <row r="3036" spans="1:13">
      <c r="A3036" s="1">
        <f>HYPERLINK("http://www.twitter.com/NathanBLawrence/status/951470298657935360", "951470298657935360")</f>
        <v/>
      </c>
      <c r="B3036" s="2" t="n">
        <v>43111.62929398148</v>
      </c>
      <c r="C3036" t="n">
        <v>0</v>
      </c>
      <c r="D3036" t="n">
        <v>65</v>
      </c>
      <c r="E3036" t="s">
        <v>3026</v>
      </c>
      <c r="F3036">
        <f>HYPERLINK("http://pbs.twimg.com/media/DTQYQOfVAAAKt8q.jpg", "http://pbs.twimg.com/media/DTQYQOfVAAAKt8q.jpg")</f>
        <v/>
      </c>
      <c r="G3036" t="s"/>
      <c r="H3036" t="s"/>
      <c r="I3036" t="s"/>
      <c r="J3036" t="n">
        <v>0</v>
      </c>
      <c r="K3036" t="n">
        <v>0</v>
      </c>
      <c r="L3036" t="n">
        <v>1</v>
      </c>
      <c r="M3036" t="n">
        <v>0</v>
      </c>
    </row>
    <row r="3037" spans="1:13">
      <c r="A3037" s="1">
        <f>HYPERLINK("http://www.twitter.com/NathanBLawrence/status/951470080872910849", "951470080872910849")</f>
        <v/>
      </c>
      <c r="B3037" s="2" t="n">
        <v>43111.62869212963</v>
      </c>
      <c r="C3037" t="n">
        <v>0</v>
      </c>
      <c r="D3037" t="n">
        <v>401</v>
      </c>
      <c r="E3037" t="s">
        <v>3027</v>
      </c>
      <c r="F3037">
        <f>HYPERLINK("http://pbs.twimg.com/media/DTQXy0sUMAAm06E.jpg", "http://pbs.twimg.com/media/DTQXy0sUMAAm06E.jpg")</f>
        <v/>
      </c>
      <c r="G3037" t="s"/>
      <c r="H3037" t="s"/>
      <c r="I3037" t="s"/>
      <c r="J3037" t="n">
        <v>-0.8552999999999999</v>
      </c>
      <c r="K3037" t="n">
        <v>0.344</v>
      </c>
      <c r="L3037" t="n">
        <v>0.656</v>
      </c>
      <c r="M3037" t="n">
        <v>0</v>
      </c>
    </row>
    <row r="3038" spans="1:13">
      <c r="A3038" s="1">
        <f>HYPERLINK("http://www.twitter.com/NathanBLawrence/status/951312516457619456", "951312516457619456")</f>
        <v/>
      </c>
      <c r="B3038" s="2" t="n">
        <v>43111.19390046296</v>
      </c>
      <c r="C3038" t="n">
        <v>0</v>
      </c>
      <c r="D3038" t="n">
        <v>964</v>
      </c>
      <c r="E3038" t="s">
        <v>3028</v>
      </c>
      <c r="F3038" t="s"/>
      <c r="G3038" t="s"/>
      <c r="H3038" t="s"/>
      <c r="I3038" t="s"/>
      <c r="J3038" t="n">
        <v>-0.9509</v>
      </c>
      <c r="K3038" t="n">
        <v>0.471</v>
      </c>
      <c r="L3038" t="n">
        <v>0.529</v>
      </c>
      <c r="M3038" t="n">
        <v>0</v>
      </c>
    </row>
    <row r="3039" spans="1:13">
      <c r="A3039" s="1">
        <f>HYPERLINK("http://www.twitter.com/NathanBLawrence/status/951280290021945344", "951280290021945344")</f>
        <v/>
      </c>
      <c r="B3039" s="2" t="n">
        <v>43111.10496527778</v>
      </c>
      <c r="C3039" t="n">
        <v>1</v>
      </c>
      <c r="D3039" t="n">
        <v>1</v>
      </c>
      <c r="E3039" t="s">
        <v>3029</v>
      </c>
      <c r="F3039">
        <f>HYPERLINK("http://pbs.twimg.com/media/DTOgJH9X4AAuuGI.jpg", "http://pbs.twimg.com/media/DTOgJH9X4AAuuGI.jpg")</f>
        <v/>
      </c>
      <c r="G3039" t="s"/>
      <c r="H3039" t="s"/>
      <c r="I3039" t="s"/>
      <c r="J3039" t="n">
        <v>0.6329</v>
      </c>
      <c r="K3039" t="n">
        <v>0</v>
      </c>
      <c r="L3039" t="n">
        <v>0.828</v>
      </c>
      <c r="M3039" t="n">
        <v>0.172</v>
      </c>
    </row>
    <row r="3040" spans="1:13">
      <c r="A3040" s="1">
        <f>HYPERLINK("http://www.twitter.com/NathanBLawrence/status/951272875536896001", "951272875536896001")</f>
        <v/>
      </c>
      <c r="B3040" s="2" t="n">
        <v>43111.08450231481</v>
      </c>
      <c r="C3040" t="n">
        <v>0</v>
      </c>
      <c r="D3040" t="n">
        <v>29</v>
      </c>
      <c r="E3040" t="s">
        <v>3030</v>
      </c>
      <c r="F3040" t="s"/>
      <c r="G3040" t="s"/>
      <c r="H3040" t="s"/>
      <c r="I3040" t="s"/>
      <c r="J3040" t="n">
        <v>-0.8934</v>
      </c>
      <c r="K3040" t="n">
        <v>0.438</v>
      </c>
      <c r="L3040" t="n">
        <v>0.5620000000000001</v>
      </c>
      <c r="M3040" t="n">
        <v>0</v>
      </c>
    </row>
    <row r="3041" spans="1:13">
      <c r="A3041" s="1">
        <f>HYPERLINK("http://www.twitter.com/NathanBLawrence/status/951255869664169985", "951255869664169985")</f>
        <v/>
      </c>
      <c r="B3041" s="2" t="n">
        <v>43111.03758101852</v>
      </c>
      <c r="C3041" t="n">
        <v>0</v>
      </c>
      <c r="D3041" t="n">
        <v>0</v>
      </c>
      <c r="E3041" t="s">
        <v>3031</v>
      </c>
      <c r="F3041" t="s"/>
      <c r="G3041" t="s"/>
      <c r="H3041" t="s"/>
      <c r="I3041" t="s"/>
      <c r="J3041" t="n">
        <v>0.6682</v>
      </c>
      <c r="K3041" t="n">
        <v>0</v>
      </c>
      <c r="L3041" t="n">
        <v>0.801</v>
      </c>
      <c r="M3041" t="n">
        <v>0.199</v>
      </c>
    </row>
    <row r="3042" spans="1:13">
      <c r="A3042" s="1">
        <f>HYPERLINK("http://www.twitter.com/NathanBLawrence/status/951254959479316485", "951254959479316485")</f>
        <v/>
      </c>
      <c r="B3042" s="2" t="n">
        <v>43111.03506944444</v>
      </c>
      <c r="C3042" t="n">
        <v>0</v>
      </c>
      <c r="D3042" t="n">
        <v>4</v>
      </c>
      <c r="E3042" t="s">
        <v>3032</v>
      </c>
      <c r="F3042" t="s"/>
      <c r="G3042" t="s"/>
      <c r="H3042" t="s"/>
      <c r="I3042" t="s"/>
      <c r="J3042" t="n">
        <v>0.0772</v>
      </c>
      <c r="K3042" t="n">
        <v>0</v>
      </c>
      <c r="L3042" t="n">
        <v>0.925</v>
      </c>
      <c r="M3042" t="n">
        <v>0.075</v>
      </c>
    </row>
    <row r="3043" spans="1:13">
      <c r="A3043" s="1">
        <f>HYPERLINK("http://www.twitter.com/NathanBLawrence/status/951240925912723456", "951240925912723456")</f>
        <v/>
      </c>
      <c r="B3043" s="2" t="n">
        <v>43110.9963425926</v>
      </c>
      <c r="C3043" t="n">
        <v>0</v>
      </c>
      <c r="D3043" t="n">
        <v>81</v>
      </c>
      <c r="E3043" t="s">
        <v>3033</v>
      </c>
      <c r="F3043">
        <f>HYPERLINK("http://pbs.twimg.com/media/DTN8BwzVAAAxxJO.jpg", "http://pbs.twimg.com/media/DTN8BwzVAAAxxJO.jpg")</f>
        <v/>
      </c>
      <c r="G3043" t="s"/>
      <c r="H3043" t="s"/>
      <c r="I3043" t="s"/>
      <c r="J3043" t="n">
        <v>-0.5859</v>
      </c>
      <c r="K3043" t="n">
        <v>0.147</v>
      </c>
      <c r="L3043" t="n">
        <v>0.853</v>
      </c>
      <c r="M3043" t="n">
        <v>0</v>
      </c>
    </row>
    <row r="3044" spans="1:13">
      <c r="A3044" s="1">
        <f>HYPERLINK("http://www.twitter.com/NathanBLawrence/status/951197773197606921", "951197773197606921")</f>
        <v/>
      </c>
      <c r="B3044" s="2" t="n">
        <v>43110.87726851852</v>
      </c>
      <c r="C3044" t="n">
        <v>0</v>
      </c>
      <c r="D3044" t="n">
        <v>79</v>
      </c>
      <c r="E3044" t="s">
        <v>3034</v>
      </c>
      <c r="F3044" t="s"/>
      <c r="G3044" t="s"/>
      <c r="H3044" t="s"/>
      <c r="I3044" t="s"/>
      <c r="J3044" t="n">
        <v>0.3818</v>
      </c>
      <c r="K3044" t="n">
        <v>0</v>
      </c>
      <c r="L3044" t="n">
        <v>0.833</v>
      </c>
      <c r="M3044" t="n">
        <v>0.167</v>
      </c>
    </row>
    <row r="3045" spans="1:13">
      <c r="A3045" s="1">
        <f>HYPERLINK("http://www.twitter.com/NathanBLawrence/status/951187092884938752", "951187092884938752")</f>
        <v/>
      </c>
      <c r="B3045" s="2" t="n">
        <v>43110.84778935185</v>
      </c>
      <c r="C3045" t="n">
        <v>0</v>
      </c>
      <c r="D3045" t="n">
        <v>53</v>
      </c>
      <c r="E3045" t="s">
        <v>3035</v>
      </c>
      <c r="F3045">
        <f>HYPERLINK("http://pbs.twimg.com/media/DTM9u4AV4AA1CUL.jpg", "http://pbs.twimg.com/media/DTM9u4AV4AA1CUL.jpg")</f>
        <v/>
      </c>
      <c r="G3045" t="s"/>
      <c r="H3045" t="s"/>
      <c r="I3045" t="s"/>
      <c r="J3045" t="n">
        <v>0.8316</v>
      </c>
      <c r="K3045" t="n">
        <v>0</v>
      </c>
      <c r="L3045" t="n">
        <v>0.66</v>
      </c>
      <c r="M3045" t="n">
        <v>0.34</v>
      </c>
    </row>
    <row r="3046" spans="1:13">
      <c r="A3046" s="1">
        <f>HYPERLINK("http://www.twitter.com/NathanBLawrence/status/951183474001698816", "951183474001698816")</f>
        <v/>
      </c>
      <c r="B3046" s="2" t="n">
        <v>43110.83780092592</v>
      </c>
      <c r="C3046" t="n">
        <v>0</v>
      </c>
      <c r="D3046" t="n">
        <v>307</v>
      </c>
      <c r="E3046" t="s">
        <v>3036</v>
      </c>
      <c r="F3046">
        <f>HYPERLINK("http://pbs.twimg.com/media/DTEwZiAVMAA0tiP.jpg", "http://pbs.twimg.com/media/DTEwZiAVMAA0tiP.jpg")</f>
        <v/>
      </c>
      <c r="G3046" t="s"/>
      <c r="H3046" t="s"/>
      <c r="I3046" t="s"/>
      <c r="J3046" t="n">
        <v>-0.296</v>
      </c>
      <c r="K3046" t="n">
        <v>0.239</v>
      </c>
      <c r="L3046" t="n">
        <v>0.761</v>
      </c>
      <c r="M3046" t="n">
        <v>0</v>
      </c>
    </row>
    <row r="3047" spans="1:13">
      <c r="A3047" s="1">
        <f>HYPERLINK("http://www.twitter.com/NathanBLawrence/status/951173928810110977", "951173928810110977")</f>
        <v/>
      </c>
      <c r="B3047" s="2" t="n">
        <v>43110.81146990741</v>
      </c>
      <c r="C3047" t="n">
        <v>0</v>
      </c>
      <c r="D3047" t="n">
        <v>221960</v>
      </c>
      <c r="E3047" t="s">
        <v>3037</v>
      </c>
      <c r="F3047" t="s"/>
      <c r="G3047" t="s"/>
      <c r="H3047" t="s"/>
      <c r="I3047" t="s"/>
      <c r="J3047" t="n">
        <v>0</v>
      </c>
      <c r="K3047" t="n">
        <v>0</v>
      </c>
      <c r="L3047" t="n">
        <v>1</v>
      </c>
      <c r="M3047" t="n">
        <v>0</v>
      </c>
    </row>
    <row r="3048" spans="1:13">
      <c r="A3048" s="1">
        <f>HYPERLINK("http://www.twitter.com/NathanBLawrence/status/951173902381797377", "951173902381797377")</f>
        <v/>
      </c>
      <c r="B3048" s="2" t="n">
        <v>43110.81138888889</v>
      </c>
      <c r="C3048" t="n">
        <v>0</v>
      </c>
      <c r="D3048" t="n">
        <v>0</v>
      </c>
      <c r="E3048" t="s">
        <v>3038</v>
      </c>
      <c r="F3048" t="s"/>
      <c r="G3048" t="s"/>
      <c r="H3048" t="s"/>
      <c r="I3048" t="s"/>
      <c r="J3048" t="n">
        <v>0</v>
      </c>
      <c r="K3048" t="n">
        <v>0</v>
      </c>
      <c r="L3048" t="n">
        <v>1</v>
      </c>
      <c r="M3048" t="n">
        <v>0</v>
      </c>
    </row>
    <row r="3049" spans="1:13">
      <c r="A3049" s="1">
        <f>HYPERLINK("http://www.twitter.com/NathanBLawrence/status/951171864814063618", "951171864814063618")</f>
        <v/>
      </c>
      <c r="B3049" s="2" t="n">
        <v>43110.80577546296</v>
      </c>
      <c r="C3049" t="n">
        <v>0</v>
      </c>
      <c r="D3049" t="n">
        <v>28</v>
      </c>
      <c r="E3049" t="s">
        <v>3039</v>
      </c>
      <c r="F3049">
        <f>HYPERLINK("http://pbs.twimg.com/media/DTMgCa1VwAAtmlJ.jpg", "http://pbs.twimg.com/media/DTMgCa1VwAAtmlJ.jpg")</f>
        <v/>
      </c>
      <c r="G3049" t="s"/>
      <c r="H3049" t="s"/>
      <c r="I3049" t="s"/>
      <c r="J3049" t="n">
        <v>0.3612</v>
      </c>
      <c r="K3049" t="n">
        <v>0</v>
      </c>
      <c r="L3049" t="n">
        <v>0.898</v>
      </c>
      <c r="M3049" t="n">
        <v>0.102</v>
      </c>
    </row>
    <row r="3050" spans="1:13">
      <c r="A3050" s="1">
        <f>HYPERLINK("http://www.twitter.com/NathanBLawrence/status/951171616159031297", "951171616159031297")</f>
        <v/>
      </c>
      <c r="B3050" s="2" t="n">
        <v>43110.80508101852</v>
      </c>
      <c r="C3050" t="n">
        <v>0</v>
      </c>
      <c r="D3050" t="n">
        <v>31</v>
      </c>
      <c r="E3050" t="s">
        <v>3040</v>
      </c>
      <c r="F3050">
        <f>HYPERLINK("http://pbs.twimg.com/media/DSnGpNfVMAAdOMM.jpg", "http://pbs.twimg.com/media/DSnGpNfVMAAdOMM.jpg")</f>
        <v/>
      </c>
      <c r="G3050" t="s"/>
      <c r="H3050" t="s"/>
      <c r="I3050" t="s"/>
      <c r="J3050" t="n">
        <v>0</v>
      </c>
      <c r="K3050" t="n">
        <v>0</v>
      </c>
      <c r="L3050" t="n">
        <v>1</v>
      </c>
      <c r="M3050" t="n">
        <v>0</v>
      </c>
    </row>
    <row r="3051" spans="1:13">
      <c r="A3051" s="1">
        <f>HYPERLINK("http://www.twitter.com/NathanBLawrence/status/951121928793804800", "951121928793804800")</f>
        <v/>
      </c>
      <c r="B3051" s="2" t="n">
        <v>43110.66797453703</v>
      </c>
      <c r="C3051" t="n">
        <v>0</v>
      </c>
      <c r="D3051" t="n">
        <v>12</v>
      </c>
      <c r="E3051" t="s">
        <v>3041</v>
      </c>
      <c r="F3051" t="s"/>
      <c r="G3051" t="s"/>
      <c r="H3051" t="s"/>
      <c r="I3051" t="s"/>
      <c r="J3051" t="n">
        <v>-0.2732</v>
      </c>
      <c r="K3051" t="n">
        <v>0.091</v>
      </c>
      <c r="L3051" t="n">
        <v>0.864</v>
      </c>
      <c r="M3051" t="n">
        <v>0.045</v>
      </c>
    </row>
    <row r="3052" spans="1:13">
      <c r="A3052" s="1">
        <f>HYPERLINK("http://www.twitter.com/NathanBLawrence/status/951118522075271169", "951118522075271169")</f>
        <v/>
      </c>
      <c r="B3052" s="2" t="n">
        <v>43110.65857638889</v>
      </c>
      <c r="C3052" t="n">
        <v>0</v>
      </c>
      <c r="D3052" t="n">
        <v>451</v>
      </c>
      <c r="E3052" t="s">
        <v>3042</v>
      </c>
      <c r="F3052" t="s"/>
      <c r="G3052" t="s"/>
      <c r="H3052" t="s"/>
      <c r="I3052" t="s"/>
      <c r="J3052" t="n">
        <v>0.1779</v>
      </c>
      <c r="K3052" t="n">
        <v>0.114</v>
      </c>
      <c r="L3052" t="n">
        <v>0.745</v>
      </c>
      <c r="M3052" t="n">
        <v>0.141</v>
      </c>
    </row>
    <row r="3053" spans="1:13">
      <c r="A3053" s="1">
        <f>HYPERLINK("http://www.twitter.com/NathanBLawrence/status/951118367989161985", "951118367989161985")</f>
        <v/>
      </c>
      <c r="B3053" s="2" t="n">
        <v>43110.65814814815</v>
      </c>
      <c r="C3053" t="n">
        <v>7</v>
      </c>
      <c r="D3053" t="n">
        <v>2</v>
      </c>
      <c r="E3053" t="s">
        <v>3043</v>
      </c>
      <c r="F3053" t="s"/>
      <c r="G3053" t="s"/>
      <c r="H3053" t="s"/>
      <c r="I3053" t="s"/>
      <c r="J3053" t="n">
        <v>0.3034</v>
      </c>
      <c r="K3053" t="n">
        <v>0</v>
      </c>
      <c r="L3053" t="n">
        <v>0.8169999999999999</v>
      </c>
      <c r="M3053" t="n">
        <v>0.183</v>
      </c>
    </row>
    <row r="3054" spans="1:13">
      <c r="A3054" s="1">
        <f>HYPERLINK("http://www.twitter.com/NathanBLawrence/status/951090694034264065", "951090694034264065")</f>
        <v/>
      </c>
      <c r="B3054" s="2" t="n">
        <v>43110.5817824074</v>
      </c>
      <c r="C3054" t="n">
        <v>0</v>
      </c>
      <c r="D3054" t="n">
        <v>0</v>
      </c>
      <c r="E3054" t="s">
        <v>3044</v>
      </c>
      <c r="F3054">
        <f>HYPERLINK("https://video.twimg.com/ext_tw_video/951090161177182208/pu/vid/720x1280/yyu0YnnshgkGXkqF.mp4", "https://video.twimg.com/ext_tw_video/951090161177182208/pu/vid/720x1280/yyu0YnnshgkGXkqF.mp4")</f>
        <v/>
      </c>
      <c r="G3054" t="s"/>
      <c r="H3054" t="s"/>
      <c r="I3054" t="s"/>
      <c r="J3054" t="n">
        <v>0.8317</v>
      </c>
      <c r="K3054" t="n">
        <v>0</v>
      </c>
      <c r="L3054" t="n">
        <v>0.254</v>
      </c>
      <c r="M3054" t="n">
        <v>0.746</v>
      </c>
    </row>
    <row r="3055" spans="1:13">
      <c r="A3055" s="1">
        <f>HYPERLINK("http://www.twitter.com/NathanBLawrence/status/951088162750779392", "951088162750779392")</f>
        <v/>
      </c>
      <c r="B3055" s="2" t="n">
        <v>43110.57480324074</v>
      </c>
      <c r="C3055" t="n">
        <v>0</v>
      </c>
      <c r="D3055" t="n">
        <v>0</v>
      </c>
      <c r="E3055" t="s">
        <v>3045</v>
      </c>
      <c r="F3055" t="s"/>
      <c r="G3055" t="s"/>
      <c r="H3055" t="s"/>
      <c r="I3055" t="s"/>
      <c r="J3055" t="n">
        <v>0.54</v>
      </c>
      <c r="K3055" t="n">
        <v>0</v>
      </c>
      <c r="L3055" t="n">
        <v>0.668</v>
      </c>
      <c r="M3055" t="n">
        <v>0.332</v>
      </c>
    </row>
    <row r="3056" spans="1:13">
      <c r="A3056" s="1">
        <f>HYPERLINK("http://www.twitter.com/NathanBLawrence/status/951087324905050112", "951087324905050112")</f>
        <v/>
      </c>
      <c r="B3056" s="2" t="n">
        <v>43110.57248842593</v>
      </c>
      <c r="C3056" t="n">
        <v>0</v>
      </c>
      <c r="D3056" t="n">
        <v>1</v>
      </c>
      <c r="E3056" t="s">
        <v>3046</v>
      </c>
      <c r="F3056" t="s"/>
      <c r="G3056" t="s"/>
      <c r="H3056" t="s"/>
      <c r="I3056" t="s"/>
      <c r="J3056" t="n">
        <v>0</v>
      </c>
      <c r="K3056" t="n">
        <v>0</v>
      </c>
      <c r="L3056" t="n">
        <v>1</v>
      </c>
      <c r="M3056" t="n">
        <v>0</v>
      </c>
    </row>
    <row r="3057" spans="1:13">
      <c r="A3057" s="1">
        <f>HYPERLINK("http://www.twitter.com/NathanBLawrence/status/951087006645354498", "951087006645354498")</f>
        <v/>
      </c>
      <c r="B3057" s="2" t="n">
        <v>43110.57160879629</v>
      </c>
      <c r="C3057" t="n">
        <v>0</v>
      </c>
      <c r="D3057" t="n">
        <v>0</v>
      </c>
      <c r="E3057" t="s">
        <v>3047</v>
      </c>
      <c r="F3057" t="s"/>
      <c r="G3057" t="s"/>
      <c r="H3057" t="s"/>
      <c r="I3057" t="s"/>
      <c r="J3057" t="n">
        <v>0.5266999999999999</v>
      </c>
      <c r="K3057" t="n">
        <v>0.07099999999999999</v>
      </c>
      <c r="L3057" t="n">
        <v>0.756</v>
      </c>
      <c r="M3057" t="n">
        <v>0.172</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2018-05-08T06:23:27Z</dcterms:created>
  <dcterms:modified xmlns:dcterms="http://purl.org/dc/terms/" xmlns:xsi="http://www.w3.org/2001/XMLSchema-instance" xsi:type="dcterms:W3CDTF">2018-05-08T06:23:27Z</dcterms:modified>
</cp:coreProperties>
</file>