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<sst xmlns="http://schemas.openxmlformats.org/spreadsheetml/2006/main" uniqueCount="2558">
  <si>
    <t>id</t>
  </si>
  <si>
    <t>created_at</t>
  </si>
  <si>
    <t>fav</t>
  </si>
  <si>
    <t>rt</t>
  </si>
  <si>
    <t>text</t>
  </si>
  <si>
    <t>media1</t>
  </si>
  <si>
    <t>media2</t>
  </si>
  <si>
    <t>media3</t>
  </si>
  <si>
    <t>media4</t>
  </si>
  <si>
    <t>compound</t>
  </si>
  <si>
    <t>neg</t>
  </si>
  <si>
    <t>neu</t>
  </si>
  <si>
    <t>pos</t>
  </si>
  <si>
    <t>RT @JW1057: Dear Kitty: Regret is not force. Regret is not coercion. Regret is wishing YOU had made a different choice in the past. You nee…</t>
  </si>
  <si>
    <t>Dear Kitty: Regret is not force. Regret is not coercion. Regret is wishing YOU had made a different choice in the past. You need to take responsibility for an affair that you now regret. 
#moleg #mogov #greitens #GreitensIndictment</t>
  </si>
  <si>
    <t>RT @JW1057: @APCentralRegion Regret is not force. Regret is not coercion. Regret is wishing you had made a different choice in the past.</t>
  </si>
  <si>
    <t>RT @JW1057: @DickieBigTime Regret is not force. Regret is not coercion. Regret is wishing YOU had made a different choice in the past.</t>
  </si>
  <si>
    <t>@APCentralRegion Regret is not force. Regret is not coercion. Regret is wishing you had made a different choice in the past.</t>
  </si>
  <si>
    <t>@DickieBigTime Regret is not force. Regret is not coercion. Regret is wishing YOU had made a different choice in the past.</t>
  </si>
  <si>
    <t>@stlouisbiz Support Gov. Eric Greitens by signing and sharing petition opposing impeachment and/or censure.  
https://t.co/zo2PsYxQ38</t>
  </si>
  <si>
    <t>@CBSThisMorning Support Gov. Eric Greitens by signing and sharing petition opposing impeachment and/or censure.  
https://t.co/zo2PsYxQ38</t>
  </si>
  <si>
    <t>@kevin_pritchett That is what she said, and there is no reason to protect her identity.</t>
  </si>
  <si>
    <t>@FoxNews Support Gov. Eric Greitens by signing and sharing petition opposing impeachment and/or censure.  
https://t.co/zo2PsYxQ38</t>
  </si>
  <si>
    <t>RT @Avenge_mypeople: When you lack morality, things like lying, cheating, even murder are irrelevant. A little ole coup against a governor…</t>
  </si>
  <si>
    <t>@dtwyman Just waiting on evidence!</t>
  </si>
  <si>
    <t>RT @JW1057: This is Katrina "Kitty" Sneed according to her she will give men oral sex to feel better about herself. Nothing wrong with that…</t>
  </si>
  <si>
    <t>This is Katrina "Kitty" Sneed according to her she will give men oral sex to feel better about herself. Nothing wrong with that, but take responsibility for it. 
#moleg #mogov #greitens #GreitensIndictment https://t.co/phqFnMIqqc</t>
  </si>
  <si>
    <t>@KPLR11 Support Gov. Eric Greitens by signing and sharing petition opposing impeachment and/or censure.  
https://t.co/zo2PsYxQ38
#moleg #mogov #greitens #GreitensIndictment</t>
  </si>
  <si>
    <t>RT @JW1057: @jmannies No expectation of privacy when you get naked in common area of another person's home. 
#moleg #mogov #greitens #Greit…</t>
  </si>
  <si>
    <t>@jmannies No expectation of privacy when you get naked in common area of another person's home. 
#moleg #mogov #greitens #GreitensIndictment</t>
  </si>
  <si>
    <t>RT @JW1057: @strmsptr @J_Hancock We got @EricGreitens back. Plus it seems from Facebook comments on KSDK page people are not believing Kitt…</t>
  </si>
  <si>
    <t>@strmsptr @J_Hancock We got @EricGreitens back. Plus it seems from Facebook comments on KSDK page people are not believing Kitty's story; the interview appears to have backfired.</t>
  </si>
  <si>
    <t>RT @strmsptr: @J_Hancock Not this time. #Greitens is a SEAL and will fight to the end. If the MO GOP loses seats this November over #LIHTC…</t>
  </si>
  <si>
    <t>RT @JW1057: @J_Hancock @EricGreitens Must be hard for @EricGreitens to hear such lies told about him. Kitty can't decide whether oral sex w…</t>
  </si>
  <si>
    <t>@J_Hancock @EricGreitens Must be hard for @EricGreitens to hear such lies told about him. Kitty can't decide whether oral sex was coerced. Admits she doesn't remember phone - to go along with other absent evidence. She admits it would have been okay if he loved her. Woman need psych help.</t>
  </si>
  <si>
    <t>RT @liberty1776son: @JW1057 @CaseyNolen @EricGreitens Let's face it, Katrina and Philip Snead aka @HereLiesMoon of the @rizzshow pimped  ou…</t>
  </si>
  <si>
    <t>RT @JW1057: @aaronronel @EricGreitens Must be hard for @EricGreitens to hear such lies told about him. Kitty can't decide whether oral sex…</t>
  </si>
  <si>
    <t>@aaronronel @EricGreitens Must be hard for @EricGreitens to hear such lies told about him. Kitty can't decide whether oral sex was coerced. Admits she doesn't remember phone - to go along with other absent evidence. She admits it would have been okay if he loved her. Woman need psych help.</t>
  </si>
  <si>
    <t>RT @sdieckhaus: The @CaseyNolen interview with KS was tough to watch.  Hearing the emotion in her voice and watching her wring her hands an…</t>
  </si>
  <si>
    <t>@sdieckhaus @CaseyNolen @EricGreitens Must be hard for @EricGreitens to hear such lies told about him. Kitty can't decide whether oral sex was coerced. Admits she doesn't remember phone - to go along with other absent evidence. She admits it would have been okay if he loved her. Woman need psych help.</t>
  </si>
  <si>
    <t>RT @sigi_hill: @ResignNowKim @VisioDeiFromLA @jrosenbaum @EricGreitens @ali @Neilin1Neil @CStamper_ @JohnLamping @jeanpetersbaker Sounds li…</t>
  </si>
  <si>
    <t>RT @Lautergeist: Not much of a case when your key witness says THIS:
#greitens https://t.co/s4YPjYwiGd</t>
  </si>
  <si>
    <t>RT @JW1057: @reneknottsports @CaseyNolen Yes. Must be hard for @EricGreitens to hear such lies told about him. Kitty can't decide whether o…</t>
  </si>
  <si>
    <t>@reneknottsports @CaseyNolen Yes. Must be hard for @EricGreitens to hear such lies told about him. Kitty can't decide whether oral sex was coerced. Admits she doesn't remember phone - to go along with other absent evidence. She admits it would have been okay if he loved her. Woman need psych help.</t>
  </si>
  <si>
    <t>RT @JW1057: @CaseyNolen Must be hard for @EricGreitens to hear such lies told about him. Kitty can't decide whether oral sex was coerced. A…</t>
  </si>
  <si>
    <t>@CaseyNolen Must be hard for @EricGreitens to hear such lies told about him. Kitty can't decide whether oral sex was coerced. Admits she doesn't remember phone - to go along with other absent evidence. She admits it would have been okay if he loved her. Woman need psych help.</t>
  </si>
  <si>
    <t>RT @JW1057: @RiverfrontTimes @jeanpetersbaker Already decided Kitty was a victim. No bias there. https://t.co/MSzi0hJA58</t>
  </si>
  <si>
    <t>@RiverfrontTimes @jeanpetersbaker Already decided Kitty was a victim. No bias there. https://t.co/MSzi0hJA58</t>
  </si>
  <si>
    <t>RT @JW1057: @RiverfrontTimes @jeanpetersbaker is the ethically challenged prosecutor who has already prejudged case. https://t.co/dxq945ecIZ</t>
  </si>
  <si>
    <t>@RiverfrontTimes @jeanpetersbaker is the ethically challenged prosecutor who has already prejudged case. https://t.co/dxq945ecIZ</t>
  </si>
  <si>
    <t>RT @JW1057: @971FMTalk @MarcCox971 Summary: Kitty hates the @EricGreitens for not leaving Sheena and making her the first lady. 
#moleg #mo…</t>
  </si>
  <si>
    <t>@971FMTalk @MarcCox971 Summary: Kitty hates the @EricGreitens for not leaving Sheena and making her the first lady. 
#moleg #mogov #greitens #GreitensIndictment</t>
  </si>
  <si>
    <t>@ksdknews Support Gov. Eric Greitens by signing and sharing petition opposing impeachment and/or censure.  
https://t.co/zo2PsYxQ38</t>
  </si>
  <si>
    <t>@shirataKRCG13 @KRCG13 Support Gov. Eric Greitens by signing and sharing petition opposing impeachment and/or censure.  
https://t.co/zo2PsYxQ38</t>
  </si>
  <si>
    <t>@brannumpants @ksdknews Here is link to interview. https://t.co/9w3JLAdtTl</t>
  </si>
  <si>
    <t>RT @Norasmith1000: @VisioDeiFromLA She said her memory of seeing a phone wasn't strong enough to actually testify to it?! If she told Gardn…</t>
  </si>
  <si>
    <t>RT @JW1057: @RealTravisCook @blackwidow07 @Markknight45 @magathemaga1 @VisioDeiFromLA @Avenge_mypeople @grcfay @EricGreitens @TeamGreitens…</t>
  </si>
  <si>
    <t>@RealTravisCook @blackwidow07 @Markknight45 @magathemaga1 @VisioDeiFromLA @Avenge_mypeople @grcfay @EricGreitens @TeamGreitens @Rep_TRichardson @joel_capizzi @RSF_LAW @SKOLBLUE1 @EdBigCon @Hope4Hopeless1 @strmsptr @Lautergeist @MOHouseGOP Let's not forget where Kitty basically said had Gov. Greitens left Sheena and made her first lady, it would have all been okay. 
#moleg #mogov #greitens #GreitensIndictment</t>
  </si>
  <si>
    <t>RT @RealTravisCook: I was just shocked that channel 5 actually mentioned the name Stacey Newman!  I'd have thought they would have stayed c…</t>
  </si>
  <si>
    <t>@ResethO @strmsptr Why blindfold her first? A blindfold conceals facial features so she would not be readily recognizable.</t>
  </si>
  <si>
    <t>RT @JW1057: @jrosenbaum @CaseyNolen So does @LaurenTrager.</t>
  </si>
  <si>
    <t>@jrosenbaum @CaseyNolen So does @LaurenTrager.</t>
  </si>
  <si>
    <t>RT @JW1057: @FriendsofDonna Support Gov. Eric Greitens by signing and sharing petition opposing impeachment and/or censure.  
https://t.co…</t>
  </si>
  <si>
    <t>@FriendsofDonna Support Gov. Eric Greitens by signing and sharing petition opposing impeachment and/or censure.  
https://t.co/zo2PsYxQ38</t>
  </si>
  <si>
    <t>@CaseyNolen Do you think a man who has taken a nonconsensual nude photo of you and sexually and physically abused you can be a good Governor? Kitty Sneed apparently believes that or it's further evidence of her lies. I think the latter. #greitens #KimShady #IStandWithGreitens #GreitensTrial https://t.co/3jMhottDqZ</t>
  </si>
  <si>
    <t>RT @JW1057: @magathemaga1 Just goes to show you even the media knows the truth - the real victim is @EricGreitens.</t>
  </si>
  <si>
    <t>@magathemaga1 Just goes to show you even the media knows the truth - the real victim is @EricGreitens.</t>
  </si>
  <si>
    <t>RT @JW1057: @ksdknews Still don't think this is political? Kitty runs around for months screaming privacy and then gives interview on eve o…</t>
  </si>
  <si>
    <t>@ksdknews Still don't think this is political? Kitty runs around for months screaming privacy and then gives interview on eve of impeachment proceedings. Hundreds of thousand of dollars being floated around. Nope no politics here. 
#moleg #mogov #greitens #KimShady #IStandWithGreitens</t>
  </si>
  <si>
    <t>RT @JW1057: @jdianeadams I think she forgot the word ALLEGED "criminal wrongdoing." That agains reflect bias on Baker's part. @jeanpetersba…</t>
  </si>
  <si>
    <t>@jdianeadams I think she forgot the word ALLEGED "criminal wrongdoing." That agains reflect bias on Baker's part. @jeanpetersbaker 
#moleg #mogov #greitens #GreitensIndictment</t>
  </si>
  <si>
    <t>RT @sigi_hill: House Reps are predicting these vicious crooks wont stop the Coup d'état. These Slimy, arrogant swamp creatures are now goin…</t>
  </si>
  <si>
    <t>RT @JW1057: @MattMackowiak @EricGreitens What evidence is there that Gov. Greitens has done anything wrong, aside from having an affair? No…</t>
  </si>
  <si>
    <t>@MattMackowiak @EricGreitens What evidence is there that Gov. Greitens has done anything wrong, aside from having an affair? None!</t>
  </si>
  <si>
    <t>@EricGreitens Support Gov. Eric Greitens by signing and sharing petition opposing impeachment and/or censure.  
https://t.co/zo2PsYxQ38</t>
  </si>
  <si>
    <t>RT @EricGreitens: An honor to be with families in Kingdom City to remember the service and sacrifice of fallen firefighters. https://t.co/4…</t>
  </si>
  <si>
    <t>@EricGreitens We have your back! Choosing special prosecutor who has already judged you guilty. Kitty giving interview on eve of start of special session. Yep, I hope Kitty is at least being paid well. @TeamGreitens 
Don't ever consider resigning!
#moleg #mogov #greitens #GreitensIndictment</t>
  </si>
  <si>
    <t>RT @JW1057: @BryanLowry3 You may want to read this article in your paper. Baker has prejudged the case and proved in accepting appointment…</t>
  </si>
  <si>
    <t>@BryanLowry3 You may want to read this article in your paper. Baker has prejudged the case and proved in accepting appointment she lacks ethics. @jeanpetersbaker 
https://t.co/Ns1fGGhbTr</t>
  </si>
  <si>
    <t>RT @ResignNowKim: @VisioDeiFromLA @jrosenbaum @EricGreitens @ali @Neilin1Neil @CStamper_ @JohnLamping @jeanpetersbaker #moleg #mogov #MOSEN…</t>
  </si>
  <si>
    <t>RT @JW1057: @phlchristo @rep_rusty Please oppose HR 2. @EricGreitens deserves meaningful due process before committee, including cross-exam…</t>
  </si>
  <si>
    <t>@phlchristo @rep_rusty Please oppose HR 2. @EricGreitens deserves meaningful due process before committee, including cross-examination and subpoena power.</t>
  </si>
  <si>
    <t>RT @ResignNowKim: @KMOV #BULLSHIT Name the damn legislators! Who were they?! WHAT DO YOU WANT TO BET ITS @jaybarnes5 AND @mikekehoe !!??!?…</t>
  </si>
  <si>
    <t>RT @JW1057: @jeanpetersbaker This is Katrina "Kitty" Sneed with her clothes on. I would show you a picture with her clothes off, but it doe…</t>
  </si>
  <si>
    <t>@jeanpetersbaker This is Katrina "Kitty" Sneed with her clothes on. I would show you a picture with her clothes off, but it doesn't exist. Sorry!
@stlcao @StLouisCityCA @SCRyanSTL 
#moleg #mogov #greitens #GreitensIndictment https://t.co/ssWagA9n7B</t>
  </si>
  <si>
    <t>RT @JW1057: @KMOV Support Gov. Eric Greitens by signing and sharing petition opposing impeachment and/or censure.  
I am sorry but it seem…</t>
  </si>
  <si>
    <t>RT @Str8DonLemon: #GREITENS CASE SP PREJUDGED CASE, MUST RECUSE!
Fact. She presumed guilt of @EricGreitens by calling accuser a "vicitm".…</t>
  </si>
  <si>
    <t>@KMOV Support Gov. Eric Greitens by signing and sharing petition opposing impeachment and/or censure.  
I am sorry but it seems it was Scott Faughn, Al Watkins, and Philip Sneed that were in the money. 
https://t.co/zo2PsYxQ38</t>
  </si>
  <si>
    <t>RT @ResignNowKim: @Avenge_mypeople That’s clear evidence of bias. How in the world can she possibly survive a defense motion for new prosec…</t>
  </si>
  <si>
    <t>RT @JW1057: @RSF_LAW https://t.co/smAzVecvr2</t>
  </si>
  <si>
    <t>@RSF_LAW https://t.co/smAzVecvr2</t>
  </si>
  <si>
    <t>RT @JW1057: @rebeccagberg I think they are confused it is anti-Greitens forces that are bribing people. See Al Watkins, Scott Faughn, and P…</t>
  </si>
  <si>
    <t>@rebeccagberg I think they are confused it is anti-Greitens forces that are bribing people. See Al Watkins, Scott Faughn, and Philip Sneed. 
#moleg #mogov #greitens #GreitensIndictment</t>
  </si>
  <si>
    <t>RT @Lautergeist: Oh Lort.  Another one.  
#HereWeGoAgainWithTheLies
#Greitens #GreitensTrial 
She's claiming RAPE when there isn't a vict…</t>
  </si>
  <si>
    <t>RT @JW1057: @lindsaywise @KCStar Yes, please tell us about @jeanpetersbaker lack of ethics. @Rep_TRichardson @StLCountyRepub 
https://t.co…</t>
  </si>
  <si>
    <t>@lindsaywise @KCStar Yes, please tell us about @jeanpetersbaker lack of ethics. @Rep_TRichardson @StLCountyRepub 
https://t.co/Ns1fGGhbTr
#moleg #mogov #greitens #GreitensIndictment https://t.co/Tm1fjyNX4C</t>
  </si>
  <si>
    <t>RT @JW1057: @stlpublicradio @jeanpetersbaker another ethically challenged MO prosecutor. Still say it isn't a witch hunt?
https://t.co/Ns1f…</t>
  </si>
  <si>
    <t>@stlpublicradio @jeanpetersbaker another ethically challenged MO prosecutor. Still say it isn't a witch hunt?
https://t.co/Ns1fGGhbTr https://t.co/zoBD0AThCR</t>
  </si>
  <si>
    <t>https://t.co/Mw4uwmglrM</t>
  </si>
  <si>
    <t>RT @JW1057: @jeanpetersbaker is ethically comprised by accepting this appointment. She has already determined that there is a "victim" and…</t>
  </si>
  <si>
    <t>@jeanpetersbaker is ethically comprised by accepting this appointment. She has already determined that there is a "victim" and thus @EricGreitens is guilty. @ws_missouri @jrosenbaum @joelcurrier @TeamGreitens 
#moleg #mogov #greitens #GreitensIndictment</t>
  </si>
  <si>
    <t>@jrosenbaum @jeanpetersbaker @EricGreitens Barker has prejudged she is unethical for accepting appointment. @StLouisCityCA 
https://t.co/Mw4uwmglrM
#moleg #mogov #greitens #GreitensIndictment</t>
  </si>
  <si>
    <t>@kmoxnews Support Gov. Eric Greitens by signing and sharing petition opposing impeachment and/or censure.  
https://t.co/zo2PsYxQ38</t>
  </si>
  <si>
    <t>@FOX2now Support Gov. Eric Greitens by signing and sharing petition opposing impeachment and/or censure.  
https://t.co/zo2PsYxQ38</t>
  </si>
  <si>
    <t>@RSF_LAW Support Gov. Eric Greitens by signing and sharing petition opposing impeachment and/or censure.  
https://t.co/zo2PsYxQ38</t>
  </si>
  <si>
    <t>@RSF_LAW The rest of St. Louis, particularly the innocent, would appreciate a similar order.</t>
  </si>
  <si>
    <t>RT @RSF_LAW: “...Gardner and her office ‘are prohibited from any further involvement in this matter except to serve as... https://t.co/8hyC…</t>
  </si>
  <si>
    <t>@tkinder @MissouriGOP @EricGreitens @GOP Support Gov. Eric Greitens by signing and sharing petition opposing impeachment and/or censure.  
https://t.co/zo2PsYxQ38</t>
  </si>
  <si>
    <t>RT @JW1057: @Claire_Kellett @stlcao @EricGreitens @KMOV @LaurenTrager The rest of St. Louis would really like a similar order against @stlc…</t>
  </si>
  <si>
    <t>@Claire_Kellett @stlcao @EricGreitens @KMOV @LaurenTrager The rest of St. Louis would really like a similar order against @stlcao , particularly the innocent. @SCRyanSTL.
#moleg #mogov #greitens #KimShady #IStandWithGreitens</t>
  </si>
  <si>
    <t>RT @Claire_Kellett: Judge decides @stlcao will be recused from any potential new Gov @EricGreitens invasion of privacy charge. @kmov @Laure…</t>
  </si>
  <si>
    <t>RT @AmyPears2545: @JW1057 @MissouriGOP @EricGreitens And this is the sentiment from most Missourians. It's almost as if the @MissouriGOP wa…</t>
  </si>
  <si>
    <t>RT @JW1057: @HawleyMO The are real consequence to your incompetence too LadderBoy. Perhaps, spend sometime with a law book instead of campa…</t>
  </si>
  <si>
    <t>@HawleyMO The are real consequence to your incompetence too LadderBoy. Perhaps, spend sometime with a law book instead of campaigning, stabbing friends in the back, and going to the gym.</t>
  </si>
  <si>
    <t>@NewsTribune @EricGreitens Support Gov. Eric Greitens by signing and sharing petition opposing impeachment and/or censure.  
https://t.co/zo2PsYxQ38</t>
  </si>
  <si>
    <t>@StateHouseRock Support Gov. Eric Greitens by signing and sharing petition opposing impeachment and/or censure.  
https://t.co/zo2PsYxQ38</t>
  </si>
  <si>
    <t>@semotimes @thisweekinmopol @rayhartmann @EricGreitens @spire_energy Support Gov. Eric Greitens by signing and sharing petition opposing impeachment and/or censure.  
https://t.co/zo2PsYxQ38</t>
  </si>
  <si>
    <t>RT @JW1057: @MissouriGOP If compelled to chose between @EricGreitens and the GOP, I will chose Gov. Greitens every time, the GOP better do…</t>
  </si>
  <si>
    <t>@MissouriGOP If compelled to chose between @EricGreitens and the GOP, I will chose Gov. Greitens every time, the GOP better do the same and let Reps. and Senators know they will lose support for attacking Gov. Greitens.</t>
  </si>
  <si>
    <t>@KCStar Support Gov. Eric Greitens by signing and sharing petition opposing impeachment and/or censure.  
https://t.co/zo2PsYxQ38</t>
  </si>
  <si>
    <t>RT @HotPokerPrinces: Oppose HR2, Allow #Greitens a fair defense &amp;amp; Due Process ! 
Please sign 
Todd Richardson: Missouri Representatives Opp…</t>
  </si>
  <si>
    <t>RT @JW1057: @SheenaGreitens @SaraForMissouri @KevinCorlew @Repmikekelley @DianeFranklinMO @RepBillLant @RepJimNeely @CornejoForMO @HannahKe…</t>
  </si>
  <si>
    <t>@SheenaGreitens @SaraForMissouri @KevinCorlew @Repmikekelley @DianeFranklinMO @RepBillLant @RepJimNeely @CornejoForMO @HannahKellyMO @RepLaurenArthur @hrehder @RepSonya131 @phlchristo @KenWilsonMO @CoraFaith4MO Support Gov. Eric Greitens by signing and sharing petition opposing impeachment and/or censure.  
https://t.co/zo2PsYxQ38</t>
  </si>
  <si>
    <t>@jeffroe Support Gov. Eric Greitens by signing and sharing petition opposing impeachment and/or censure.  
https://t.co/zo2PsYxQ38</t>
  </si>
  <si>
    <t>RT @sjBaldwin7: @HawleyMO Stabbed Governor @EricGreitens in the back, he failed but WE REMEMBER, and Missouri will not Vote for RINO Josh H…</t>
  </si>
  <si>
    <t>@TeamGreitens Support Gov. Eric Greitens by signing and sharing petition opposing impeachment and/or censure.  
https://t.co/zo2PsYxQ38</t>
  </si>
  <si>
    <t>RT @TeamGreitens: We hear Memphis is lovely this time of the year. https://t.co/YNsAHM59h9</t>
  </si>
  <si>
    <t>RT @jrosenbaum: I guess if Faughn won't come before the #moleg committee, the committee could always subpoena some of his sponsors. https:/…</t>
  </si>
  <si>
    <t>RT @James_Steiner_V: I fully support my Governor. Thank your Eric for supporting hard working Missouri citizens. https://t.co/zUk90nWSDC</t>
  </si>
  <si>
    <t>RT @AllenKranawett1: @CStamper_ Missouri governor will not be impeached</t>
  </si>
  <si>
    <t>@stlpolitics Support Gov. Eric Greitens by signing and sharing petition opposing impeachment and/or censure.  
https://t.co/zo2PsYxQ38</t>
  </si>
  <si>
    <t>Support Gov. Eric Greitens by signing and sharing petition opposing impeachment and/or censure.  
https://t.co/zo2PsYxQ38
 #BillboardMusicAwards2018</t>
  </si>
  <si>
    <t>RT @JW1057: @tkinder Support Gov. Eric Greitens by signing and sharing petition opposing impeachment and/or censure.  
https://t.co/zo2PsY…</t>
  </si>
  <si>
    <t>@tkinder Support Gov. Eric Greitens by signing and sharing petition opposing impeachment and/or censure.  
https://t.co/zo2PsYxQ38</t>
  </si>
  <si>
    <t>@LouDobbs @POTUS Support Gov. Eric Greitens by signing and sharing petition opposing impeachment and/or censure.  
https://t.co/zo2PsYxQ38</t>
  </si>
  <si>
    <t>RT @JW1057: Support Gov. Eric Greitens by signing and sharing petition opposing impeachment and/or censure.  
https://t.co/zo2PsYxQ38
#Bil…</t>
  </si>
  <si>
    <t>Support Gov. Eric Greitens by signing and sharing petition opposing impeachment and/or censure.  
https://t.co/zo2PsYxQ38
#BillboardMusicAwards2018</t>
  </si>
  <si>
    <t>RT @Lautergeist: .@KCStar is #FakeNews &amp;amp; their editorials are allegedly paid for by those are benefiting from the #MoTaxScam #greitens #MoG…</t>
  </si>
  <si>
    <t>@StLCountyRepub @jksbrunner Support Gov. Eric Greitens by signing and sharing these two petitions. 
(1) Oppose impeachment and/or censure.  
https://t.co/zo2PsYxQ38
(2) Oppose HR 2 that denies Gov. Greitens due process and basic fairness in House of Representatives. 
https://t.co/hq5z8J0UYu</t>
  </si>
  <si>
    <t>@stlouisbiz Support Gov. Eric Greitens by signing and sharing these two petitions. 
(1) Oppose impeachment and/or censure.  
https://t.co/zo2PsYxQ38
(2) Oppose HR 2 that denies Gov. Greitens due process and basic fairness in House of Representatives. 
https://t.co/hq5z8J0UYu</t>
  </si>
  <si>
    <t>RT @Neilin1Neil: What is the Parson promise? https://t.co/N3Faj641DS</t>
  </si>
  <si>
    <t>@nytdavidbrooks Support Gov. Eric Greitens by signing and sharing these two petitions. 
(1) Oppose impeachment and/or censure.  
https://t.co/zo2PsYxQ38
(2) Oppose HR 2 that denies Gov. Greitens due process and basic fairness in House of Representatives. 
https://t.co/hq5z8J0UYu</t>
  </si>
  <si>
    <t>RT @YearOfZero: I hear STERLING BANK is a great place to bank!
#MoLeg #MoGov #Greitens #Missouri #stlouis #MoSen https://t.co/7wkigEyvAC</t>
  </si>
  <si>
    <t>RT @blackwidow07: @ResignNowKim @jmannies @stlpublicradio @HafnerMO @RGreggKeller @scottfaughn @EdBigCon @EricGreitens @Avenge_mypeople @St…</t>
  </si>
  <si>
    <t>RT @ResignNowKim: @jmannies @stlpublicradio @HafnerMO (3) Hafner and @RGreggKeller both worked for Brunner. Both continue to support shithe…</t>
  </si>
  <si>
    <t>RT @dsm012: The latest The Missouri Senate (#MOSen) Daily! https://t.co/Dw9uay51zT #mosen #maga</t>
  </si>
  <si>
    <t>@philip_saulter @KCStar Correction computer tampering charge is pending. Invasion of privacy case tossed. Hawley's effort to get filing false document charge failed.</t>
  </si>
  <si>
    <t>RT @ericgraves50: I spoke with Gov. @EricGreitens about the ceremony. See what he had to say on @KOMUnews at 5, 9 and 10.</t>
  </si>
  <si>
    <t>RT @ericgraves50: After the ceremony the Governor took pictures and shook hands with fire fighters and their families. @KOMUnews https://t.…</t>
  </si>
  <si>
    <t>RT @JW1057: Support Gov. Eric Greitens by signing and sharing petitions. 
Oppose impeachment and/or censure.  
https://t.co/zo2PsYxQ38
#NR…</t>
  </si>
  <si>
    <t>Support Gov. Eric Greitens by signing and sharing petitions. 
Oppose impeachment and/or censure.  
https://t.co/zo2PsYxQ38
#NRA #NRAShow2018 #royal50 #pentecost #sundaymorning</t>
  </si>
  <si>
    <t>@TrumpetteJamie @realDonaldTrump @VP Support Gov. Eric Greitens by signing and sharing these two petitions. 
(1) Oppose impeachment and/or censure.  
https://t.co/zo2PsYxQ38
(2) Oppose HR 2 that denies Gov. Greitens due process and basic fairness in House of Representatives. 
https://t.co/hq5z8J0UYu</t>
  </si>
  <si>
    <t>RT @JW1057: @JackPosobiec Please sign and retweet asking followers to do same in support of @GovGreitensMO. 
(1) Oppose impeachment and/or…</t>
  </si>
  <si>
    <t>@JackPosobiec Please sign and retweet asking followers to do same in support of @GovGreitensMO. 
(1) Oppose impeachment and/or censure.  
https://t.co/zo2PsYxQ38
(2) Oppose HR 2 that denies Greitens due process and basic fairness in House. 
https://t.co/hq5z8J0UYu</t>
  </si>
  <si>
    <t>@rhondas_lil_sis @StLCountyRepub @BillEigel Support Gov. Eric Greitens by signing and sharing these two petitions. 
(1) Oppose impeachment and/or censure.  
https://t.co/zo2PsYxQ38
(2) Oppose HR 2 that denies Gov. Greitens due process and basic fairness in House of Representatives. 
https://t.co/hq5z8J0UYu</t>
  </si>
  <si>
    <t>@Monetti4Senate Support Gov. Eric Greitens by signing and sharing these two petitions. 
(1) Oppose impeachment and/or censure.  
https://t.co/zo2PsYxQ38
(2) Oppose HR 2 that denies Gov. Greitens due process and basic fairness in House of Representatives. 
https://t.co/hq5z8J0UYu</t>
  </si>
  <si>
    <t>@AnthemRespect @BreitbartNews Support Gov. Eric Greitens by signing and sharing these two petitions. 
(1) Oppose impeachment and/or censure.  
https://t.co/zo2PsYxQ38
(2) Oppose HR 2 that denies Gov. Greitens due process and basic fairness in House of Representatives. 
https://t.co/hq5z8J0UYu</t>
  </si>
  <si>
    <t>RT @MSTLGA: Mike Parsons works for Lobbyists , Not for People 
He’s a Good Ole Do Boy
He will Do the will of the Lobbyists &amp;amp; Speical Intere…</t>
  </si>
  <si>
    <t>RT @JW1057: @KCStar Support Gov. Eric Greitens by signing and sharing these two petitions. 
(1) Oppose impeachment and/or censure.  
https…</t>
  </si>
  <si>
    <t>@KCStar Support Gov. Eric Greitens by signing and sharing these two petitions. 
(1) Oppose impeachment and/or censure.  
https://t.co/zo2PsYxQ38
(2) Oppose HR 2 that denies Gov. Greitens due process and basic fairness in House of Representatives. 
https://t.co/hq5z8J0UYu</t>
  </si>
  <si>
    <t>RT @JW1057: @KCStar Let me see @EricGreitens should be impeached because of allegations that, as he said, are being proved false. Seriously?</t>
  </si>
  <si>
    <t>@KCStar Let me see @EricGreitens should be impeached because of allegations that, as he said, are being proved false. Seriously?</t>
  </si>
  <si>
    <t>RT @TrumpChess: When soros stooge #Kimshady gets removed as STL C.A. guess WHO gets to appoint her replacement.....thats right @GovGreitens…</t>
  </si>
  <si>
    <t>@realDonaldTrump Support Gov. Eric Greitens by signing and sharing these two petitions. 
(1) Oppose impeachment and/or censure.  
https://t.co/zo2PsYxQ38
(2) Oppose HR 2 that denies Gov. Greitens due process and basic fairness in House of Representatives. 
https://t.co/hq5z8J0UYu</t>
  </si>
  <si>
    <t>@FOX2now Support Gov. Eric Greitens by signing and sharing these two petitions. 
(1) Oppose impeachment and/or censure.  
https://t.co/zo2PsYxQ38
(2) Oppose HR 2 that denies Gov. Greitens due process and basic fairness in House of Representatives. 
https://t.co/hq5z8J0UYu</t>
  </si>
  <si>
    <t>@dbongino Support Gov. Eric Greitens by signing and sharing these two petitions. 
(1) Oppose impeachment and/or censure.  
https://t.co/zo2PsYxQ38
(2) Oppose HR 2 that denies Gov. Greitens due process and basic fairness in House of Representatives. 
https://t.co/hq5z8J0UYu</t>
  </si>
  <si>
    <t>RT @JW1057: @JohnLamping So @mikeparson and @Mikelkehoe are corrupt?</t>
  </si>
  <si>
    <t>@JohnLamping So @mikeparson and @Mikelkehoe are corrupt?</t>
  </si>
  <si>
    <t>RT @tkinder: If #moleg succeeds in throwing out Governor .@EricGreitens we can look forward to becoming like Illinois where we just toss ou…</t>
  </si>
  <si>
    <t>RT @ResignNowKim: #moleg : so word on the street is @mikeparson believes #THEFIXISIN and has started making plans for his time as governor-…</t>
  </si>
  <si>
    <t>RT @magathemaga1: @MattStoneABC @ABC For a person like me, I read over the released depositions and discovered that the witness was caught…</t>
  </si>
  <si>
    <t>RT @ResignNowKim: So @mikeparson , have you ever leveraged your political position for personal gain? There are rumors you had, as a senato…</t>
  </si>
  <si>
    <t>RT @sigi_hill: @JW1057 @mikeparson @Mikelkehoe @GovGreitensMO @EricGreitens @Mikelkehoe @jaybarnes5 know as 'absolute assholes' at #moleg</t>
  </si>
  <si>
    <t>RT @catdeeann: #IStandWithGreitens #ReadyforMonetti #NeverHawley #MAGAMissouri Politicians have no business judging Greitens https://t.co/9…</t>
  </si>
  <si>
    <t>RT @sigi_hill: Isn't that the truth!
Corrupt #moleg now making up their own rules/crimes - calling it fact finding - to impeach Governor @E…</t>
  </si>
  <si>
    <t>RT @JW1057: @Rep_TRichardson @mikeparson @Mikelkehoe https://t.co/sl9Pv5uk64</t>
  </si>
  <si>
    <t>@Rep_TRichardson @mikeparson @Mikelkehoe https://t.co/sl9Pv5uk64</t>
  </si>
  <si>
    <t>RT @JW1057: Of course, @Mikelkehoe likely won't be Lt. Gov. for long. Not if the reports about @mikeparson are true. Damn! Missouri may bur…</t>
  </si>
  <si>
    <t>Of course, @Mikelkehoe likely won't be Lt. Gov. for long. Not if the reports about @mikeparson are true. Damn! Missouri may burn through three governors in less than a year. #moleg #mogov #greitens #KimShady #IStandWithGreitens</t>
  </si>
  <si>
    <t>RT @JW1057: Hmm. Do you suppose @mikeparson will make @Mikelkehoe Lt. Gov. if the they succeed in impeaching/convicting @GovGreitensMO? Iro…</t>
  </si>
  <si>
    <t>Hmm. Do you suppose @mikeparson will make @Mikelkehoe Lt. Gov. if the they succeed in impeaching/convicting @GovGreitensMO? Ironic given what is in Kehoe's past. Will make @EricGreitens affair look like qualification for sainthood. #moleg #mogov #greitens #IStandWithGreitens</t>
  </si>
  <si>
    <t>@phlchristo @rep_rusty Support Gov. Eric Greitens by signing and sharing these two petitions. 
(1) Oppose impeachment and/or censure.  
https://t.co/zo2PsYxQ38
(2) Oppose HR 2 that denies Gov. Greitens due process and basic fairness in House of Representatives. 
https://t.co/hq5z8J0UYu</t>
  </si>
  <si>
    <t>@FoxNews @JudgeJeanine Support Gov. Eric Greitens by signing and sharing these two petitions. 
(1) Oppose impeachment and/or censure.  
https://t.co/zo2PsYxQ38
(2) Oppose HR 2 that denies Gov. Greitens due process and basic fairness in House of Representatives. 
https://t.co/hq5z8J0UYu</t>
  </si>
  <si>
    <t>@JaySekulow @ACLJ Support Gov. Eric Greitens by signing and sharing these two petitions. 
(1) Oppose impeachment and/or censure.  
https://t.co/zo2PsYxQ38
(2) Oppose HR 2 that denies Gov. Greitens due process and basic fairness in House of Representatives. 
https://t.co/hq5z8J0UYu</t>
  </si>
  <si>
    <t>RT @smart_hillbilly: @Neilin1Neil No he doesn't. #LadderBoy won't even campaign, little weasel is to busy pumping iron and selling out peop…</t>
  </si>
  <si>
    <t>@MORepSommer Support Gov. Eric Greitens by signing and sharing these two petitions. 
(1) Oppose impeachment and/or censure.  
https://t.co/zo2PsYxQ38
(2) Oppose HR 2 that denies Gov. Greitens due process and basic fairness in House of Representatives. 
https://t.co/hq5z8J0UYu</t>
  </si>
  <si>
    <t>@HotPokerPrinces Support Gov. Eric Greitens by signing and sharing these two petitions. 
(1) Oppose impeachment and/or censure.  
https://t.co/zo2PsYxQ38
(2) Oppose HR 2 that denies Gov. Greitens due process and basic fairness in House of Representatives. 
https://t.co/hq5z8J0UYu</t>
  </si>
  <si>
    <t>@EricGreitens Support Gov. Eric Greitens by signing and sharing these two petitions. 
(1) Oppose impeachment and/or censure.  
https://t.co/zo2PsYxQ38
(2) Oppose HR 2 that denies Gov. Greitens due process and basic fairness in House of Representatives. 
https://t.co/hq5z8J0UYu</t>
  </si>
  <si>
    <t>@EricGreitens @jortego Support Gov. Eric Greitens by signing and sharing these two petitions. 
(1) Oppose impeachment and/or censure.  
https://t.co/zo2PsYxQ38
(2) Oppose HR 2 that denies Gov. Greitens due process and basic fairness in House of Representatives. 
https://t.co/hq5z8J0UYu</t>
  </si>
  <si>
    <t>@Steffi_Cole @springfieldNL @HawleyMO @AP4Liberty Support Gov. Eric Greitens by signing and sharing these two petitions. 
(1) Oppose impeachment and/or censure.  
https://t.co/zo2PsYxQ38
(2) Oppose HR 2 that denies Gov. Greitens due process and basic fairness in House of Representatives. 
https://t.co/hq5z8J0UYu</t>
  </si>
  <si>
    <t>@Kathyswan147 @Rep_TRichardson @Kearneysup @PStieple @JohnJungmann @MissouriChamber @RyanCStauffer Support Gov. Eric Greitens by signing and sharing these two petitions. 
(1) Oppose impeachment and/or censure.  
https://t.co/zo2PsYxQ38
(2) Oppose HR 2 that denies Gov. Greitens due process and basic fairness in House of Representatives. 
https://t.co/hq5z8J0UYu</t>
  </si>
  <si>
    <t>RT @YearOfZero: Support Gov. Eric Greitens by signing and sharing these two petitions. 
(1) Oppose impeachment and/or censure.  
https://t…</t>
  </si>
  <si>
    <t>RT @sigi_hill: @JW1057 @Change Todd Richardson is a slimy greasy asshole. this will drip off of him. We tried to talk with him. chickenshit…</t>
  </si>
  <si>
    <t>RT @JW1057: @sigi_hill @Change Politicians like @Rep_TRichardson should be jailed for contempt of the people!</t>
  </si>
  <si>
    <t>@sigi_hill @Change Politicians like @Rep_TRichardson should be jailed for contempt of the people!</t>
  </si>
  <si>
    <t>@hrehder @raybozarth @MissouriGOP @RepJasonSmith Support Gov. Eric Greitens by signing and sharing these two petitions. 
(1) Oppose impeachment and/or censure.  
https://t.co/zo2PsYxQ38
(2) Oppose HR 2 that denies Gov. Greitens due process and basic fairness in House of Representatives. 
https://t.co/hq5z8J0UYu</t>
  </si>
  <si>
    <t>@KimStrassel Support Gov. Eric Greitens by signing and sharing these two petitions. 
(1) Oppose impeachment and/or censure.  
https://t.co/zo2PsYxQ38
(2) Oppose HR 2 that denies Gov. Greitens due process and basic fairness in House of Representatives. 
https://t.co/hq5z8J0UYu</t>
  </si>
  <si>
    <t>@FoxNews @JudgeJeanine @netanyahu Support Gov. Eric Greitens by signing and sharing these two petitions. 
(1) Oppose impeachment and/or censure.  
https://t.co/zo2PsYxQ38
(2) Oppose HR 2 that denies Gov. Greitens due process and basic fairness in House of Representatives. 
https://t.co/hq5z8J0UYu</t>
  </si>
  <si>
    <t>@VP Support Gov. Eric Greitens by signing and sharing these two petitions. 
(1) Oppose impeachment and/or censure.  
https://t.co/zo2PsYxQ38
(2) Oppose HR 2 that denies Gov. Greitens due process and basic fairness in House of Representatives. 
https://t.co/hq5z8J0UYu</t>
  </si>
  <si>
    <t>@DavidWohl Support Gov. Eric Greitens by signing and sharing these two petitions. 
(1) Oppose impeachment and/or censure.  
https://t.co/zo2PsYxQ38
(2) Oppose HR 2 that denies Gov. Greitens due process and basic fairness in House of Representatives. 
https://t.co/hq5z8J0UYu</t>
  </si>
  <si>
    <t>@AndrewCMcCarthy @NRO Support Gov. Eric Greitens by signing and sharing these two petitions. 
(1) Oppose impeachment and/or censure.  
https://t.co/zo2PsYxQ38
(2) Oppose HR 2 that denies Gov. Greitens due process and basic fairness in House of Representatives. 
https://t.co/hq5z8J0UYu</t>
  </si>
  <si>
    <t>RT @JW1057: @RealJamesWoods Support Gov. Eric Greitens by signing and sharing these two petitions. 
(1) Oppose impeachment and/or censure.…</t>
  </si>
  <si>
    <t>@RealJamesWoods Support Gov. Eric Greitens by signing and sharing these two petitions. 
(1) Oppose impeachment and/or censure.  
https://t.co/zo2PsYxQ38
(2) Oppose HR 2 that denies Gov. Greitens due process and basic fairness in House of Representatives. 
https://t.co/hq5z8J0UYu</t>
  </si>
  <si>
    <t>@realDonaldTrump Gov. Eric Greitens: This petition deals exclusively with HR 2 and the rules for the House going forward. Please sign and pass along. We only hav a few days to make our voices heard.
https://t.co/J505M1Rd2u</t>
  </si>
  <si>
    <t>@realDonaldTrump Gov. Eric Greitens: Sign petition in support and pass along link to petition.
https://t.co/k8iYXhjOl5</t>
  </si>
  <si>
    <t>@RealJamesWoods Gov. Eric Greitens: Sign petition in support and pass along link to petition.
https://t.co/k8iYXhjOl5</t>
  </si>
  <si>
    <t>@RealJamesWoods Gov. Eric Greitens: This petition deals exclusively with HR 2 and the rules for the House going forward. Please sign and pass along. We only hav a few days to make our voices heard.
https://t.co/J505M1Rd2u</t>
  </si>
  <si>
    <t>RT @JW1057: @Steffi_Cole @dsm012 @HoPiEb123 @StacyOnTheRight @stlteaparty 
Petition opposing impeachment/censure @GovGreitensMO. Please sig…</t>
  </si>
  <si>
    <t>RT @JW1057: @Steffi_Cole @dsm012 @HoPiEb123 @StacyOnTheRight @stlteaparty 
Petition opposing HR 2 and requesting due process for @GovGreite…</t>
  </si>
  <si>
    <t>@Steffi_Cole @dsm012 @HoPiEb123 @StacyOnTheRight @stlteaparty 
Petition opposing HR 2 and requesting due process for @GovGreitensMO. Please sign and retweet your followers to do the same.
https://t.co/yGuJa9sfWL</t>
  </si>
  <si>
    <t>@Steffi_Cole @dsm012 @HoPiEb123 @StacyOnTheRight @stlteaparty 
Petition opposing impeachment/censure @GovGreitensMO. Please sign and retweet your followers to do the same.
https://t.co/k8iYXhjOl5</t>
  </si>
  <si>
    <t>RT @VisioDeiFromLA: The two biggest problems with jay barnes motion is that it doesnt 1. Allow #Greitens team to cross examine witnesses.…</t>
  </si>
  <si>
    <t>@SarahPalinUSA Gov. Eric Greitens: Sign petition in support and pass along link to petition.
https://t.co/k8iYXhjOl5</t>
  </si>
  <si>
    <t>RT @JW1057: @RealTravisCook Gov. Greitens is innocent of the charge of "sleeping with an attractive woman." True Kitty is attractive but th…</t>
  </si>
  <si>
    <t>@RealTravisCook Gov. Greitens is innocent of the charge of "sleeping with an attractive woman." True Kitty is attractive but there doesn't appear to have been much "sleeping."</t>
  </si>
  <si>
    <t>RT @ResethO: @HennessySTL @AP4Liberty The difference is clear. https://t.co/1FqUDPsp4Q</t>
  </si>
  <si>
    <t>RT @KathleenMom4: @CStamper_ I’m not from Missouri but I would be so proud of your governor if I were. He is inspiring! Instead I am an Ore…</t>
  </si>
  <si>
    <t>@paulcurtman @Eric_Schmitt @Missourinet @hrehder 
#STLCards #StLouis #RoyalWedding #GOP #Republican #moleg #mogov</t>
  </si>
  <si>
    <t>Gov. Eric Greitens: This petition deals exclusively with HR 2 and the rules for the House going forward. Please sign and pass along. We only hav a few days to make our voices heard.
https://t.co/J505M1Rd2u</t>
  </si>
  <si>
    <t>RT @JW1057: This petition deals exclusively with HR 2 and rules going forward. We only have a couple days to make a difference, so please s…</t>
  </si>
  <si>
    <t>This petition deals exclusively with HR 2 and rules going forward. We only have a couple days to make a difference, so please spread quickly and widely. 
 https://t.co/ektRFNz5LS via @Change
#moleg #mogov #greitens #KimShady #IStandWithGreitens #GreitensTrial</t>
  </si>
  <si>
    <t>RT @JW1057: @kendylei So, Kim Gardner decided to ruin herself instead!
#moleg #mogov #greitens #KimShady #IStandWithGreitens</t>
  </si>
  <si>
    <t>RT @kendylei: Who could blame him if he did say that, when someone as corrupt as kim Gardner is trying to ruin your life and career no matt…</t>
  </si>
  <si>
    <t>@kendylei So, Kim Gardner decided to ruin herself instead!
#moleg #mogov #greitens #KimShady #IStandWithGreitens</t>
  </si>
  <si>
    <t>RT @Lautergeist: Whoa ... so someone DID misuse The Mission Continues donor list...
#Greitens political enemies used it to attack him!  Wh…</t>
  </si>
  <si>
    <t>RT @JW1057: @RSF_LAW Image that a prosecutor reviews the law and the evidence and conclude no probable cause. @stlcao please take those not…</t>
  </si>
  <si>
    <t>@RSF_LAW Image that a prosecutor reviews the law and the evidence and conclude no probable cause. @stlcao please take those notes that you failed to take in law school. #moleg #mogov #greitens #KimShady #IStandWithGreitens</t>
  </si>
  <si>
    <t>RT @tkinder: #moleg would rather blow up the state, set an impeachment precedent that converts Missouri into Illinois if only they can over…</t>
  </si>
  <si>
    <t>RT @RSF_LAW: Cole County prosecutor declines to pursue case against Greitens https://t.co/c0hsbxuGbj</t>
  </si>
  <si>
    <t>RT @SKOLBLUE1: Just like #TRUMP @chuckwoolery be an advocate for our Navy Seal Governor #Greitens ! Trying to #DrainTheSwamp but yet these…</t>
  </si>
  <si>
    <t>RT @catdeeann: @for_congress @Mizzourah_Mom The #MoLeg House special session was supposed to start at 6:30 pm today. It started late and la…</t>
  </si>
  <si>
    <t>RT @JW1057: @joel_capizzi Please sign petition in support of Gov. Greitens and retweet your followers to do the same. 
https://t.co/yyWvYW…</t>
  </si>
  <si>
    <t>@joel_capizzi Please sign petition in support of Gov. Greitens and retweet your followers to do the same. 
https://t.co/yyWvYWtJUV</t>
  </si>
  <si>
    <t>RT @PamelaS49806175: @FOX2now I'm not a fan of Greitens, but I'm beginning to be even LESS a fan of Hawley! He's striking me as a media who…</t>
  </si>
  <si>
    <t>RT @JCunninghamMO: Why?  After two prosecutors dropped their cases for lack of evidence, moving forward by the legislature on @EricGreitens…</t>
  </si>
  <si>
    <t>RT @catdeeann: Great news!
#MoLeg
#IStandWithGreitens https://t.co/OES8HVxG0o</t>
  </si>
  <si>
    <t>RT @JCunninghamMO: After two prosecutors dropped their cases, moving forward against @EricGreitens looks suspect and not like justice. #mol…</t>
  </si>
  <si>
    <t>RT @JW1057: @ws_missouri @EricGreitens @rossgarber @gcmitts @jeanielauer @shawnrhoads154 @TommiePierson @curtisdtrent @gregrazer @Rep_TRich…</t>
  </si>
  <si>
    <t>@ws_missouri @EricGreitens @rossgarber @gcmitts @jeanielauer @shawnrhoads154 @TommiePierson @curtisdtrent @gregrazer @Rep_TRichardson @RonFRichard @
Please forward to Jay Barnes the coward can't handle the truth. Lawsuit may be forth coming!</t>
  </si>
  <si>
    <t>RT @JW1057: @ws_missouri @EricGreitens Barnes' Star Chamber 2. I'd tell Greitens he'll never get fair hearing before committee. His attorne…</t>
  </si>
  <si>
    <t>@ws_missouri @EricGreitens Barnes' Star Chamber 2. I'd tell Greitens he'll never get fair hearing before committee. His attorneys should prepare their own report, including as exhibits docs from criminal case. Release report publicly so reps. can read it. If it goes to commission testify then. @rossgarber</t>
  </si>
  <si>
    <t>RT @HennessySTL: Bite me, Josh Hawley. Bite me.</t>
  </si>
  <si>
    <t>RT @KRCG13: UPDATED: Governor's office issued a statement defending their right to hire counsel to defend its interests in any purported im…</t>
  </si>
  <si>
    <t>RT @JW1057: @GarrettKRCG13 What actions are those? Seems more like unsubstantiated speculation, a corrupt prosecutor who brings charges wit…</t>
  </si>
  <si>
    <t>@GarrettKRCG13 What actions are those? Seems more like unsubstantiated speculation, a corrupt prosecutor who brings charges without evidence and engages in perjury, and Jay Barnes who running his own Star Chamber.</t>
  </si>
  <si>
    <t>RT @magathemaga1: #mosen 
@AP4Liberty @Steffi_Cole @AvrilMai91 @FN4AP https://t.co/WawN3VuC8R</t>
  </si>
  <si>
    <t>RT @JW1057: @magathemaga1 Yes, because you know how difficult is to find publicly available contact info for "billion dollar foundations."</t>
  </si>
  <si>
    <t>RT @JW1057: @Rep_TRichardson We support @GovGreitensMO. 
https://t.co/yyWvYWtJUV</t>
  </si>
  <si>
    <t>@Rep_TRichardson We support @GovGreitensMO. 
https://t.co/yyWvYWtJUV</t>
  </si>
  <si>
    <t>@magathemaga1 Yes, because you know how difficult is to find publicly available contact info for "billion dollar foundations."</t>
  </si>
  <si>
    <t>RT @melody_grover: Those pushing impeachment are trying to oust #mogov over unproven allegations of "moral turpitude" and for calling his f…</t>
  </si>
  <si>
    <t>RT @JW1057: @melody_grover @jaybarnes5 In fairness, Barnes (who has blocked me) is not trying to run a circus but is recreating the Star Ch…</t>
  </si>
  <si>
    <t>@melody_grover @jaybarnes5 In fairness, Barnes (who has blocked me) is not trying to run a circus but is recreating the Star Chamber.</t>
  </si>
  <si>
    <t>RT @melody_grover: Someone call Ringling Brothers, because PT Barnum wants his circus back from @jaybarnes5. Somehow #moleg has managed to…</t>
  </si>
  <si>
    <t>RT @tseidenstricker: Great meeting with Governor @EricGreitens at the Governors Mansion. He spoke on Missouri agriculture and farming which…</t>
  </si>
  <si>
    <t>RT @JW1057: Why just because LatterBoy called on @GovGreitensMO to resign or be impeached and otherwise basically convicted him you think t…</t>
  </si>
  <si>
    <t>Why just because LatterBoy called on @GovGreitensMO to resign or be impeached and otherwise basically convicted him you think that is a conflict? https://t.co/5UPwN4Ff5U</t>
  </si>
  <si>
    <t>RT @JW1057: @ResignNowKim @J_Hancock @AGJoshHawley @EricGreitens Also, would be kind of awkward since LadderBoy already called on Greitens…</t>
  </si>
  <si>
    <t>@ResignNowKim @J_Hancock @AGJoshHawley @EricGreitens Also, would be kind of awkward since LadderBoy already called on Greitens to resign or be impeached and basically convicted him. Thinking there could be a conflict of interest somewhere there!</t>
  </si>
  <si>
    <t>RT @ResignNowKim: @J_Hancock @AGJoshHawley @EricGreitens The governor is the head of the executive branch.  I see nothing in the Missouri c…</t>
  </si>
  <si>
    <t>RT @SheenaGreitens: The legislation aligns foster children's medical care with the schedule recommended by @AmerAcadPeds so that they get m…</t>
  </si>
  <si>
    <t>RT @SheenaGreitens: It makes permanent a new policy that foster kids will no longer be charged to get usable copies of their own birth cert…</t>
  </si>
  <si>
    <t>@JohnLamping Aren't they going home after tonight until after Memorial Day? They will have to face the people!</t>
  </si>
  <si>
    <t>RT @SheenaGreitens: Every Missouri child should be in a safe, stable, loving home. Provisions in SB819 &amp;amp; SB800 protect kids from abuse/negl…</t>
  </si>
  <si>
    <t>@SheenaGreitens 
https://t.co/k8iYXhjOl5</t>
  </si>
  <si>
    <t>RT @SheenaGreitens: Delighted to see the Missouri General Assembly pass both #SB819 and #SB800! We worked hard last year to develop many of…</t>
  </si>
  <si>
    <t>RT @magathemaga1: Looks like #LadderBoy is Plan C for the COUP attempt 
Waste money on an indictment without evidence? Why isnt he prosecu…</t>
  </si>
  <si>
    <t>RT @Str8DonLemon: INNOCENT MAN FIGHTS BACK
#Missouri Coup is on!
Are U against:
✔Witch Hunts?
✔Prosecutorial Misconduct?
✔Undoing electi…</t>
  </si>
  <si>
    <t>RT @RealTravisCook: Time to go on the offensive, people!  #Greitens #Missouri #WitchHunt https://t.co/EYczONZJYG</t>
  </si>
  <si>
    <t>RT @magathemaga1: Hi
Curious about the #MoLeg star chamber is that they don't seem interested at all in interviewing The West Butler Count…</t>
  </si>
  <si>
    <t>RT @JW1057: @SarahPalinUSA @michellemalkin Please sign and retweet this petition in support of @GovGreitensMO. He is victim of a witch hunt…</t>
  </si>
  <si>
    <t>@SarahPalinUSA @michellemalkin Please sign and retweet this petition in support of @GovGreitensMO. He is victim of a witch hunt led by Kim Gardner the corrupt CAO of St. Louis. We must defend him!
https://t.co/yyWvYWtJUV</t>
  </si>
  <si>
    <t>RT @Mizzourah_Mom: @FOX2now She knew she would ruin herself if she had to testify, so she dropped the charges. She brought this on herself…</t>
  </si>
  <si>
    <t>@Neilin1Neil @KathieConway @EricGreitens @RealTravisCook @YearOfZero @Sticknstones4 @inthejungle234 @Norasmith1000 @liberty1776son @VisioDeiFromLA @DeplorableGoldn @Boothe08887997 @blackwidow07 @edemery Correction: There were never any charges to "drop[]."</t>
  </si>
  <si>
    <t>RT @JCunninghamMO: This decision is significant in bringing closure to the @EricGreitens investigations.  https://t.co/gBdo7vErBy</t>
  </si>
  <si>
    <t>RT @JW1057: @JCunninghamMO Please sign petition in retweet followers to do the same in support of @GovGreitensMO. 
https://t.co/yyWvYWtJUV</t>
  </si>
  <si>
    <t>RT @JW1057: @J_Hancock @AGJoshHawley @EricGreitens @HawleyMO it only comes a surprise it took about a month for Richardson to conclude ther…</t>
  </si>
  <si>
    <t>@J_Hancock @AGJoshHawley @EricGreitens @HawleyMO it only comes a surprise it took about a month for Richardson to conclude there was no probable cause. It took me about two hours to conclude the same a month ago. You should spend less time in gym and more with the law books and evidence!</t>
  </si>
  <si>
    <t>@JCunninghamMO Please sign petition in retweet followers to do the same in support of @GovGreitensMO. 
https://t.co/yyWvYWtJUV</t>
  </si>
  <si>
    <t>@BillOReilly Please sign and retweet your followers to sign petition in support of @GovGreitensMO. Jefferson City has an ongoing witch hunt problem. We must defend Gov. Greitens. 
https://t.co/yyWvYWtJUV</t>
  </si>
  <si>
    <t>RT @magathemaga1: You dont press charges when you dont have evidence unless your #KimShady 
#moleg #mogov #greitens https://t.co/uEF20dLyGN</t>
  </si>
  <si>
    <t>RT @magathemaga1: Hey @GailBeatty it's called lack of evidence.
But we do have evidence that Stacey Newman colluded with Kim Gardner and "…</t>
  </si>
  <si>
    <t>RT @JW1057: @MOHouseGOP @StLCountyRepub @MoGov Please sign and retweet in support of @GovGreitensMO. 
https://t.co/yyWvYWtJUV
#FridayFeel…</t>
  </si>
  <si>
    <t>@MOHouseGOP @StLCountyRepub @MoGov Please sign and retweet in support of @GovGreitensMO. 
https://t.co/yyWvYWtJUV
#FridayFeeling #TeaParty #JordanPeterson #BikeToWorkDay #greitensreport #WitchHunt #Navy #RoyalWedding2018</t>
  </si>
  <si>
    <t>RT @JW1057: @JohnLamping Sign petition and support @GovGreitensMO.
https://t.co/k8iYXhjOl5</t>
  </si>
  <si>
    <t>@JohnLamping Sign petition and support @GovGreitensMO.
https://t.co/k8iYXhjOl5</t>
  </si>
  <si>
    <t>RT @CStamper_: The words of a voter: “Guilty in the court of public opinion isn’t what we as Missourians should base our verdict on. Let th…</t>
  </si>
  <si>
    <t>RT @JohnLamping: Cole County prosecutor declines to pursue case against Greitens....because there is no case.  https://t.co/xGqAulT15s</t>
  </si>
  <si>
    <t>RT @chasbottom: #StLouis Prosecutor Kim Gardner wastes little time playing the race card: Greitens' lawyers threatened to 'ruin' her becaus…</t>
  </si>
  <si>
    <t>RT @JW1057: @KCStar Evidence to support conviction of protestors. No evidence to support conviction of Greitens for alleged false statement…</t>
  </si>
  <si>
    <t>RT @JW1057: @J_Hancock @GailBeatty Evidence to support conviction of protestors. No evidence to support conviction of Greitens for alleged…</t>
  </si>
  <si>
    <t>@J_Hancock @GailBeatty Evidence to support conviction of protestors. No evidence to support conviction of Greitens for alleged false statement. Frankly, when @HawleyMO first made the allegation within an hour or two I concluded it was baseless.</t>
  </si>
  <si>
    <t>@KCStar Evidence to support conviction of protestors. No evidence to support conviction of Greitens for alleged false statement. Frankly, when @HawleyMO first made the allegation within an hour or two I concluded it was baseless.</t>
  </si>
  <si>
    <t>RT @JW1057: @AntonioSabatoJr Please sign petition in support of @GovGreitensMO and retweet asking your followers to sign. Thank you. 
http…</t>
  </si>
  <si>
    <t>@AntonioSabatoJr Please sign petition in support of @GovGreitensMO and retweet asking your followers to sign. Thank you. 
https://t.co/k8iYXhjOl5</t>
  </si>
  <si>
    <t>RT @JW1057: @catdeeann Please sign petition in support of @GovGreitensMO and ask your followers to do the same. 
https://t.co/k8iYXhjOl5</t>
  </si>
  <si>
    <t>@catdeeann Please sign petition in support of @GovGreitensMO and ask your followers to do the same. 
https://t.co/k8iYXhjOl5</t>
  </si>
  <si>
    <t>RT @JCunninghamMO: #MOLeg beware. This letter writer expresses what a lot of your base strongly think.  https://t.co/ReVLsgmItg</t>
  </si>
  <si>
    <t>RT @blackwidow07: @JW1057 @ResignNowKim @KRCG13 @EricGreitens @AGJoshHawley @HawleyMO @EdBigCon @HennessySTL @Avenge_mypeople @Norasmith100…</t>
  </si>
  <si>
    <t>RT @KRCG13: The faxed statement from Cole County prosecutor Mark Richardson regarding information provided by @AGJoshHawley’s office on Gov…</t>
  </si>
  <si>
    <t>RT @JW1057: @ResignNowKim @KRCG13 @EricGreitens @AGJoshHawley @HawleyMO @EdBigCon @HennessySTL @Avenge_mypeople @blackwidow07 @Norasmith100…</t>
  </si>
  <si>
    <t>@ResignNowKim @KRCG13 @EricGreitens @AGJoshHawley @HawleyMO @EdBigCon @HennessySTL @Avenge_mypeople @blackwidow07 @Norasmith1000 @HotPokerPrinces @RiverfrontTimes @AP4Liberty I suspect LatterBoy might enjoy that too much.</t>
  </si>
  <si>
    <t>RT @ResignNowKim: @KRCG13 @EricGreitens @AGJoshHawley Hey @HawleyMO : GO FUCK YOURSELF!!!! AHAHHAHAHAHAHAHAAHA.  You backstabbing piece of…</t>
  </si>
  <si>
    <t>@SykesforSenate @GovGreitensMO Thank you.</t>
  </si>
  <si>
    <t>RT @SykesforSenate: @JW1057 @GovGreitensMO Signed and posted.</t>
  </si>
  <si>
    <t>RT @JW1057: @ScottPresler Please sign and ask your followers to sign petition in support of @GovGreitensMO. He is victim of a witch hunt ju…</t>
  </si>
  <si>
    <t>@ScottPresler Please sign and ask your followers to sign petition in support of @GovGreitensMO. He is victim of a witch hunt just like @realDonaldTrump. 
https://t.co/k8iYXhjOl5</t>
  </si>
  <si>
    <t>RT @JW1057: @jallman971 Please sign and retweet support for petition in support of @GovGreitensMO. 
https://t.co/k8iYXhjOl5</t>
  </si>
  <si>
    <t>@jallman971 Please sign and retweet support for petition in support of @GovGreitensMO. 
https://t.co/k8iYXhjOl5</t>
  </si>
  <si>
    <t>RT @JW1057: @SykesforSenate Please sign and retweet petition in support of @GovGreitensMO.
https://t.co/k8iYXhjOl5</t>
  </si>
  <si>
    <t>@SykesforSenate Please sign and retweet petition in support of @GovGreitensMO.
https://t.co/k8iYXhjOl5</t>
  </si>
  <si>
    <t>RT @JW1057: @stltoday Why is it so many assume that a woman must share her husband's opinions? People who believe that are really saying we…</t>
  </si>
  <si>
    <t>@stltoday Why is it so many assume that a woman must share her husband's opinions? People who believe that are really saying we don't believe that a woman is capable of independent thought of her husband. That is sexist. @SheenaGreitens @EricGreitens</t>
  </si>
  <si>
    <t>RT @HotPokerPrinces: Why does Jay Barnes &amp;amp; Todd Richardson spend so much money on Fake new subscriptions by a supoena evader ?
#Missouricr…</t>
  </si>
  <si>
    <t>RT @Norasmith1000: @BryanLowry3 I doubt Gardner turned over all of the investigative materials, she most likely "forgot" evidence that woul…</t>
  </si>
  <si>
    <t>RT @JW1057: @SKOLBLUE1 @KMOV @stlcao @Justin_EAndrews What interview are you referring to?</t>
  </si>
  <si>
    <t>@SKOLBLUE1 @KMOV @stlcao @Justin_EAndrews What interview are you referring to?</t>
  </si>
  <si>
    <t>RT @Neilin1Neil: Missouri Governor. Underestimated! And, he is not going anywhere! @KathieConway @EricGreitens @RealTravisCook @YearOfZero…</t>
  </si>
  <si>
    <t>RT @Blackboxhalo: @tonymess @EricGreitens Why did Local media use dark money cash to buy the KS/PS story?</t>
  </si>
  <si>
    <t>RT @Neilin1Neil: JohnBrunner Team using the Mission Continues list of donors.Remember ScottDeickhaus the Greitens hater from facebook?Is co…</t>
  </si>
  <si>
    <t>RT @Neilin1Neil: Makes one wonder how many reps hate Greitens because he didNOTappoint them to high paying state jobs? Bet ya plenty @Kathi…</t>
  </si>
  <si>
    <t>RT @JW1057: @henryle74 @RightSideUp313 @MissouriGOP @GovGreitensMO Some of us care about evidence.</t>
  </si>
  <si>
    <t>@henryle74 @RightSideUp313 @MissouriGOP @GovGreitensMO Some of us care about evidence.</t>
  </si>
  <si>
    <t>RT @JW1057: Sign petition to support @GovGreitensMO.   
https://t.co/k8iYXhjOl5
#Missouri #STLCards #StLouis #DonaldJTrump #MAGA #MAGA201…</t>
  </si>
  <si>
    <t>Sign petition to support @GovGreitensMO.   
https://t.co/k8iYXhjOl5
#Missouri #STLCards #StLouis #DonaldJTrump #MAGA #MAGA2018 #TeaParty #Republicans #GOP</t>
  </si>
  <si>
    <t>RT @daisydorie: Congrats to our first family of Missouri. Let's keep making Missouri a great state. @EricGreitens  #Greitens 
          nev…</t>
  </si>
  <si>
    <t>RT @betsy_mess: I hear this greitens investigation is a Mueller type witch hunt @RoyBlunt https://t.co/r4XZxFTMrN</t>
  </si>
  <si>
    <t>RT @JW1057: @AP4Liberty Sign and retweet in support of @GovGreitensMO.
https://t.co/k8iYXhjOl5</t>
  </si>
  <si>
    <t>@AP4Liberty Sign and retweet in support of @GovGreitensMO.
https://t.co/k8iYXhjOl5</t>
  </si>
  <si>
    <t>RT @MSTLGA: #donnybrookstl.
Fun facts taxpayers will be paying liar William Tisabys attorney’s fee
Why did tax payers pay for Ronald Sulli…</t>
  </si>
  <si>
    <t>RT @mopns: Connects the Dots: Conspiracy Against Governor Coming Into Focus Part 2 https://t.co/2IWNlGazrx</t>
  </si>
  <si>
    <t>RT @philip_saulter: @ResignNowKim Agreed, thankfully we seem to be in an era where back door politics comes to light more often than ever b…</t>
  </si>
  <si>
    <t>RT @JW1057: @FOX2now I think Kim Gardner accomplished that all on her own.</t>
  </si>
  <si>
    <t>@FOX2now I think Kim Gardner accomplished that all on her own.</t>
  </si>
  <si>
    <t>RT @HorwitzKelly: @CStamper_ Keep on sharing Chris!!  Gov. Greitens is the best thing that has happened to Missouri in a long time!!  He ha…</t>
  </si>
  <si>
    <t>@TWhorl14 @FOX2now @EricGreitens Now, if you only had evidence to support your claims.</t>
  </si>
  <si>
    <t>RT @KRCG13: Greitens campaign: Charity donor list of The Mission Continues was used by an anti-Greitens organization. #MoGov #moleg https:/…</t>
  </si>
  <si>
    <t>RT @JW1057: @chuckwoolery Please sign and retweet this petition in support of @GovGreitensMO. He is being attacked for his efforts to drain…</t>
  </si>
  <si>
    <t>@chuckwoolery Please sign and retweet this petition in support of @GovGreitensMO. He is being attacked for his efforts to drain the Jefferson City swamp. 
https://t.co/k8iYXhjOl5</t>
  </si>
  <si>
    <t>@BryanLowry3 Credibility of witnesses? Is Al Watkins actually an attorney?</t>
  </si>
  <si>
    <t>RT @JW1057: @JohnLamping Working to distribute this petition far and wide. Please sign and spread this petition in support of @GovGreitensM…</t>
  </si>
  <si>
    <t>@JohnLamping Working to distribute this petition far and wide. Please sign and spread this petition in support of @GovGreitensMO. 
https://t.co/k8iYXhjOl5</t>
  </si>
  <si>
    <t>RT @JW1057: @AnnCoulter @IngrahamAngle @BreitbartNews @BreitbartVideo They are going after @GovGreitensMO with false charges. Please sign p…</t>
  </si>
  <si>
    <t>@AnnCoulter @IngrahamAngle @BreitbartNews @BreitbartVideo They are going after @GovGreitensMO with false charges. Please sign petition and retweet supporters. 
https://t.co/k8iYXhjOl5</t>
  </si>
  <si>
    <t>RT @SKOLBLUE1: @KMOV Why would he quit? Case was dismissed. #Kimshady is under the gun now! @stlcao needs to be investigated and @Justin_EA…</t>
  </si>
  <si>
    <t>RT @JW1057: @MarkReardonKMOX @SpeakerTimJones Sign and retweet in support of @GovGreitensMO. 
https://t.co/k8iYXhjOl5</t>
  </si>
  <si>
    <t>@MarkReardonKMOX @SpeakerTimJones Sign and retweet in support of @GovGreitensMO. 
https://t.co/k8iYXhjOl5</t>
  </si>
  <si>
    <t>RT @JW1057: @ScottBaio Please sign and retweet in support of @GovGreitensMO. He is under attack for trying to drain Jefferson City swamp. H…</t>
  </si>
  <si>
    <t>@ScottBaio Please sign and retweet in support of @GovGreitensMO. He is under attack for trying to drain Jefferson City swamp. He had an affair that he regrets and political enemies trying to turn it into sexual assault. 
https://t.co/k8iYXhjOl5</t>
  </si>
  <si>
    <t>RT @Str8DonLemon: @EricGreitens "Forgotten Man" speech.
What's great about this speech besides it being moving is he calls out why #MoLeg…</t>
  </si>
  <si>
    <t>RT @JW1057: @realDonaldTrump please retweet and ask your supporters to sign this petition in support of @GovGreitensMO. He is subject to a…</t>
  </si>
  <si>
    <t>@realDonaldTrump please retweet and ask your supporters to sign this petition in support of @GovGreitensMO. He is subject to a witch hunt just like you. We must defend him! 
https://t.co/k8iYXhjOl5
#MAGA #MAGA2018</t>
  </si>
  <si>
    <t>RT @JW1057: @AbbyLlorico @stlcao @CaseyNolen That is the kind of statement that every attorney dreams a judge will one day feel the need to…</t>
  </si>
  <si>
    <t>@AbbyLlorico @stlcao @CaseyNolen That is the kind of statement that every attorney dreams a judge will one day feel the need to say to him or her. Not!</t>
  </si>
  <si>
    <t>RT @JW1057: @MissouriGOP 
Please sign and ask your followers to do so as well. This is baseless attack upon @GovGreitensMO  and we must fi…</t>
  </si>
  <si>
    <t>@MissouriGOP 
Please sign and ask your followers to do so as well. This is baseless attack upon @GovGreitensMO  and we must fight for him. 
https://t.co/k8iYXhjOl5
#moleg #mogov #greitens #KimShady #IStandWithGreitens</t>
  </si>
  <si>
    <t>RT @JW1057: @RealJamesWoods @seanhannity @RoyBlunt @MarkReardonKMOX 
Please sign and ask your followers to do so as well. This is baseless…</t>
  </si>
  <si>
    <t>@RealJamesWoods @seanhannity @RoyBlunt @MarkReardonKMOX 
Please sign and ask your followers to do so as well. This is baseless attack upon @GovGreitensMO  and we must fight for him. 
https://t.co/k8iYXhjOl5
#moleg #mogov #greitens #KimShady #IStandWithGreitens</t>
  </si>
  <si>
    <t>RT @JW1057: @HennessySTL Sign to support @GovGreitensMO. 
https://t.co/k8iYXhjOl5</t>
  </si>
  <si>
    <t>@HennessySTL Sign to support @GovGreitensMO. 
https://t.co/k8iYXhjOl5</t>
  </si>
  <si>
    <t>RT @JW1057: @gatewaypundit 
Sign to show your support for @EricGreitens.
https://t.co/pvz0Yr5WGm</t>
  </si>
  <si>
    <t>@gatewaypundit 
Sign to show your support for @EricGreitens.
https://t.co/pvz0Yr5WGm</t>
  </si>
  <si>
    <t>RT @JW1057: Sign the Petition https://t.co/VTZTu64g7D via @Change</t>
  </si>
  <si>
    <t>Sign the Petition https://t.co/VTZTu64g7D via @Change</t>
  </si>
  <si>
    <t>@Str8DonLemon @rxpatrick @joelcurrier @ws_missouri I heard a rumor that Watkins may lie from time to time!</t>
  </si>
  <si>
    <t>RT @JW1057: @rxpatrick @joelcurrier @ws_missouri Interesting that Watkins claims to have received cash on 1/8/18. That is the very same day…</t>
  </si>
  <si>
    <t>@rxpatrick @joelcurrier @ws_missouri Interesting that Watkins claims to have received cash on 1/8/18. That is the very same day that the audio recording was transcribed. Coincidence? #moleg #mogov #greitens #KimShady #IStandWithGreitens https://t.co/hP91QGFrHa</t>
  </si>
  <si>
    <t>RT @Mizzourah_Mom: Finally! There is a reporter who is not afraid to do some real investigative work and lay out the real players in the #G…</t>
  </si>
  <si>
    <t>RT @blackwidow07: @YearOfZero @BobOnderMO @EricGreitens @KevinCorlew @BooneCoMOGOP @paulcurtman Did Jeff Smith ask a person that worked on…</t>
  </si>
  <si>
    <t>RT @RealTravisCook: @1057thePoint The charges against Governor #Greitens have been dismissed, so why haven't you fired Phil Sneed for makin…</t>
  </si>
  <si>
    <t>RT @JW1057: @paul_pitlyk @MattStoneABC @ABC Actually, Watkins had 15 days to file Form 8300. 
https://t.co/Te9ZzGZyW3 https://t.co/BEnYRZ9O…</t>
  </si>
  <si>
    <t>@paul_pitlyk @MattStoneABC @ABC Actually, Watkins had 15 days to file Form 8300. 
https://t.co/Te9ZzGZyW3 https://t.co/BEnYRZ9OBk</t>
  </si>
  <si>
    <t>RT @HennessySTL: This is the story of Greasy Jay Barnes. As a freshman Missouri Rep, Barnes said he wanted nothing to do with the Tea Party…</t>
  </si>
  <si>
    <t>RT @JohnLamping: Yes, they all know that and that's why the strategy has always been to get Eric to resign. They have as much to lose if it…</t>
  </si>
  <si>
    <t>RT @MariaChappelleN: .@mattdpearce continues to delve deep down into the issues as a true journalist would. His coverage of the Ferguson Up…</t>
  </si>
  <si>
    <t>RT @JW1057: @JohnLamping Except the House would only be delaying the inevitable. "The president of the commission . . . on application of t…</t>
  </si>
  <si>
    <t>@JohnLamping Except the House would only be delaying the inevitable. "The president of the commission . . . on application of the respondent . . . shall issue subpoenas for witnesses and commissions to take depositions." RSMo §106.130</t>
  </si>
  <si>
    <t>RT @tkinder: @JCunninghamMO Yes, it’s unfortunate that #moleg appears to want to substitute its judgment for that of voters. If they persis…</t>
  </si>
  <si>
    <t>RT @JCunninghamMO: Unfortunately I agree. After spending 12 years at the Capitol, I’m perplexed at the seemingly headlong effort 2 overturn…</t>
  </si>
  <si>
    <t>RT @JW1057: @MattStoneABC @ABC Ask Al Watkins if he filed Form 8300 with the IRS. It is generally required, as is the case here, when recei…</t>
  </si>
  <si>
    <t>@MattStoneABC @ABC Ask Al Watkins if he filed Form 8300 with the IRS. It is generally required, as is the case here, when receiving $10k or more in cash. It is a federal criminal offense to have failed to file.</t>
  </si>
  <si>
    <t>RT @HotPokerPrinces: The lawyer who got $120,000 to bring down Missouri's GOP governor says he was told it came from a wealthy Republican h…</t>
  </si>
  <si>
    <t>RT @RightSideUp313: @CStamper_ The FBI’s Public Corruption unit needs to investigate Kim Gardner!</t>
  </si>
  <si>
    <t>RT @JW1057: @Lautergeist @SLMPD Perhaps, Wooten meant to say, "Mr. Tisaby did not perjure himself, he couldn't have done it without Kim Gar…</t>
  </si>
  <si>
    <t>@Lautergeist @SLMPD Perhaps, Wooten meant to say, "Mr. Tisaby did not perjure himself, he couldn't have done it without Kim Gardner's invaluable assistance." @stlcao @SCRyanSTL #moleg #mogov #greitens #KimShady #IStandWithGreitens</t>
  </si>
  <si>
    <t>RT @JW1057: @AP4Liberty @HawleyMO LatterBoy does what his masters tell him to do, including stabbing friends like @EricGreitens in the back…</t>
  </si>
  <si>
    <t>@AP4Liberty @HawleyMO LatterBoy does what his masters tell him to do, including stabbing friends like @EricGreitens in the back. I couldn't even vote for Hawley to be village pooper scooper.</t>
  </si>
  <si>
    <t>RT @JW1057: @KMOXKilleen @EricGreitens It stated as an affair with nonconsensual photo/blackmail. Next came the slap. Then there was the "c…</t>
  </si>
  <si>
    <t>@KMOXKilleen @EricGreitens It stated as an affair with nonconsensual photo/blackmail. Next came the slap. Then there was the "coerced" oral sex. Al Watkins lies grow ever larger over time.</t>
  </si>
  <si>
    <t>@ZekeMelchizedek @jaybarnes5 @Rep_TRichardson @GovGreitensMO Seeing as Jay Barnes is an attorney, I fear what advice he gives his clients.</t>
  </si>
  <si>
    <t>@CaseyNolen @EricGreitens @StLouisCityCA They just don't prepare you in law school for days like that!</t>
  </si>
  <si>
    <t>RT @JW1057: @JCunninghamMO Had multiple additional sexual encounters both at EG's home and her salon. Where is KS coworker or client who sa…</t>
  </si>
  <si>
    <t>RT @JW1057: @JCunninghamMO KS admitted that she knew EG was being "sexual" when he invited her to basement. She was "intrigued" by "sexy wo…</t>
  </si>
  <si>
    <t>@JCunninghamMO Had multiple additional sexual encounters both at EG's home and her salon. Where is KS coworker or client who saw her just minutes after she was "bawling" her eyes out from this encounter? Surely her eyes would have been red and puffy. Her actions contradict her statements.</t>
  </si>
  <si>
    <t>@JCunninghamMO KS admitted that she knew EG was being "sexual" when he invited her to basement. She was "intrigued" by "sexy workout" that she was expecting. She said oral sex was "consent[ual]" until badgered to say "coerced."Used FaceTime nude with EG two months later.</t>
  </si>
  <si>
    <t>RT @JW1057: @FOX2now The defense did their job!</t>
  </si>
  <si>
    <t>@FOX2now The defense did their job!</t>
  </si>
  <si>
    <t>RT @JW1057: @MSTLGA Because Al Watkins is a pathological liar. Indeed, even Kim Gardner asked FBI to investigate and she was turned down. H…</t>
  </si>
  <si>
    <t>@MSTLGA Because Al Watkins is a pathological liar. Indeed, even Kim Gardner asked FBI to investigate and she was turned down. How do you decline to investigate what you are already investigating?</t>
  </si>
  <si>
    <t>RT @JW1057: @sigi_hill @philip_saulter @StateHouseRock @stltoday @Rep_TRichardson @jaybarnes5 @jeanielauer @KevinLAustin1 @shawnrhoads154 @…</t>
  </si>
  <si>
    <t>@sigi_hill @philip_saulter @StateHouseRock @stltoday @Rep_TRichardson @jaybarnes5 @jeanielauer @KevinLAustin1 @shawnrhoads154 @gcmitts @TommiePierson Jay Barnes blocked me. He is afraid of the truth.</t>
  </si>
  <si>
    <t>RT @JW1057: @ksdknews I hear @EricGreitens may have left toilet seat up. Barnes' Star Chamber  (aka the Committee) should investigate that…</t>
  </si>
  <si>
    <t>@ksdknews I hear @EricGreitens may have left toilet seat up. Barnes' Star Chamber  (aka the Committee) should investigate that as well. 
#moleg #mogov #greitens #KimShady #IStandWithGreitens #MOStarChamber</t>
  </si>
  <si>
    <t>RT @philip_saulter: @StateHouseRock @stltoday The House must not want to be re-elected by Mo. voters, they continue to try and cancel our v…</t>
  </si>
  <si>
    <t>RT @JCunninghamMO: If every legislator who has never, ever had an improper relationship outside marriage or has not used non-profit organiz…</t>
  </si>
  <si>
    <t>RT @Claire_Kellett: The attorneys for Governor @EricGreitens want to publicly question the woman with whom he had an affair. https://t.co/m…</t>
  </si>
  <si>
    <t>RT @Str8DonLemon: @J_Hancock @EricGreitens I agree</t>
  </si>
  <si>
    <t>RT @KCStar: Greitens’ impeachment team says woman should testify in open, face cross-examination https://t.co/5FAPYZhVf3</t>
  </si>
  <si>
    <t>RT @PERTZFOX: Someone has placed about five Vintage @GovGreitensMO campaign signs along I 64 east bound at turtle Park. @FOX2now https://t.…</t>
  </si>
  <si>
    <t>RT @JW1057: @jmannies I've long argued @GovGreitensMO should testify before Comm. once criminal case ended. Comm. making me reconsider posi…</t>
  </si>
  <si>
    <t>@jmannies I've long argued @GovGreitensMO should testify before Comm. once criminal case ended. Comm. making me reconsider position because it appears unable to stick to agreed upon topic. #moleg #mogov #greitens #KimShady #IStandWithGreitens #MOStarChamber</t>
  </si>
  <si>
    <t>RT @JW1057: @ws_missouri Comm. caused own problems. Released 1st report 4/11 and haven't done anything with it. Could't wait a month until…</t>
  </si>
  <si>
    <t>@ws_missouri Comm. caused own problems. Released 1st report 4/11 and haven't done anything with it. Could't wait a month until trial was over? Would have been in position to have Gov. provide testimony and other evidence.
#moleg #mogov #greitens #KimShady #IStandWithGreitens</t>
  </si>
  <si>
    <t>RT @MariaChappelleN: You're missing Steve Tilley and Mike Parson. https://t.co/WxN4PR75y6</t>
  </si>
  <si>
    <t>RT @Gruntgrunt3: @EricGreitens Missouri has a witch hunt against Gov. Greiten. Hang tough governor. We have your back.</t>
  </si>
  <si>
    <t>RT @JakeGrayPoliSci: This is why I think #MoLeg should have waited to act. With all the new evidence coming out including Judge Burlison’s…</t>
  </si>
  <si>
    <t>RT @HennessySTL: Now we’re talkin’ https://t.co/m8PLadrMU8</t>
  </si>
  <si>
    <t>RT @MarkReardonKMOX: Has ONE elected official in St. Louis called for Kim Gardner's resignation for her incompetence? If she was a Republic…</t>
  </si>
  <si>
    <t>RT @EricGreitens: Today is #PeaceOfficersMemorialDay, a day to remember the fallen heroes who gave their lives in pursuit of justice and pe…</t>
  </si>
  <si>
    <t>RT @JW1057: @FOX2now I would recommend Tisaby seek plea deal and testify against @stlcao @SCRyanSTL, albeit he has no credibility.</t>
  </si>
  <si>
    <t>@FOX2now I would recommend Tisaby seek plea deal and testify against @stlcao @SCRyanSTL, albeit he has no credibility.</t>
  </si>
  <si>
    <t>RT @JW1057: @KCStar How much has Kim Gardner cost taxpayers pursuing her witch hunt? How much has the legislature cost taxpayer pursuing it…</t>
  </si>
  <si>
    <t>@KCStar How much has Kim Gardner cost taxpayers pursuing her witch hunt? How much has the legislature cost taxpayer pursuing its with hunt? 
If not for the first two, @GovGreitensMO would not have to hire these lawyers at taxpayer expense.</t>
  </si>
  <si>
    <t>RT @Robinsi95136251: @J_Hancock @EricGreitens The House and Senate don't want to open this can of worms ..Governor Greitens has more charac…</t>
  </si>
  <si>
    <t>@KathieConway @spurredscout @Neilin1Neil @EricGreitens @RealTravisCook @VisioDeiFromLA @edemery @YearOfZero Unfortunately for some perjury is illegal in MO.</t>
  </si>
  <si>
    <t>RT @JW1057: @MOHOUSECOMM @MOHouseGOP @MOHouseDems A friendly reminder that a vote to impeach/censure @GovGreitensMO is a vote against your…</t>
  </si>
  <si>
    <t>@MOHOUSECOMM @MOHouseGOP @MOHouseDems A friendly reminder that a vote to impeach/censure @GovGreitensMO is a vote against your reelection. We the People have spoken! If you feel unable to work with Governor, please feel free to resign. 
#moleg #mogov #greitens #IStandWithGreitens</t>
  </si>
  <si>
    <t>RT @jrosenbaum: From a @SLMPD spokeswoman regarding the @EricGreitens attorney's William Tisaby request: https://t.co/ye5ZM9bjtQ</t>
  </si>
  <si>
    <t>RT @MarkReardonKMOX: .@LydaKrewson should call for Kim Gardner’s resignation tonight. So should every other St. Louis Democrat.</t>
  </si>
  <si>
    <t>RT @JW1057: @CaseyNolen @EricGreitens Don't trust Republican either. It is a bipartisan witch hunt. I guess bipartisanship is not always as…</t>
  </si>
  <si>
    <t>RT @VisioDeiFromLA: DISBAR #KIMSHADY next!
#MoLeg #MoGov #Greitens #Stlouis https://t.co/x1fXDFnkse</t>
  </si>
  <si>
    <t>RT @JW1057: @CStamper_ Is this really bad news for Kim Gardner? She wanted to prove no one is above the law and now well she may well ended…</t>
  </si>
  <si>
    <t>@CStamper_ Is this really bad news for Kim Gardner? She wanted to prove no one is above the law and now well she may well ended proving her point. Of course, I don't think she was planning to be the one convicted.</t>
  </si>
  <si>
    <t>RT @CStamper_: More bad news for Soros-backed prosecutor Kim Gardner &amp;amp; her handpicked investigator Tisaby: Tisaby is now under investigatio…</t>
  </si>
  <si>
    <t>@CaseyNolen @EricGreitens Don't trust Republican either. It is a bipartisan witch hunt. I guess bipartisanship is not always as good as people seem to think.</t>
  </si>
  <si>
    <t>RT @JW1057: @KurtEricksonPD @EricGreitens Where the great Governor belongs!</t>
  </si>
  <si>
    <t>@KurtEricksonPD @EricGreitens Where the great Governor belongs!</t>
  </si>
  <si>
    <t>RT @joelcurrier: .@SLMPD says that after meeting with @ericgreitens' defense lawyers Ed Dowd and Scott Rosenblum today, the deparment is op…</t>
  </si>
  <si>
    <t>RT @spurredscout: @Neilin1Neil @EricGreitens @RealTravisCook @KathieConway @VisioDeiFromLA @JW1057 @edemery @YearOfZero We elected an outsi…</t>
  </si>
  <si>
    <t>RT @Mizzourah_Mom: @Neilin1Neil @EricGreitens @RealTravisCook @Sticknstones4 @KathieConway @inthejungle234 @Norasmith1000 @liberty1776son I…</t>
  </si>
  <si>
    <t>RT @philip_saulter: @Mizzourah_Mom @Neilin1Neil @EricGreitens @RealTravisCook @Sticknstones4 @KathieConway @inthejungle234 @Norasmith1000 @…</t>
  </si>
  <si>
    <t>RT @JW1057: @CaseyNolen @EricGreitens Again, confirming that this is a witch hunt and the Legislature does not believe in due process and f…</t>
  </si>
  <si>
    <t>RT @KurtEricksonPD: Following three days of sitting in a courtroom, @EricGreitens is back in the Capitol this afternoon #moleg</t>
  </si>
  <si>
    <t>RT @JW1057: You should move to unseal court records, including depositions, and use them as exhibits. We are here to fight for you. @Sheena…</t>
  </si>
  <si>
    <t>RT @JW1057: @EricGreitens It's obvious your persecution by Barnes' Star Chamber will continue. It's apparent the @MOHOUSECOMM has no respec…</t>
  </si>
  <si>
    <t>You should move to unseal court records, including depositions, and use them as exhibits. We are here to fight for you. @SheenaGreitens @TeamGreitens 
#moleg #mogov #greitens #KimShady #IStandWithGreitens</t>
  </si>
  <si>
    <t>@EricGreitens It's obvious your persecution by Barnes' Star Chamber will continue. It's apparent the @MOHOUSECOMM has no respect for you or the people. You should have your attorneys prepare their own report to rebut the committee's "reports."</t>
  </si>
  <si>
    <t>@CaseyNolen @EricGreitens Again, confirming that this is a witch hunt and the Legislature does not believe in due process and fair play.</t>
  </si>
  <si>
    <t>RT @BryanLowry3: Tisaby's attorney: "The case was not about Mr. Tisaby. This case was not about Ms. Gardner. Those are just two distraction…</t>
  </si>
  <si>
    <t>@BryanLowry3 To the contrary this case was all about Ms. Gardner and Mr. Tisaby. Ms. Gardner filed the case and Mr. Tisaby tried to manufacture the evidence. 
#moleg #mogov #greitens #KimShady #IStandWithGreitens</t>
  </si>
  <si>
    <t>RT @ResignNowKim: @jmannies Nope:  @EricGreitens is filing a criminal complaint against @stlcao @kimgardner77th .... #ResignNowKim</t>
  </si>
  <si>
    <t>RT @KRCG13: BREAKING NEWS: Greitens attorney to file police report regarding alleged perjury against William Tisaby, the lead investigator…</t>
  </si>
  <si>
    <t>RT @FOX2now: Greitens’ lawyer to file police report against Kim Gardner, investigator https://t.co/6Oq8R8iQCd https://t.co/GKIfjQtNdq</t>
  </si>
  <si>
    <t>RT @jrosenbaum: INBOX: @EricGreitens attorneys will file a police report re: Tisaby depositions. https://t.co/Wx7A1Ybv44</t>
  </si>
  <si>
    <t>RT @RealTravisCook: Today at 2:00 CST on https://t.co/LqVNagt9Kx I react to the dropping the charges against Governor #Greitens of #Missour…</t>
  </si>
  <si>
    <t>RT @RetNavy93: @Str8DonLemon @Avenge_mypeople @RealTravisCook @Shawtypepelina @philip_saulter @HotPokerPrinces @blackwidow07 @STLCountyGOP…</t>
  </si>
  <si>
    <t>RT @CaseyNolen: Governor @EricGreitens legal team (in his capacity as governor) has sent a list of proposed parameters for any #impeachment…</t>
  </si>
  <si>
    <t>RT @JW1057: @MarkReardonKMOX @KMOXKilleen May want to look into secret Mission Continues donor list. Not so secret when the names are poste…</t>
  </si>
  <si>
    <t>@MarkReardonKMOX @KMOXKilleen May want to look into secret Mission Continues donor list. Not so secret when the names are posted on their website. Click on year and inside you'll find link to donor list $1k and above. https://t.co/GqcUHiDhgB … #mogov #greitens #KimShady</t>
  </si>
  <si>
    <t>RT @grcfay: @Str8DonLemon @HennessySTL @RetNavy93 @melody_grover @Avenge_mypeople @MactavishShawn @STLCountyGOP @JCPenknife @Lautergeist @f…</t>
  </si>
  <si>
    <t>RT @mycreativedeco1: #mogov, #GreitensTrial, Praying for our Governor Greitens! So happy prosecutors dropped the charges!</t>
  </si>
  <si>
    <t>RT @JW1057: https://t.co/DjufaE9CqM</t>
  </si>
  <si>
    <t>RT @JW1057: @jrosenbaum @PeterforMO May want to look into secret Mission Continues donor list. Not so secret when the names are posted on t…</t>
  </si>
  <si>
    <t>@jrosenbaum @PeterforMO May want to look into secret Mission Continues donor list. Not so secret when the names are posted on their website. Click on year and inside you'll find link to donor list $1k and above. https://t.co/GqcUHiDhgB #mogov #greitens #KimShady #IStandWithGreitens</t>
  </si>
  <si>
    <t>https://t.co/DjufaE9CqM</t>
  </si>
  <si>
    <t>RT @JW1057: @ws_missouri May want to look into secret Mission Continues donor list. Not so secret when the names are posted on their websit…</t>
  </si>
  <si>
    <t>@ws_missouri May want to look into secret Mission Continues donor list. Not so secret when the names are posted on their website. Click on year and inside you'll find link to donor list $1k and above.
#moleg #mogov #greitens #KimShady #IStandWithGreitens</t>
  </si>
  <si>
    <t>RT @Boothe08887997: @Sticknstones4 @VisioDeiFromLA @ST_Designs @blackwidow07 @Neilin1Neil @EricGreitens @RealTravisCook @YearOfZero @Kathie…</t>
  </si>
  <si>
    <t>RT @VisioDeiFromLA: #Moleg doesnt care about #Missouri
Will they steal from U? If U let them.
Dont let them
Mike Kehoe #573-751-2076
@Mi…</t>
  </si>
  <si>
    <t>RT @blackwidow07: @amjoyshow no @EricGreitens will not be impeached. The citizens will make sure that #moleg understand it's not about them…</t>
  </si>
  <si>
    <t>RT @sigi_hill: Ditto
#IStandWithGreitens
#moleg  #MoGov https://t.co/yKKZfVODhp</t>
  </si>
  <si>
    <t>@CaseyNolen @StLouisCityCA @EricGreitens Judge Burlinson begs to differ!</t>
  </si>
  <si>
    <t>RT @Neilin1Neil: Seems to me people n high places n both parties (the swamp) are determined to get MO Gov, &amp;amp; will stop at nothing to do it.…</t>
  </si>
  <si>
    <t>RT @christoferguson: Kim Gardner screwed this case up bad. And she should feel bad. And so should citizens of #StL City  who are at risk of…</t>
  </si>
  <si>
    <t>RT @blackwidow07: @JW1057 @JCunninghamMO @EricGreitens Hope the names come out. Several going on right now.</t>
  </si>
  <si>
    <t>RT @FOX2now: Did the Circuit Attorney used funding to prosecute Gov. Greitens over other criminal cases? https://t.co/sDnnQ0QRNY https://t.…</t>
  </si>
  <si>
    <t>RT @JW1057: Our corrupt @stlcao! https://t.co/pyPRDijlXX</t>
  </si>
  <si>
    <t>Our corrupt @stlcao! https://t.co/pyPRDijlXX</t>
  </si>
  <si>
    <t>@blackwidow07 @HennessySTL @tonymess @stlcao @JackSuntrup @joelcurrier You know what would really be cruel? Make Kim Gardner represent herself.</t>
  </si>
  <si>
    <t>@blackwidow07 @JCunninghamMO The Legislature should also remember that their conduct here will serve as a precedent to expel members of the House and Senate. How many of them have had affairs? No doubt many have worse secrets in their past that are true, unlike the false charges against @EricGreitens.</t>
  </si>
  <si>
    <t>RT @JCunninghamMO: A friend tweeted this: “It’s a shame some in #MoLeg are letting their distaste for the Gov ‘s actions cause them to take…</t>
  </si>
  <si>
    <t>RT @MariaChappelleN: https://t.co/qhqYBwLZpz</t>
  </si>
  <si>
    <t>RT @HennessySTL: Very bad day for disappearin’ @scottfaughn. Kicked out of the capitol, then the fraudulent prosecution he was so invested…</t>
  </si>
  <si>
    <t>RT @ResignNowKim: (1) #BadNews : Supporters of Lawful Government of and by the people and not oligarchs- I have heard from several sources…</t>
  </si>
  <si>
    <t>@trollinbaby @RealTravisCook @HereLiesMoon The wimp blocked me long ago.</t>
  </si>
  <si>
    <t>RT @JW1057: @SheenaGreitens No doubt last few months have been difficult for you. I'd  like to extend my support to you. You carry yourself…</t>
  </si>
  <si>
    <t>@SheenaGreitens No doubt last few months have been difficult for you. I'd  like to extend my support to you. You carry yourself with strength &amp;amp; grace for which I admire you. I know this was one battle of the war, but I'll join you in fighting on to absolute victory. @EricGreitens</t>
  </si>
  <si>
    <t>@KCStar Katrina "Kitty" Sneed wasn't sexually assaulted. Eric Greitens hasn't assaulted anyone.</t>
  </si>
  <si>
    <t>RT @JW1057: @l_hoffer No. It is an extremely high burden to call prosecutor as a witness. Gardner mishandled this case from the beginning w…</t>
  </si>
  <si>
    <t>@l_hoffer No. It is an extremely high burden to call prosecutor as a witness. Gardner mishandled this case from the beginning when she met alone with KS in motel room. Prosecutors never meet with victims or witnesses alone for this very reason - Gardner crossed that line and many others.</t>
  </si>
  <si>
    <t>@beetkid There is no victim. There is no law or order that ever prevented the press from using name Katrina "Kitty" Sneed. The press chose not to use it.</t>
  </si>
  <si>
    <t>RT @Little_Irishman: I am in awe of the fact that there are STILL people defending the actions of St. Louis Circuit Attorney Kim Gardner.…</t>
  </si>
  <si>
    <t>RT @pepesgrandma: Case against Republican gov, Eric Geitens - Prosecuter began writing out indictment document before evidence of a crime w…</t>
  </si>
  <si>
    <t>RT @JW1057: @Sticknstones4 @VisioDeiFromLA @willscharf @Shawtypepelina @RightSideUp313 @Neilin1Neil @RealTravisCook @SKOLBLUE1 @Rep_TRichar…</t>
  </si>
  <si>
    <t>@Sticknstones4 @VisioDeiFromLA @willscharf @Shawtypepelina @RightSideUp313 @Neilin1Neil @RealTravisCook @SKOLBLUE1 @Rep_TRichardson @blackwidow07 @EricGreitens @RonFRichard @Mikelkehoe Reps. Richard and Kehoe: Gov. Greitens has more moral authority in a single cell in his body then you have in your entire being. If you want a resignation, fine. You two resign!</t>
  </si>
  <si>
    <t>RT @Sticknstones4: @VisioDeiFromLA @willscharf @Shawtypepelina @RightSideUp313 @Neilin1Neil @RealTravisCook @SKOLBLUE1 @Rep_TRichardson @bl…</t>
  </si>
  <si>
    <t>@ws_missouri 565.255 carves out an exception under the invasion of privacy statute. https://t.co/3ry0wuYdxL …</t>
  </si>
  <si>
    <t>@ws_missouri Thanks. I was too quick with tweet. It is actually 3 years on misdemeanor. Not sure if that time was tolled by the felony charge or not.</t>
  </si>
  <si>
    <t>@ws_missouri An objectively reasonable person doesn't have a reasonable expectation of privacy in common area of another person's home.
No alleged photo.
No witness who saw alleged photo. 
No witness who saw that alleged photo depicted nudity.
Misdemeanor suffers nearly all the same issues.</t>
  </si>
  <si>
    <t>RT @Mizzourah_Mom: @EricGreitens Congratulations, Governor! We have been praying for you and believed this was a political witch hunt from…</t>
  </si>
  <si>
    <t>RT @HennessySTL: Now, that crooked Kim Gardner dropped fraudulent charges, it’s time for the people to take down the crooks trying to overt…</t>
  </si>
  <si>
    <t>RT @JW1057: @EricGreitens  I am so proud that you are fighting the good fight. I stand behind you. I know that this was just one battle in…</t>
  </si>
  <si>
    <t>@EricGreitens  I am so proud that you are fighting the good fight. I stand behind you. I know that this was just one battle in the war, but I will join you in fighting on to absolute victory. @SheenaGreitens @TeamGreitens 
#moleg #mogov #greitens #KimShady #IStandWithGreitens</t>
  </si>
  <si>
    <t>@EricGreitens Please remember going forward we must restrain the power of prosecutors. Too many prosecutors are deposed to abuse their broad powers. It is time to end absolute prosecutorial immunity etc.</t>
  </si>
  <si>
    <t>RT @sigi_hill: @JW1057 @stlcao @SCRyanSTL @TeamGreitens Good point! That should be a great concern, would not put it past #MalfeasanceKimGa…</t>
  </si>
  <si>
    <t>@KMOXKilleen @EricGreitens Have they finally confirmed Kim Gardner never graduated from law school? That would explain so much.</t>
  </si>
  <si>
    <t>RT @RightSideUp313: @ST_Designs @TheBADASS_army @ma_franks @elisadamico @EricGreitens You can Thank Kim Gardner for forcing KS to move forw…</t>
  </si>
  <si>
    <t>RT @JW1057: @Allie_Kite When will she someone take action againt @LaurenTrager?</t>
  </si>
  <si>
    <t>@Allie_Kite When will she someone take action againt @LaurenTrager?</t>
  </si>
  <si>
    <t>RT @Norasmith1000: @JW1057 @mffisher @EricGreitens @JamesMNHarris Kitty supposedly went to his house to "talk". There were many times that…</t>
  </si>
  <si>
    <t>RT @Sticknstones4: @ST_Designs @Neilin1Neil @EricGreitens @RealTravisCook @YearOfZero @KathieConway @inthejungle234 @Norasmith1000 @liberty…</t>
  </si>
  <si>
    <t>RT @JW1057: @stlcao has suborned perjury, repeatedly lied to the court, and engaged in additional criminal conduct. Should we be concerned…</t>
  </si>
  <si>
    <t>@stlcao has suborned perjury, repeatedly lied to the court, and engaged in additional criminal conduct. Should we be concerned that she may engage in jury tampering? @SCRyanSTL @TeamGreitens 
#moleg #mogov #greitens #KimShady #IStandWithGreitens #GreitensTrial</t>
  </si>
  <si>
    <t>RT @JW1057: @AshliLincoln Why is CAO not complying with public records requests? Why are they not providing proof payment to Sullivan, Ente…</t>
  </si>
  <si>
    <t>@AshliLincoln Why is CAO not complying with public records requests? Why are they not providing proof payment to Sullivan, Enterra, and Tisaby? You may also want to ask for metadata for the @EricGreitens indictment. Not the interesting date in lower right corner. https://t.co/yP6moxvPar</t>
  </si>
  <si>
    <t>RT @jnjkelso: @CStamper_ This is becoming an epidemic for Republicans. Charge them with bogus crimes with no proof, tie them up so they can…</t>
  </si>
  <si>
    <t>RT @ResignNowKim: @JW1057 @RealTravisCook I think I heard something about “Beta Male Blues.”</t>
  </si>
  <si>
    <t>RT @RightSideUp313: @magathemaga1 Riddle me this all you screaming Libs; if Koster was elected, instead of Greitens, and had same affair wo…</t>
  </si>
  <si>
    <t>RT @JW1057: @RealTravisCook Any truth to the report Phil Sneed is founding a new band called "Limp Dick?"
#moleg #mogov #greitens #KimShady…</t>
  </si>
  <si>
    <t>@RealTravisCook Any truth to the report Phil Sneed is founding a new band called "Limp Dick?"
#moleg #mogov #greitens #KimShady #IStandWithGreitens #GreitensTrial</t>
  </si>
  <si>
    <t>RT @RealTravisCook: My take: Katrina Sneed likely made up the photo/blackmail story in order to justify her affair to her husband when foun…</t>
  </si>
  <si>
    <t>RT @JW1057: @angelakuehn Kim Gardner is the reason they invented disbarment. @stlcao @SCRyanSTL #moleg #mogov #greitens #KimShady #IStandWi…</t>
  </si>
  <si>
    <t>@angelakuehn Kim Gardner is the reason they invented disbarment. @stlcao @SCRyanSTL #moleg #mogov #greitens #KimShady #IStandWithGreitens #GreitensTrial</t>
  </si>
  <si>
    <t>RT @jrosenbaum: What I’m wondering is if @jaybarnes5 will subpoena low income housing tax credit developers/lobbyists to ask them under oat…</t>
  </si>
  <si>
    <t>RT @TomJEstes: School admins like this guy are now openly opposing a bill that would require public schools to work harder to make sure kid…</t>
  </si>
  <si>
    <t>RT @strmsptr: So it is official, This #GreitensTrial will be centered on three year old hearsay testimony. No photos. Pure waste of the tax…</t>
  </si>
  <si>
    <t>RT @Sherlokette: @CStamper_ I hope she loses her license over this.</t>
  </si>
  <si>
    <t>RT @tombermanap: #Missouri #moleg https://t.co/I7UVNZjGeY</t>
  </si>
  <si>
    <t>@CaileighKRCG13 @KRCG13 Others are reporting that the defense said the state was no longer pursuing discovery, which is correct?</t>
  </si>
  <si>
    <t>RT @JW1057: Gardner, Robert Steele, Ronald Sullivan, and Robert Dierker must all be disbarred.  @SheenaGreitens @TeamGreitens @StLCountyRep…</t>
  </si>
  <si>
    <t>RT @JW1057: @EricGreitens on behalf of the legal profession let me extend my sincerest apologies. @stlcao represents the worst of my profes…</t>
  </si>
  <si>
    <t>Gardner, Robert Steele, Ronald Sullivan, and Robert Dierker must all be disbarred.  @SheenaGreitens @TeamGreitens @StLCountyRepub</t>
  </si>
  <si>
    <t>@EricGreitens on behalf of the legal profession let me extend my sincerest apologies. @stlcao represents the worst of my profession. Not only incompetent in education but also in ethics. Gardner and her attorney-accomplices shames us all. @SCRyanSTL #KimShady #GreitensTrial</t>
  </si>
  <si>
    <t>RT @JW1057: @StevenDialTV @41actionnews It's possible to prosecute a murder case without a body. There needs to be someone who can testify…</t>
  </si>
  <si>
    <t>@StevenDialTV @41actionnews It's possible to prosecute a murder case without a body. There needs to be someone who can testify that victim actually existed. Here there is no one who can testify that the picture existed.</t>
  </si>
  <si>
    <t>RT @JW1057: @StevenDialTV @41actionnews This is what a persecution (aka witch hunt) looks like. @EricGreitens we are with you through this…</t>
  </si>
  <si>
    <t>@StevenDialTV @41actionnews This is what a persecution (aka witch hunt) looks like. @EricGreitens we are with you through this mockery of the legal system. Can we actually verify Kim Gardner ever graduated law school? @SheenaGreitens 
#moleg #mogov #greitens #KimShady #IStandWithGreitens #GreitensTrial</t>
  </si>
  <si>
    <t>RT @StevenDialTV: Tough task ahead for the prosecution. Trying to convince 12 jurors that Gov. Greitens took a nude photo. This morning pro…</t>
  </si>
  <si>
    <t>RT @JW1057: @TimLaw43 Burlinson isn't too bright!</t>
  </si>
  <si>
    <t>@TimLaw43 Burlinson isn't too bright!</t>
  </si>
  <si>
    <t>RT @JW1057: @Neilin1Neil @EricGreitens @RealTravisCook @YearOfZero @Sticknstones4 @KathieConway @inthejungle234 @Norasmith1000 @liberty1776…</t>
  </si>
  <si>
    <t>@Neilin1Neil @EricGreitens @RealTravisCook @YearOfZero @Sticknstones4 @KathieConway @inthejungle234 @Norasmith1000 @liberty1776son @VisioDeiFromLA @DeplorableGoldn @Boothe08887997 @blackwidow07 50 Shades of Katrina "Kitty" Sneed.</t>
  </si>
  <si>
    <t>RT @Neilin1Neil: Katrina “Kitty” Sneed, auditioning for Mrs. MO Gov. @EricGreitens @RealTravisCook @YearOfZero @Sticknstones4 @KathieConway…</t>
  </si>
  <si>
    <t>RT @ResignNowKim: @ws_missouri #WHERESTHEMONEYLEBOWSKI ? Until you start reporting on where @scottfaughn got the $70k, you’re never going t…</t>
  </si>
  <si>
    <t>RT @Sticknstones4: @JW1057 @AbbyLlorico @EricGreitens How about kg decides enough with the violence 19 shootings since Friday , 3 people de…</t>
  </si>
  <si>
    <t>RT @JW1057: @AbbyLlorico @EricGreitens Do you know if there is good news? KG took ethics class over weekend and learned of her gross miscon…</t>
  </si>
  <si>
    <t>RT @Lautergeist: The beginning of the #Greitens witch hunt?  #MoGov #MoLeg @staceynewman 
#GreitensTrial https://t.co/iIZ96RXObU</t>
  </si>
  <si>
    <t>@AbbyLlorico @EricGreitens Do you know if there is good news? KG took ethics class over weekend and learned of her gross misconduct? KG got brain transplant and realizes no case? KS finally admitted she is a liar?</t>
  </si>
  <si>
    <t>RT @ResignNowKim: @LaurenTrager @EricGreitens @KMOV Will any of those updates include 1) your coordination with @stlcao Kim Gardner leading…</t>
  </si>
  <si>
    <t>RT @AbbyLlorico: .@EricGreitens just walked into the courtroom looking like he was on a campaign stop: a big smile and eager handshakes for…</t>
  </si>
  <si>
    <t>RT @JW1057: @AbbyLlorico @EricGreitens @stlcao @SCRyanSTL You should ask why the CAO isn't complying with public records request. Why can't…</t>
  </si>
  <si>
    <t>RT @JW1057: @AbbyLlorico @EricGreitens is being persecuted for standing against corruption. @stlcao is Exhibit A of the corruption that exi…</t>
  </si>
  <si>
    <t>RT @magathemaga1: Bench trial now!
#MoLeg #Greitens #GreitensTrial #mogov https://t.co/g0SUE1SDr1</t>
  </si>
  <si>
    <t>@AbbyLlorico @EricGreitens @stlcao @SCRyanSTL You should ask why the CAO isn't complying with public records request. Why can't CAO produce evidence of payment to Enterra and Sullivan Watkins received $120k and that taxpayers are on the hook for $120k to Sullivan. Coincidence? There is more money out there.</t>
  </si>
  <si>
    <t>@AbbyLlorico @EricGreitens is being persecuted for standing against corruption. @stlcao is Exhibit A of the corruption that exist in MO. @SCRyanSTL</t>
  </si>
  <si>
    <t>RT @JW1057: @KCStar  https://t.co/aYE41JtNJQ</t>
  </si>
  <si>
    <t>RT @JW1057: @KCStar  https://t.co/Xt9ezxqbTm</t>
  </si>
  <si>
    <t>RT @JW1057: @KCStar  https://t.co/68GzBklDXe</t>
  </si>
  <si>
    <t>RT @AbbyLlorico: Greitens’ atty Scott Rosenbloom stopped and talked to a woman on his way in. She tells me she approached him to share that…</t>
  </si>
  <si>
    <t>@KCStar  https://t.co/68GzBklDXe</t>
  </si>
  <si>
    <t>@KCStar  https://t.co/Xt9ezxqbTm</t>
  </si>
  <si>
    <t>@KCStar  https://t.co/ZEenZ9hFBD</t>
  </si>
  <si>
    <t>@KCStar  https://t.co/aYE41JtNJQ</t>
  </si>
  <si>
    <t>RT @HennessySTL: “Two children were among four people wounded in a shooting Friday evening, police said.” And the St. Louis City government…</t>
  </si>
  <si>
    <t>RT @JW1057: https://t.co/cJUzOZNxOZ</t>
  </si>
  <si>
    <t>RT @JW1057: https://t.co/zXSNgyXwpm</t>
  </si>
  <si>
    <t>RT @JW1057: https://t.co/tDZWSgWCDl</t>
  </si>
  <si>
    <t>RT @JW1057: Consent. Committee Failure. Prosecutorial Misconduct. @MoRepEvans @TeamGreitens 
#moleg #mogov #greitens #KimShady #IStandWithG…</t>
  </si>
  <si>
    <t>https://t.co/cJUzOZNxOZ</t>
  </si>
  <si>
    <t>https://t.co/tDZWSgWCDl</t>
  </si>
  <si>
    <t>https://t.co/zXSNgyXwpm</t>
  </si>
  <si>
    <t>Consent. Committee Failure. Prosecutorial Misconduct. @MoRepEvans @TeamGreitens 
#moleg #mogov #greitens #KimShady #IStandWithGreitens #GreitensTrial https://t.co/Li4emiIqHI</t>
  </si>
  <si>
    <t>RT @BryanLowry3: A woman wearing a Greitens shirt is holding a sign near the parking entrance the governor will use that says “Got Your Bac…</t>
  </si>
  <si>
    <t>RT @RightSideUp313: @LydaKrewson Can you shed some light on how we’re paying for this enormous bill racked up for this class D felony by th…</t>
  </si>
  <si>
    <t>RT @liberty1776son: @ResignNowKim @SpeakerTimJones @magathemaga1 @tonymess @GilbertBailon @stltoday So, Katrina Snead is not a victim here.…</t>
  </si>
  <si>
    <t>RT @sigi_hill: Missouri Crime Scene
The #MoralTurpitude #MoLeg are using #KittySneedWhore lies to square up against Governor #Greitens that…</t>
  </si>
  <si>
    <t>RT @Avenge_mypeople: @magathemaga1 @tonymess @blackwidow07 @Shawtypepelina @DerekGrier @MOHouseGOP @grcfay @mopns @Sticknstones4 @SpeakerTi…</t>
  </si>
  <si>
    <t>RT @HotPokerPrinces: @Avenge_mypeople @magathemaga1 @tonymess @blackwidow07 @Shawtypepelina @DerekGrier @MOHouseGOP @grcfay @mopns @Stickns…</t>
  </si>
  <si>
    <t>@AntiqueAdExpert @KMOXKilleen @EricGreitens https://t.co/OSNtQhegvM</t>
  </si>
  <si>
    <t>@AntiqueAdExpert @KMOXKilleen @EricGreitens https://t.co/YW88DrFna2</t>
  </si>
  <si>
    <t>@AntiqueAdExpert @KMOXKilleen @EricGreitens https://t.co/YeMRonKHua</t>
  </si>
  <si>
    <t>@KMOXKilleen @EricGreitens https://t.co/YeMRonKHua</t>
  </si>
  <si>
    <t>RT @AntiqueAdExpert: @KMOXKilleen @EricGreitens I am starting to think she lied to her husband about the photos and blackmail threats to si…</t>
  </si>
  <si>
    <t>RT @AnotherSpammer: @KMOXKilleen The old "lie about a violent threat of blackmail, refuse to clear up the issue for over a year when asked…</t>
  </si>
  <si>
    <t>RT @JW1057: @KMOXKilleen 2/2 She admits before ever entering basement she knew he was being "sexual" and she was "intrigued" by the idea of…</t>
  </si>
  <si>
    <t>RT @JW1057: @KMOXKilleen 1/2 Why was her "conscience" bothering her on 3/20 if she was just going to talk? Not exactly a great conscience r…</t>
  </si>
  <si>
    <t>RT @KMOXKilleen: Hmmmm... https://t.co/vgKJmW8JLr</t>
  </si>
  <si>
    <t>RT @JW1057: Perhaps, you can try and get the records? 
#moleg #mogov #greitens #KimShady #IStandWithGreitens #GreitensTrial</t>
  </si>
  <si>
    <t>RT @JW1057: @KMOXKilleen I wonder why CAO won't comply with public records request for proof of payment to Sullivan, Tisaby, and Enterra? I…</t>
  </si>
  <si>
    <t>Perhaps, you can try and get the records? 
#moleg #mogov #greitens #KimShady #IStandWithGreitens #GreitensTrial</t>
  </si>
  <si>
    <t>@KMOXKilleen I wonder why CAO won't comply with public records request for proof of payment to Sullivan, Tisaby, and Enterra? I'm betting $120k isn't all that has been spent. I'm also requesting metadata for the indictment file - interesting date in on right-side of footer.</t>
  </si>
  <si>
    <t>@KMOXKilleen 2/2 She admits before ever entering basement she knew he was being "sexual" and she was "intrigued" by the idea of "sexy workout."
#moleg #mogov #greitens #KimShady #IStandWithGreitens #GreitensTrial</t>
  </si>
  <si>
    <t>@KMOXKilleen 1/2 Why was her "conscience" bothering her on 3/20 if she was just going to talk? Not exactly a great conscience raising issue. Two married people meeting for sex would be a conscience raising issue.</t>
  </si>
  <si>
    <t>RT @JW1057: 50 Shades of Katrina "Kitty" Sneed. Who is paying Scott Simpson? What did @stlcao say to you in that hotel room, when it was ju…</t>
  </si>
  <si>
    <t>50 Shades of Katrina "Kitty" Sneed. Who is paying Scott Simpson? What did @stlcao say to you in that hotel room, when it was just the two of you? What did Stacey Newman say to you?  @SCRyanSTL 
#moleg #mogov #greitens #KimShady #IStandWithGreitens #GreitensTrial https://t.co/CMG9nVb9zf</t>
  </si>
  <si>
    <t>RT @magathemaga1: "The Thing"?
Sounds like The Coup
Saying that in such a way presupposes there was plan in motion
"Failure to..." indic…</t>
  </si>
  <si>
    <t>RT @Neilin1Neil: The jilted lady Or, as the rest of the world refers to her: Katrina “Kitty” Sneed! @EricGreitens @YearOfZero @RealTravisCo…</t>
  </si>
  <si>
    <t>RT @JW1057: @joelcurrier The only cloud that I see is over the MO Legislature and St. Louis CAO!
#moleg #mogov #greitens #KimShady #IStandW…</t>
  </si>
  <si>
    <t>@joelcurrier The only cloud that I see is over the MO Legislature and St. Louis CAO!
#moleg #mogov #greitens #KimShady #IStandWithGreitens #GreitensTrial</t>
  </si>
  <si>
    <t>RT @JW1057: @Norasmith1000 @mffisher @EricGreitens @JamesMNHarris Are you suggesting it is not common when you go to someone's house to tal…</t>
  </si>
  <si>
    <t>@Norasmith1000 @mffisher @EricGreitens @JamesMNHarris Are you suggesting it is not common when you go to someone's house to talk to change clothes and allow yourself to be tied up? Interesting!</t>
  </si>
  <si>
    <t>RT @RightSideUp313: @KMOXKilleen @EricGreitens Kevin, would you kindly investigate who’s paying for all this? City hall is silent so I’m wo…</t>
  </si>
  <si>
    <t>RT @magathemaga1: @RGreggKeller 
Was going through #MoLeg tweets &amp;amp; a tweet of yours caught my eye
Whipping votes?  
“Failure to see ‘The…</t>
  </si>
  <si>
    <t>RT @JW1057: @JamesMNHarris Fake news! We don't know yet if @EricGreitens will testify. No it is not true that innocent defendants normally…</t>
  </si>
  <si>
    <t>RT @JW1057: @mffisher Please get the facts straight about what we know regarding the affair between @EricGreitens and Katrina. @JamesMNHarr…</t>
  </si>
  <si>
    <t>@mffisher Please get the facts straight about what we know regarding the affair between @EricGreitens and Katrina. @JamesMNHarris
#moleg #mogov #greitens #KimShady #IStandWithGreitens #GreitensTrial https://t.co/DfiTK3A2Oy</t>
  </si>
  <si>
    <t>@JamesMNHarris Fake news! We don't know yet if @EricGreitens will testify. No it is not true that innocent defendants normally testify.</t>
  </si>
  <si>
    <t>RT @magathemaga1: @ewanrross @tomphilpott Wake up and smell the truth. The entire case was is a sham!
They lied about evidence to get the…</t>
  </si>
  <si>
    <t>RT @magathemaga1: Who is "The Funder"?
Where is the money coming from?
It wasn’t Scott’s Money. IRS NEEDS TO GET INVOLVED
#Greitens #Gre…</t>
  </si>
  <si>
    <t>RT @JW1057: @KMOV A useless and stupid article!</t>
  </si>
  <si>
    <t>@KMOV A useless and stupid article!</t>
  </si>
  <si>
    <t>RT @ResignNowKim: @J_Hancock @eyokley @EricGreitens Jason: “scandals” are narratives, and they don’t just “happen”, they’re pushed by inter…</t>
  </si>
  <si>
    <t>RT @JW1057: @internalmonolo2 Katrina "Kitty" Sneed and Philip Sneed.</t>
  </si>
  <si>
    <t>@internalmonolo2 Katrina "Kitty" Sneed and Philip Sneed.</t>
  </si>
  <si>
    <t>RT @JW1057: @TeamGreitens @EricGreitens @SheenaGreitens @SCRyanSTL @ws_missouri</t>
  </si>
  <si>
    <t>@TeamGreitens @EricGreitens @SheenaGreitens @SCRyanSTL @ws_missouri</t>
  </si>
  <si>
    <t>RT @JW1057: @MariaChappelleN Watkins says he received $120k. Sullivan's contract is capped at $120k. Coincidence?
#moleg #mogov #greitens #…</t>
  </si>
  <si>
    <t>@MariaChappelleN Watkins says he received $120k. Sullivan's contract is capped at $120k. Coincidence?
#moleg #mogov #greitens #KimShady #IStandWithGreitens #GreitensTrial</t>
  </si>
  <si>
    <t>RT @CStamper_: Already two days into jury selection and Soros-backed Kim Gardner is still desperately in search of evidence she should have…</t>
  </si>
  <si>
    <t>RT @JW1057: @KMOXKilleen @EricGreitens No proof of transmission (plus other problems) means no case. Dismissal time @stlcao! You manipulate…</t>
  </si>
  <si>
    <t>@KMOXKilleen @EricGreitens No proof of transmission (plus other problems) means no case. Dismissal time @stlcao! You manipulated a vulnerable woman who had an affair into saying it was something else. God forbid Kitty harms herself after being destroyed in court. #moleg #greitens #KimShady #GreitensTrial https://t.co/fuKY6eF0kg</t>
  </si>
  <si>
    <t>RT @JW1057: 2/2 What was spent on two other experts and Enterra? Plus additional work. Don't you wonder if the CAO is actually paying these…</t>
  </si>
  <si>
    <t>RT @JW1057: 1/2 @MariaChappelleN I don't believe the $120k to Watkins was all the money spent. Where is the money for Scott Simpson coming…</t>
  </si>
  <si>
    <t>2/2 What was spent on two other experts and Enterra? Plus additional work. Don't you wonder if the CAO is actually paying these bills or some third-party is paying? CAO hasn't responded to my public records request. 
#moleg #mogov #KimShady #IStandWithGreitens #GreitensTrial</t>
  </si>
  <si>
    <t>1/2 @MariaChappelleN I don't believe the $120k to Watkins was all the money spent. Where is the money for Scott Simpson coming from? Gardner has CAO facing liability of $120k for Sullivan. Spent over $10k on expert for iPhone click sounds.</t>
  </si>
  <si>
    <t>RT @JW1057: @StLCountyRepub @realDonaldTrump @nfpstl Sorry, I must support @clairecmc over @HawleyMO. I will support any Republican other t…</t>
  </si>
  <si>
    <t>@StLCountyRepub @realDonaldTrump @nfpstl Sorry, I must support @clairecmc over @HawleyMO. I will support any Republican other than Josh Hawley, he is cancer to the party.</t>
  </si>
  <si>
    <t>RT @JW1057: @KCStar It's not a @EricGreitens scandal; it's a @stlcao. Eric is the victim.</t>
  </si>
  <si>
    <t>@KCStar It's not a @EricGreitens scandal; it's a @stlcao. Eric is the victim.</t>
  </si>
  <si>
    <t>RT @ResignNowKim: A limerick for Greg-guh: “His name was @RGreggKeller , an industry whore of a feller. He ginned up a coup, to gain IOUs,…</t>
  </si>
  <si>
    <t>RT @ResignNowKim: @Dogan4Rep @RGreggKeller @dcexaminer @Rep_TRichardson @elijahhaahr @RobVescovo I love how you’re sucking up to your donor…</t>
  </si>
  <si>
    <t>RT @ResignNowKim: Hey @RGreggKeller you’re out of touch and out of the loop. Try to keep up w current events- especially if you’re gonna tr…</t>
  </si>
  <si>
    <t>RT @TomJEstes: Let the boycotting begin. #findscott #moleg https://t.co/DV1khaaYgb</t>
  </si>
  <si>
    <t>RT @ResignNowKim: @stltoday ‘Nuther point: McKee has made tens of millions on tax credits. Good thing your #dumbshit circuit attorney @stlc…</t>
  </si>
  <si>
    <t>RT @HotPokerPrinces: This Week In Missouri Politics 
More of Scott’s Total BS
70k delivered to Al Watkins
Evading Supoena 
BOYCOTT @KDNLA…</t>
  </si>
  <si>
    <t>RT @JW1057: @KMOXKilleen @EricGreitens No photo on phone; no evidence of photo taken 3/21/15; no evidence that any such photo was deleted.…</t>
  </si>
  <si>
    <t>@KMOXKilleen @EricGreitens No photo on phone; no evidence of photo taken 3/21/15; no evidence that any such photo was deleted. Will the nasty turd Kim Gardner dismiss her farce of a case now? @SCRyanSTL 
#moleg #mogov #greitens #KimShady #IStandWithGreitens #GreitensTrial</t>
  </si>
  <si>
    <t>RT @JW1057: Hmm! 2 times in 12 years. 1 time wasn't really cheating? Were Kitty and Phil on a break so it didn't count (Ross &amp;amp; Rachel on Fr…</t>
  </si>
  <si>
    <t>Hmm! 2 times in 12 years. 1 time wasn't really cheating? Were Kitty and Phil on a break so it didn't count (Ross &amp;amp; Rachel on Friends)? Was the onetime @EricGreitens or does that not count no intercourse?
#moleg #mogov #greitens #KimShady #IStandWithGreitens #GreitensTrial https://t.co/5GodyvyEj5</t>
  </si>
  <si>
    <t>RT @ResignNowKim: @stltoday Maybe they’ll hold a hearing about @staceynewman and @stlcao @kimgardner77th  and Newman’s son’s tax credit con…</t>
  </si>
  <si>
    <t>@SKOLBLUE1 @wrap02 @EricGreitens @SheenaGreitens @stlcao One correction: I am pretty sure the affair was NOT between Eric and Sheena. Hard to have an affair with your own wife!</t>
  </si>
  <si>
    <t>RT @TomJEstes: Superintendent openly endorses @clairecmc See #moleg ? These people aren’t on your side. We need to ignore the educrats and…</t>
  </si>
  <si>
    <t>RT @TomJEstes: So, you randomly choose election season to celebrate a Democrat up for election. Whatever, dude. #mosen https://t.co/y8Ak56m…</t>
  </si>
  <si>
    <t>RT @Jesus_isPeace: The Four Shocking Messages That Reveal The #Democrat #WitchHunt Against #Republican #GovEricGreitens
#MOLeg #MOSen #Mis…</t>
  </si>
  <si>
    <t>RT @Mizzourah_Mom: The Great Greitens Railroading https://t.co/9Vjxp0H3Hs via @AmericanThinker</t>
  </si>
  <si>
    <t>RT @ResignNowKim: @JW1057 Bingo!  Could it be that there was NO SEXUAL ABUSE?!?!? #MindBlown #moleg @JaneDueker #TryReadingItWorksReally #m…</t>
  </si>
  <si>
    <t>RT @JW1057: Do you think a man who has taken a nonconsensual nude photo of you and sexually and physically abused you can be a good Governo…</t>
  </si>
  <si>
    <t>Do you think a man who has taken a nonconsensual nude photo of you and sexually and physically abused you can be a good Governor? Kitty Sneed apparently believes that or it's further evidence of her lies. I think the latter. #greitens #KimShady #IStandWithGreitens #GreitensTrial https://t.co/IWVks1Uqec</t>
  </si>
  <si>
    <t>RT @JW1057: 3/3 @RonFRichard @VisioDeiFromLA @magathemaga1 @rxpatrick @joelcurrier 
@MarkReardonKMOX @Sticknstones4 @CStamper_ @MOGOP_Chair…</t>
  </si>
  <si>
    <t>RT @JW1057: 2/3 STL Clergy Coalition Bash Gov. Greitens https://t.co/BXwD5Oc0C1 via @YouTube 
Sources say that @jaybarnes5 was given the v…</t>
  </si>
  <si>
    <t>RT @JW1057: 1/3 🚨MO Investigative Committee Conflict of Interest🚨 
@TommiePierson is a member of committee investigating @EricGreitens. Tom…</t>
  </si>
  <si>
    <t>3/3 @RonFRichard @VisioDeiFromLA @magathemaga1 @rxpatrick @joelcurrier 
@MarkReardonKMOX @Sticknstones4 @CStamper_ @MOGOP_Chairman 
@StLCountyRepub 
#moleg #mogov #greitens #KimShady #IStandWithGreitens #GreitensTrial</t>
  </si>
  <si>
    <t>2/3 STL Clergy Coalition Bash Gov. Greitens https://t.co/BXwD5Oc0C1 via @YouTube 
Sources say that @jaybarnes5 was given the video and knew of the conflict of interest but failed to take action @TeamGreitens @jeanielauer @gcmitts @shawnrhoads154 @KevinLAustin1 @Rep_TRichardson</t>
  </si>
  <si>
    <t>1/3 🚨MO Investigative Committee Conflict of Interest🚨 
@TommiePierson is a member of committee investigating @EricGreitens. Tommie Pierson's father participated in a anti-Greitens pro-Gardner rally after the indictment was issued.3</t>
  </si>
  <si>
    <t>RT @JW1057: Does anyone know, or believe that they know, the affair between @EricGreitens and Katrina Sneed began earlier that 3/21/15?  Ph…</t>
  </si>
  <si>
    <t>Does anyone know, or believe that they know, the affair between @EricGreitens and Katrina Sneed began earlier that 3/21/15?  Phil's tape transcript.
@magathemaga1 @Sticknstones4 @CStamper_ 
#moleg #mogov #greitens #KimShady #IStandWithGreitens #GreitensTrial https://t.co/W9ZHH6MBiD</t>
  </si>
  <si>
    <t>RT @JW1057: Were Philip Sneed and Al Watkins trying to blackmail @EricGreitens ? Philip, Eric wasn't in your life he was in Kitty's life. K…</t>
  </si>
  <si>
    <t>Were Philip Sneed and Al Watkins trying to blackmail @EricGreitens ? Philip, Eric wasn't in your life he was in Kitty's life. Kitty had been your ex-wife for 7 months at this time and hadn't spoken to Eric in nearly a year. What are you hiding? Who was friend? #GreitensTrial https://t.co/9PB9hf2A6a</t>
  </si>
  <si>
    <t>RT @HotPokerPrinces: @JohnSheridan12 @erinheff Focus should be who is behind the 120k cash payments delivered to the ex husbands lawyer al…</t>
  </si>
  <si>
    <t>RT @sigi_hill: DISHONORABLE CORRUPT LAWYER @jaybarnes5 #moleg working hard 2get the 'uncomfortable' Governor out of the way fast w/o any ev…</t>
  </si>
  <si>
    <t>RT @971FMTalk: No Photo Found On Governor @EricGreitens Phone @anniefreyshow Does this mean the case is over?
https://t.co/aPHjNnr1Kx</t>
  </si>
  <si>
    <t>@StLCountyRepub @stlcao @StLouisCityCA @MarkReardonKMOX @SCRyanSTL @gcmitts @TeamGreitens @jaybarnes5 @shawnrhoads154 @jeanielauer @TommiePierson @Rep_TRichardson @RonFRichard @KevinLAustin1 @jrosenbaum @joelcurrier @HennessySTL @Henryhahadavis</t>
  </si>
  <si>
    <t>@SuchHate @Sticknstones4 @EricGreitens If true, why hasn't EG just said that he was being blackmailed?</t>
  </si>
  <si>
    <t>@LRB You are a horrible "friend."</t>
  </si>
  <si>
    <t>RT @HotPokerPrinces: @MissouriRevenue 
Are you planning any Audits on all this Cash ?
120k to be exact https://t.co/tdKUaeA3UK</t>
  </si>
  <si>
    <t>RT @HennessySTL: Everyone now sees that the Greitens persecution comes down Republican career politicians colluding with half-wit Dem prose…</t>
  </si>
  <si>
    <t>RT @JW1057: @KrisKetzKMBC @EricGreitens @kmbc Question for Jordan Stanley: https://t.co/yDlj59ajeu</t>
  </si>
  <si>
    <t>@KrisKetzKMBC @EricGreitens @kmbc Question for Jordan Stanley: https://t.co/yDlj59ajeu</t>
  </si>
  <si>
    <t>RT @JW1057: Katrina "Kitty" Sneed doesn't believe her own accusations against @EricGreitens. Kitty embraces metoo and refers to secret phot…</t>
  </si>
  <si>
    <t>Katrina "Kitty" Sneed doesn't believe her own accusations against @EricGreitens. Kitty embraces metoo and refers to secret photo and blackmail of her as "allegations." Allegations as used here means denial. 
#moleg #mogov #greitens #KimShady #IStandWithGreitens #GreitensTrial https://t.co/EiBYXPu6Vp</t>
  </si>
  <si>
    <t>RT @JW1057: @EdBigCon @sarahkendzior @Koster4Missouri Do you suppose that @Koster4Missouri could have been the other man Kitty was banging?</t>
  </si>
  <si>
    <t>@EdBigCon @sarahkendzior @Koster4Missouri Do you suppose that @Koster4Missouri could have been the other man Kitty was banging?</t>
  </si>
  <si>
    <t>RT @EdBigCon: @sarahkendzior Isn’t it weird how Kitty cut @Koster4Missouri hair also?</t>
  </si>
  <si>
    <t>@CatFanatic9 Katrina is no victim.</t>
  </si>
  <si>
    <t>RT @EdBigCon: @CStamper_ Suckers thought he would resign under a fake indictment!</t>
  </si>
  <si>
    <t>RT @VisioDeiFromLA: This is nonsense.
The pool has already been tainted thanks to release of that incomplete report. 
Bench trial now
#G…</t>
  </si>
  <si>
    <t>RT @JW1057: @rlippmann @jrosenbaum I say let them finish search provided when nothing is found the case is dismissed.</t>
  </si>
  <si>
    <t>@rlippmann @jrosenbaum I say let them finish search provided when nothing is found the case is dismissed.</t>
  </si>
  <si>
    <t>RT @SheenaGreitens: Honored to join @MOKidsFirst #StandingwithChildren luncheon today to honor work of committed, compassionate child advoc…</t>
  </si>
  <si>
    <t>RT @JW1057: @ColleenMNelson @MelindaKCMO Fairness. You otherwise create perception of predetermined victimhood and the need for protection.…</t>
  </si>
  <si>
    <t>@ColleenMNelson @MelindaKCMO Fairness. You otherwise create perception of predetermined victimhood and the need for protection. No photo of KS found in 16000 photos EG had on phone. No evidence of any photo taken on 3/21/15 and no evidence of deletion. EG looking more and more life victim.</t>
  </si>
  <si>
    <t>RT @JW1057: @ChrisHayesTV Judge said, "continued disrespect." What else has Sullivan done?</t>
  </si>
  <si>
    <t>RT @MariaChappelleN: Where's @scottfaughn? 
[I can't take credit for this great puzzle. It does need amplification.] #moleg https://t.co/Kx…</t>
  </si>
  <si>
    <t>@ChrisHayesTV Judge said, "continued disrespect." What else has Sullivan done?</t>
  </si>
  <si>
    <t>RT @JW1057: @ChrisHayesTV What to you expect from an entitled Harvard jackass?</t>
  </si>
  <si>
    <t>@ChrisHayesTV What to you expect from an entitled Harvard jackass?</t>
  </si>
  <si>
    <t>RT @ChrisHayesTV: Judge tore into CAO paid consultant Ronald Sullivan, who laughed after a ruling. Judge said, "I'm not impressed with your…</t>
  </si>
  <si>
    <t>@CaseyNolen @EricGreitens Let me help you with that name: It is Katrina "Kitty" Sneed.</t>
  </si>
  <si>
    <t>RT @JW1057: @KRCG13 Now they are going to try and taint the jury itself during trial. They are going to hold hearing when @EricGreitens can…</t>
  </si>
  <si>
    <t>@KRCG13 Now they are going to try and taint the jury itself during trial. They are going to hold hearing when @EricGreitens can't attend. Can we just all finally admit @jaybarnes5 is a corrupt!
#moleg #mogov #greitens #KimShady #IStandWithGreitens #GreitensTrial</t>
  </si>
  <si>
    <t>RT @JW1057: @scottawilsons @SKOLBLUE1 @jrosenbaum I love the endless speculation. We know Kitty has a bad memory and has perjured herself.…</t>
  </si>
  <si>
    <t>@scottawilsons @SKOLBLUE1 @jrosenbaum I love the endless speculation. We know Kitty has a bad memory and has perjured herself. For example, Kitty couldn't recall Tisaby taking notes sitting inches across from her. Kitty testified before house never allowed nudes - yet in depo FaceTime with EG nude.</t>
  </si>
  <si>
    <t>RT @JW1057: @scottawilsons @jrosenbaum Even deletions leave a trail. That is the point of forensic examination.</t>
  </si>
  <si>
    <t>RT @JW1057: @scottawilsons @jrosenbaum No evidence of deletion on 3/21 either.</t>
  </si>
  <si>
    <t>@scottawilsons @jrosenbaum Even deletions leave a trail. That is the point of forensic examination.</t>
  </si>
  <si>
    <t>@scottawilsons @jrosenbaum No evidence of deletion on 3/21 either.</t>
  </si>
  <si>
    <t>RT @JW1057: @jrosenbaum You can make a murder case without a body. You still need evidence the person existed; there is no evidence the pho…</t>
  </si>
  <si>
    <t>@jrosenbaum You can make a murder case without a body. You still need evidence the person existed; there is no evidence the photo ever existed.</t>
  </si>
  <si>
    <t>@scottawilsons @jrosenbaum I know CAO got records from Apple months ago. Nothing apparently there. Remember forensics says no evidence of ANY photo taken on 3/21.</t>
  </si>
  <si>
    <t>@jrosenbaum Impossible because there is no evidence any photo was taken on day in question. Kitty's has no remaining credibility.</t>
  </si>
  <si>
    <t>@KMOXKilleen @EricGreitens I'd be there if I lived nearby! Such an abuse of the legal system by the criminal CAO Kim Gardner.</t>
  </si>
  <si>
    <t>@SKOLBLUE1 @ChrisHayesTV I'm attorney, and I have never been so embarrassed to be a part of the profession. We are supposed to be self-policing and we have clearly failed to police @stlcao out of the profession - time to correct that. @SCRyanSTL</t>
  </si>
  <si>
    <t>RT @CStamper_: Not one of 16,000 photos is of the alleged victim AND there is no photo that any photo was even taken on the date in questio…</t>
  </si>
  <si>
    <t>RT @JW1057: @shawnrhoads154 @TommiePierson @gcmitts @jeanielauer @Rep_TRichardson @jaybarnes5 @KevinLAustin1 @RonFRichard 
Great investigat…</t>
  </si>
  <si>
    <t>@shawnrhoads154 @TommiePierson @gcmitts @jeanielauer @Rep_TRichardson @jaybarnes5 @KevinLAustin1 @RonFRichard 
Great investigation folks! Hate to say it, but I warned you mortgaged your credibility. The bill has come due and no funds to pay. Foreclosure!!
https://t.co/CCiMTPP78S</t>
  </si>
  <si>
    <t>RT @JW1057: @ChrisHayesTV End the witch hunt against @EricGreitens! There isn't evidence against him. Stop wasting taxpayer money and the c…</t>
  </si>
  <si>
    <t>@VisioDeiFromLA Not even evidence of a deleted photo! Lock @stlcao her up!! @SCRyanSTL</t>
  </si>
  <si>
    <t>@ChrisHayesTV @EricGreitens @stlcao @SCRyanSTL @SheenaGreitens @TeamGreitens</t>
  </si>
  <si>
    <t>@ChrisHayesTV End the witch hunt against @EricGreitens! There isn't evidence against him. Stop wasting taxpayer money and the court's time. @stlcao @SCRyanSTL you are humiliating the legal profession &amp;amp; and abusing legal system. #KimShady #IStandWithGreitens #GreitensTrial</t>
  </si>
  <si>
    <t>RT @JW1057: @jmannies Seems like it could be highly relevant. 
#KimShady #IStandWithGreitens #GreitensTrial https://t.co/qfopk0HEPb</t>
  </si>
  <si>
    <t>@jmannies Seems like it could be highly relevant. 
#KimShady #IStandWithGreitens #GreitensTrial https://t.co/qfopk0HEPb</t>
  </si>
  <si>
    <t>RT @JW1057: @FOX2now @BommaritoAuto I sure hope you will be giving Katrina "Kitty" Sneed and Phil Sneed the same treatment. 
#KimShady #ISt…</t>
  </si>
  <si>
    <t>@FOX2now @BommaritoAuto I sure hope you will be giving Katrina "Kitty" Sneed and Phil Sneed the same treatment. 
#KimShady #IStandWithGreitens #GreitensTrial</t>
  </si>
  <si>
    <t>RT @Sticknstones4: Public defenders are asking the court to take action against the St. Louis Circuit Attorney's Office for failing to foll…</t>
  </si>
  <si>
    <t>RT @JW1057: iPhone shutter sound is not unique. The sound is also used on iPad and MacBook. The sound itself comes from Canon AE-1 camera.…</t>
  </si>
  <si>
    <t>iPhone shutter sound is not unique. The sound is also used on iPad and MacBook. The sound itself comes from Canon AE-1 camera. 
#KimShady #IStandWithGreitens #GreitensTrial</t>
  </si>
  <si>
    <t>RT @JW1057: @jrosenbaum "The woman" has a name Katrina "Kitty" Sneed use it. The Judge said it is okay. The press' failure to use Kitty's n…</t>
  </si>
  <si>
    <t>@jrosenbaum "The woman" has a name Katrina "Kitty" Sneed use it. The Judge said it is okay. The press' failure to use Kitty's name only serves to further confirm your bias.</t>
  </si>
  <si>
    <t>RT @ResignNowKim: This tweet from a scum political consultant explains it all. #moleg is wavering. They know what they’re doing to @EricGre…</t>
  </si>
  <si>
    <t>RT @ResethO: Josh Hawley is all for more gun control. That’s why we need, @AP4Liberty.  https://t.co/xYj0utqzqv</t>
  </si>
  <si>
    <t>RT @ResignNowKim: @JaneDueker 1) there is no allegation of sexual assault; 2) Kitty has no evidence of photo; 3) she returned repeatedly- f…</t>
  </si>
  <si>
    <t>RT @VisioDeiFromLA: 1. ALLEGED VICTIM 
2. Naming in public interest 
3. Presupposes women weak &amp;amp; not strong
4. If U agree, U think women R…</t>
  </si>
  <si>
    <t>RT @JW1057: @ColleenMNelson @KCStar @MelindaKCMO Yes. Why would we want to give the presumptively innocent a fair trial?</t>
  </si>
  <si>
    <t>@ColleenMNelson @KCStar @MelindaKCMO Yes. Why would we want to give the presumptively innocent a fair trial?</t>
  </si>
  <si>
    <t>@SuchHate @VisioDeiFromLA Kitty a three hole kind of woman? lol</t>
  </si>
  <si>
    <t>Kim Garder is a criminal!</t>
  </si>
  <si>
    <t>RT @JW1057: @rxpatrick @joelcurrier You know what else is "jarring" if you look over at @stlcao @SCRyanSTL your seeing Lucifer's daughter.…</t>
  </si>
  <si>
    <t>@rxpatrick @joelcurrier You know what else is "jarring" if you look over at @stlcao @SCRyanSTL your seeing Lucifer's daughter. I guess that makes @EricGreitens somewhat like Jesus persecuted. Albeit they aren't trying to crucify him - yet.</t>
  </si>
  <si>
    <t>RT @AP4Liberty: Josh Hawley will do anything to climb the political ladder, including throwing Governor @EricGreitens under the bus. 
@Hawl…</t>
  </si>
  <si>
    <t>@ResignNowKim @KMOV If Rex is too scared to rule, I will gladly take his place and rule.</t>
  </si>
  <si>
    <t>RT @ResignNowKim: @KMOV Bench trial.</t>
  </si>
  <si>
    <t>RT @SKOLBLUE1: @VisioDeiFromLA What Robert Patrick who originally posted this failed to accurately report is that they have also removed ju…</t>
  </si>
  <si>
    <t>RT @JW1057: @rxpatrick Judge is wasting the court's resources. @EricGreitens wants bench trial and Judge should honor that request.</t>
  </si>
  <si>
    <t>@rxpatrick Judge is wasting the court's resources. @EricGreitens wants bench trial and Judge should honor that request.</t>
  </si>
  <si>
    <t>RT @memoriadei: I am ashamed of #moleg the first time in the 15 yrs I have been in this great state.  Your pressure in posts and #media hav…</t>
  </si>
  <si>
    <t>RT @KurtEricksonPD: Greitens impeachment attorneys call for open process https://t.co/C1thQ82SB2 via @stltoday #moleg</t>
  </si>
  <si>
    <t>RT @VisioDeiFromLA: Bench TRIAL NOW, Judge!
#moleg #mogov #greitens #greitenstrial https://t.co/w4ZlPNI12J</t>
  </si>
  <si>
    <t>RT @christoferguson: Remind me again why a bench trial was not allowed? #Moleg https://t.co/Es26FwocMA</t>
  </si>
  <si>
    <t>RT @J_Hancock: . @MariaChappelleN says she plans to go one by one through the 34-member Senate, asking each Senator if they know where @sco…</t>
  </si>
  <si>
    <t>RT @JW1057: @joelcurrier @EricGreitens Still a better motion than Kim Gardner has ever written.</t>
  </si>
  <si>
    <t>@joelcurrier @EricGreitens Still a better motion than Kim Gardner has ever written.</t>
  </si>
  <si>
    <t>RT @magathemaga1: @rxpatrick Dude, has any reporter asked why this hasn’t gone to bench trial already?</t>
  </si>
  <si>
    <t>RT @JW1057: @joelcurrier @stltoday I trust you will be providing video of Philip Sneed and Kitty Sneed arriving at court.</t>
  </si>
  <si>
    <t>@joelcurrier @stltoday I trust you will be providing video of Philip Sneed and Kitty Sneed arriving at court.</t>
  </si>
  <si>
    <t>RT @EdBigCon: @sarahkendzior @StaarVellocet #Fact Bought and paid for GOPe are the ones trying to impeach him.  Hafner was fired because he…</t>
  </si>
  <si>
    <t>RT @MSTLGA: @RonFRichard You’re derelict of your duty 
The governor can sign passed bills into law 
Stop screwing Missouri Voters with yo…</t>
  </si>
  <si>
    <t>RT @JW1057: @KurtEricksonPD @stltoday I hope you will be posting photo of Philip Sneed and Kitty Sneed arriving at court.</t>
  </si>
  <si>
    <t>@KurtEricksonPD @stltoday I hope you will be posting photo of Philip Sneed and Kitty Sneed arriving at court.</t>
  </si>
  <si>
    <t>RT @JW1057: Should they be reopening cases Dierker presided over on the bench? He has participated in misconduct against @EricGreitens. Wha…</t>
  </si>
  <si>
    <t>Should they be reopening cases Dierker presided over on the bench? He has participated in misconduct against @EricGreitens. What other misconduct may he have participated in? @stlcao @SCRyanSTL 
#moleg #mogov #greitens #KimShady #IStandWithGreitens</t>
  </si>
  <si>
    <t>RT @JW1057: @kmoxnews Very sad Dierker has decided to destroy his reputation at the twilight of his career. Guess Dierker proved the old sa…</t>
  </si>
  <si>
    <t>@kmoxnews Very sad Dierker has decided to destroy his reputation at the twilight of his career. Guess Dierker proved the old saying true lie down with dogs and wakeup with flees; never should have laid down with KG.</t>
  </si>
  <si>
    <t>RT @HotPokerPrinces: WHEN THE SHERIFF GIVES YOU A HUG  &amp;amp; PATS YOU ONTHE BACK FOR SUPPORT 
YOU KNOW ITS A WITCH HUNT  !    GO GOVERNOR GREI…</t>
  </si>
  <si>
    <t>RT @JW1057: Days like today I am ashamed to be a member of legal profession. Kim Gardner you disgrace us all. 
#moleg #mogov #greitens #Ki…</t>
  </si>
  <si>
    <t>Days like today I am ashamed to be a member of legal profession. Kim Gardner you disgrace us all. 
#moleg #mogov #greitens #KimShady #IStandWithGreitens</t>
  </si>
  <si>
    <t>@GilbertBailon @stltoday Days like today I am ashamed to be a member of legal profession. Kim Gardner you disgrace us all.</t>
  </si>
  <si>
    <t>@KMOV Prosecution admits: No alleged photo. No witness who saw alleged photo. No evidence that alleged photo was transmitted to cloud.
KG should really have paid attention during evidence and ethics classes.
#GreitensTrial #moleg #mogov #greitens #KimShady #IStandWithGreitens</t>
  </si>
  <si>
    <t>@PDPJ @EricGreitens @stltoday Prosecution admits: No alleged photo. No witness who saw alleged photo. No evidence that alleged photo was transmitted to cloud.
KG should really have paid attention during evidence and ethics classes.
#GreitensTrial #moleg #mogov #greitens #KimShady #IStandWithGreitens</t>
  </si>
  <si>
    <t>RT @JW1057: @RobertDEdwards @AbbyLlorico @CaseyNolen @ksdknews Prosecution admits: No alleged photo. No witness who saw alleged photo. No e…</t>
  </si>
  <si>
    <t>RT @JW1057: @CaseyNolen @EricGreitens Prosecution admits: No alleged photo. No witness who saw alleged photo. No evidence that alleged phot…</t>
  </si>
  <si>
    <t>@CaseyNolen @EricGreitens Prosecution admits: No alleged photo. No witness who saw alleged photo. No evidence that alleged photo was transmitted to cloud.
KG should really have paid attention during evidence and ethics classes.</t>
  </si>
  <si>
    <t>@RobertDEdwards @AbbyLlorico @CaseyNolen @ksdknews Prosecution admits: No alleged photo. No witness who saw alleged photo. No evidence that alleged photo was transmitted to cloud.
KG should really have paid attention during evidence and ethics classes.</t>
  </si>
  <si>
    <t>RT @JW1057: @jmannies People are entitled to know who Katrina Sneed and Philip Sneed are. The fact is the people to blame are Philip for ma…</t>
  </si>
  <si>
    <t>RT @JW1057: @EricGreitens @TeamGreitens @SheenaGreitens @StLCountyRepub @stlcao @SCRyanSTL</t>
  </si>
  <si>
    <t>RT @JW1057: Prosecution admits: No alleged photo. No witness who saw alleged photo. No evidence that alleged photo was transmitted to cloud…</t>
  </si>
  <si>
    <t>@EricGreitens @TeamGreitens @SheenaGreitens @StLCountyRepub @stlcao @SCRyanSTL</t>
  </si>
  <si>
    <t>Prosecution admits: No alleged photo. No witness who saw alleged photo. No evidence that alleged photo was transmitted to cloud. KG should really have paid attention during evidence and ethics classes.
#GreitensTrial #moleg #mogov #greitens #KimShady #IStandWithGreitens</t>
  </si>
  <si>
    <t>@GilbertBailon @stltoday @skychadde Prosecution admits: No alleged photo. No witness who saw alleged photo. No evidence that alleged photo was transmitted to cloud.
KG should really have paid attention during evidence and ethics classes.
#GreitensTrial #moleg #mogov #greitens #KimShady #IStandWithGreitens</t>
  </si>
  <si>
    <t>RT @AbbyLlorico: .@EricGreitens is in the courthouse now, joined by at least one of his attorneys (pictured, Jim Martin). https://t.co/J6s0…</t>
  </si>
  <si>
    <t>@RiverfrontTimes Prosecution admits: No alleged photo. No witness who saw alleged photo. No evidence that alleged photo was transmitted to cloud.
KG should really have paid attention during evidence and ethics classes.
#GreitensTrial #moleg #mogov #greitens #KimShady #IStandWithGreitens</t>
  </si>
  <si>
    <t>RT @JW1057: @DeplorableGoldn @Buschbeer2015 @Shawtypepelina @ResignNowKim @RealTravisCook @Nanci2GH @VisioDeiFromLA @joelcurrier @HereLiesM…</t>
  </si>
  <si>
    <t>@DeplorableGoldn @Buschbeer2015 @Shawtypepelina @ResignNowKim @RealTravisCook @Nanci2GH @VisioDeiFromLA @joelcurrier @HereLiesMoon @SheenaGreitens @EricGreitens @Avenge_mypeople @EdBigCon @SKOLBLUE1 @blackwidow07 @HennessySTL @SpeakerTimJones @Hope4Hopeless1 @AWESOMECQ Prosecution admits: No alleged photo. No witness who saw alleged photo. No evidence that alleged photo was transmitted to cloud.
KG should really have paid attention during evidence and ethics classes.
#GreitensTrial #moleg #mogov #greitens #KimShady #IStandWithGreitens</t>
  </si>
  <si>
    <t>RT @JW1057: @AbbyLlorico @EricGreitens Prosecution admits: No alleged photo. No witness who saw alleged photo. No evidence that alleged pho…</t>
  </si>
  <si>
    <t>@AbbyLlorico @EricGreitens Prosecution admits: No alleged photo. No witness who saw alleged photo. No evidence that alleged photo was transmitted to cloud (presumably also not to a separate device).
#GreitensTrial #moleg #mogov #greitens #KimShady #IStandWithGreitens</t>
  </si>
  <si>
    <t>RT @RiverfrontTimes: Public defenders are asking the court to take action against the St. Louis Circuit Attorney's Office for failing to fo…</t>
  </si>
  <si>
    <t>@jmannies People are entitled to know who Katrina Sneed and Philip Sneed are. The fact is the people to blame are Philip for making &amp;amp; releasing tape &amp;amp; KG for pursuing frivolous case. Most prosecutors would have respected Kitty's request for privacy.</t>
  </si>
  <si>
    <t>RT @JW1057: KG concedes the following: No alleged photo. No witness who saw alleged photo. No evidence photo was transmitted to cloud (pres…</t>
  </si>
  <si>
    <t>KG concedes the following: No alleged photo. No witness who saw alleged photo. No evidence photo was transmitted to cloud (presumably also not to other device). 
#moleg #mogov #greitens #KimShady #IStandWithGreitens</t>
  </si>
  <si>
    <t>RT @Neilin1Neil: Missouri Governor. Underestimated! And, he is not going anywhere! @EricGreitens @RealTravisCook @Sticknstones4 @KathieConw…</t>
  </si>
  <si>
    <t>RT @JW1057: @ksdknews Why are @Rep_TRichardson @RonFRichard not doing job sending bills to @EricGreitens? It’s like they are saying screw t…</t>
  </si>
  <si>
    <t>@ksdknews Why are @Rep_TRichardson @RonFRichard not doing job sending bills to @EricGreitens? It’s like they are saying screw the people.</t>
  </si>
  <si>
    <t>RT @sigi_hill: Commending our great conservative MO Governor @EricGreitens.
While #Moleg #MoGov sewer is trying hard through nefarious #wit…</t>
  </si>
  <si>
    <t>RT @MSTLGA: Simply Outrageous Behavior 
Not Shocking Though
This is what the Far Left has Resulted too 
Sumbodybetter start to investigate…</t>
  </si>
  <si>
    <t>@fleshth @reneebeach369 @KMOV (1) A mistrial can only be declared after a trial begins. (2) A judge can grant a judgment of acquittal (regardless of bench or jury trial) at the close of the state's case. (3) I am not claiming the state doesn't have the photo or witness to photo; the state admits it.</t>
  </si>
  <si>
    <t>@reneebeach369 @fleshth @KMOV Judge's don't have authority to dismiss case because it is a waste of time. The law is very procedure oriented. The Judge's opportunity to say that the prosecution has not made a prima facie case comes when the state closes its case.</t>
  </si>
  <si>
    <t>RT @JW1057: @fleshth @KMOV Not the Judge's job to weigh evidence at this point.</t>
  </si>
  <si>
    <t>@fleshth @KMOV Not the Judge's job to weigh evidence at this point.</t>
  </si>
  <si>
    <t>RT @JW1057: @fleshth @KMOV Prosecution already admits there is no photo and no witness who ever saw alleged photo.</t>
  </si>
  <si>
    <t>@fleshth @KMOV Prosecution already admits there is no photo and no witness who ever saw alleged photo.</t>
  </si>
  <si>
    <t>@kevin_pritchett @joelcurrier There is nothing low about using relevant evidence.</t>
  </si>
  <si>
    <t>RT @ResignNowKim: @JW1057 @KMOV No photo. No conviction. No kidding. @LaurenTrager #moleg — @Rep_TRichardson @jaybarnes5 @BarklageCompany @…</t>
  </si>
  <si>
    <t>RT @JW1057: @joelcurrier Katrina "Kitty" Sneed.</t>
  </si>
  <si>
    <t>@joelcurrier Katrina "Kitty" Sneed.</t>
  </si>
  <si>
    <t>RT @Ijames2018: Release: Governor Greitens launches rural broadband initiative https://t.co/yJOWZrcqC2 via @missouritimes</t>
  </si>
  <si>
    <t>RT @JW1057: @EricGreitens we've your back. It's time to expose Kim Gardner, Robert Steele, Robert Dierker, Ronald Sullivan Jr, Phil &amp;amp; Kitty…</t>
  </si>
  <si>
    <t>@EricGreitens we've your back. It's time to expose Kim Gardner, Robert Steele, Robert Dierker, Ronald Sullivan Jr, Phil &amp;amp; Kitty Sneed &amp;amp; the rest of criminal criminal syndicate. 
@TeamGreitens @SheenaGreitens @StLCountyRepub 
#moleg #mogov #greitens #KimShady #IStandWithGreitens</t>
  </si>
  <si>
    <t>RT @JW1057: @KMOV That is the very definition of reasonable doubt. 
#moleg #mogov #greitens #KimShady #IStandWithGreitens</t>
  </si>
  <si>
    <t>@KMOV That is the very definition of reasonable doubt. 
#moleg #mogov #greitens #KimShady #IStandWithGreitens</t>
  </si>
  <si>
    <t>RT @JW1057: @ResignNowKim @joelcurrier Phil is below Beta!</t>
  </si>
  <si>
    <t>RT @ResignNowKim: @JW1057 @joelcurrier So if she’s into alpha males, then by logic, her ex-husband must be a beta male, right? Am I doing t…</t>
  </si>
  <si>
    <t>@ResignNowKim @joelcurrier Phil is below Beta!</t>
  </si>
  <si>
    <t>RT @JW1057: @ResignNowKim @joelcurrier This is Katrina Sneed also known as Kitty. She is into alpha males, 50 Shades of Grey, and bondage.…</t>
  </si>
  <si>
    <t>@ResignNowKim @joelcurrier This is Katrina Sneed also known as Kitty. She is into alpha males, 50 Shades of Grey, and bondage. Eric Greitens made Kitty purr. 
#moleg #mogov #greitens #KimShady #IStandWithGreitens https://t.co/83X6FDviQF</t>
  </si>
  <si>
    <t>RT @Nanci2GH: @ResignNowKim @VisioDeiFromLA @Buschbeer2015 @JW1057 @joelcurrier @HereLiesMoon @SheenaGreitens @EricGreitens @RealTravisCook…</t>
  </si>
  <si>
    <t>RT @ResignNowKim: @VisioDeiFromLA @Buschbeer2015 @Nanci2GH @JW1057 @joelcurrier @HereLiesMoon @SheenaGreitens @EricGreitens Phillip Sneed y…</t>
  </si>
  <si>
    <t>RT @FOX2now: Former judge and US Attorney trade barbs in Greitens hearing https://t.co/y9Lh0ZBStc https://t.co/CaCD8zRK2X</t>
  </si>
  <si>
    <t>RT @JW1057: @FOX2now All I can say of Robert Dierker is that it is sad to see a once esteemed career collapse at its twilight. Too bad! You…</t>
  </si>
  <si>
    <t>@FOX2now All I can say of Robert Dierker is that it is sad to see a once esteemed career collapse at its twilight. Too bad! Your involvement with the corruption of @stlcao is what will be remembered. @SCRyanSTL</t>
  </si>
  <si>
    <t>RT @JW1057: @BigJShoota Impossible! I have been told repeatedly that women do not lie about rape/sexual assault.</t>
  </si>
  <si>
    <t>RT @BigJShoota: #IJDKWTT 🤔🤔🤔
26 years after conviction, 2 #BlackMen have been exonerated in false rape claim.
   https://t.co/fVosmp1LIz…</t>
  </si>
  <si>
    <t>@BigJShoota Impossible! I have been told repeatedly that women do not lie about rape/sexual assault.</t>
  </si>
  <si>
    <t>RT @JW1057: All I can say of Robert Dierker is that it is sad to see a once esteemed career collapse at its twilight. Too bad! Your involve…</t>
  </si>
  <si>
    <t>All I can say of Robert Dierker is that it is sad to see a once esteemed career collapse at its twilight. Too bad! Your involvement with the corruption of @stlcao is what will be remembered. @SCRyanSTL 
#greitens #KimShady #IStandWithGreitens
https://t.co/JnsXbkIoBo</t>
  </si>
  <si>
    <t>RT @Avenge_mypeople: In case you haven't seen the latest article describing how @staceynewman used Kitty Sneed to attempt to bring down Gov…</t>
  </si>
  <si>
    <t>RT @blackwidow07: @Avenge_mypeople @SKOLBLUE1 @staceynewman Did someone that worked on @LydaKrewson campaign try to influence Gardner to ac…</t>
  </si>
  <si>
    <t>RT @SKOLBLUE1: @blackwidow07 @Avenge_mypeople @staceynewman @LydaKrewson Yes they did!</t>
  </si>
  <si>
    <t>RT @JW1057: @joelcurrier In fairness, it is time to start saying Philip Sneed and Katrina Sneed. The Judge said it is okay, if you are worr…</t>
  </si>
  <si>
    <t>@joelcurrier In fairness, it is time to start saying Philip Sneed and Katrina Sneed. The Judge said it is okay, if you are worried.</t>
  </si>
  <si>
    <t>RT @JW1057: @jrosenbaum In fairness, it is time to start saying Philip Sneed and Katrina Sneed. The Judge said it is okay, if you are worri…</t>
  </si>
  <si>
    <t>@jrosenbaum In fairness, it is time to start saying Philip Sneed and Katrina Sneed. The Judge said it is okay, if you are worried.</t>
  </si>
  <si>
    <t>RT @JW1057: @FOX2now Of course, ONE of @stlcao problem is instantaneous is not subsequent as required by the statute.</t>
  </si>
  <si>
    <t>@FOX2now Of course, ONE of @stlcao problem is instantaneous is not subsequent as required by the statute.</t>
  </si>
  <si>
    <t>RT @ws_missouri: Earlier today, Gov. Greitens met with business leaders and posted a photo of him and them on Twitter. Also today, he signe…</t>
  </si>
  <si>
    <t>RT @JW1057: @rxpatrick Kim Gardner continues to waste taxpayer money on her farce of a case.</t>
  </si>
  <si>
    <t>@rxpatrick Kim Gardner continues to waste taxpayer money on her farce of a case.</t>
  </si>
  <si>
    <t>RT @SKOLBLUE1: I see my boss in that meeting, well done! @EricGreitens you are doing a wonderful job! Thank you for your hard work and dedi…</t>
  </si>
  <si>
    <t>RT @LeonardRubin2: @JW1057 @Sticknstones4 @SuchHate @VisioDeiFromLA @SpeakerTimJones @KevinLAustin1 @jeanielauer @gcmitts @shawnrhoads154 T…</t>
  </si>
  <si>
    <t>RT @JW1057: @amysuds @EricGreitens Agreed. Don't let them take your eye off the ball. We have seen Kim Gardner's corruption and will not st…</t>
  </si>
  <si>
    <t>@amysuds @EricGreitens Agreed. Don't let them take your eye off the ball. We have seen Kim Gardner's corruption and will not stand for it. We will not allow the legislature to railroad you either. The People are Supreme!</t>
  </si>
  <si>
    <t>RT @EricGreitens: We’re shaking up government to bring more jobs and higher pay to Missouri. Today, it was great to meet with the team of b…</t>
  </si>
  <si>
    <t>RT @VisioDeiFromLA: @joelcurrier How would the jury avoid the news? Is this judge trying to taint the pool further?
Cc @MissouriGOP @jrose…</t>
  </si>
  <si>
    <t>RT @JW1057: @joelcurrier Another mistake by Judge. Jury won't be able to avoid news.</t>
  </si>
  <si>
    <t>RT @JW1057: @chadlybrown @stltoday @EricGreitens Not even close to being an accurate legal analysis.</t>
  </si>
  <si>
    <t>@chadlybrown @stltoday @EricGreitens Not even close to being an accurate legal analysis.</t>
  </si>
  <si>
    <t>@joelcurrier Another mistake by Judge. Jury won't be able to avoid news.</t>
  </si>
  <si>
    <t>@FitzpatrickMO Sounds serious!</t>
  </si>
  <si>
    <t>RT @JW1057: @stltoday The statute requires subsequent transmission. An act to take picture and act to transmit picture. What evidence do yo…</t>
  </si>
  <si>
    <t>@stltoday The statute requires subsequent transmission. An act to take picture and act to transmit picture. What evidence do you have that @EricGreitens had the default setting on. Speculation upon speculation isn't evidence. 
#moleg #mogov #greitens #KimShady #IStandWithGreitens https://t.co/wY810I4X7p</t>
  </si>
  <si>
    <t>RT @J_Hancock: Sounds like @EricGreitens is once again in the Capitol and paying visits to GOP lawmakers. This time down on the first floor…</t>
  </si>
  <si>
    <t>RT @ResignNowKim: @LaurenTrager @KMOV @HafnerMO @EricGreitens @missioncontinue Lauren, in that vein 6) Will there be a criminal referral fo…</t>
  </si>
  <si>
    <t>RT @VisioDeiFromLA: #DONNYBROOKSTL 
Please discuss #Missouri legislature Collusion 
Thank you https://t.co/6MPGUlAB58</t>
  </si>
  <si>
    <t>RT @jrosenbaum: . @EricGreitens reappointed Sen. Victor Callahan to the State Tax Commission. Guess my predictions about him swooping in an…</t>
  </si>
  <si>
    <t>RT @JW1057: @ChrisHayesTV Someone should tell Kim Gardner trial starts in less than a week. Is she trying to delay trial on the grounds she…</t>
  </si>
  <si>
    <t>@ChrisHayesTV Someone should tell Kim Gardner trial starts in less than a week. Is she trying to delay trial on the grounds she is incompetent and corrupt?</t>
  </si>
  <si>
    <t>RT @JW1057: @esqonfire @jrosenbaum @J_Hancock @joelcurrier @rxpatrick @LaurenTrager @BenjaminDPeters I believe somewhere in discovery was m…</t>
  </si>
  <si>
    <t>@esqonfire @jrosenbaum @J_Hancock @joelcurrier @rxpatrick @LaurenTrager @BenjaminDPeters I believe somewhere in discovery was mentioned Google records were obtained. I never considered the right to counsel issue. What are the chances @EricGreitens even has the same phone three years later? Seems like night before final exam and Kim hasn't studied at all until now.</t>
  </si>
  <si>
    <t>RT @VisioDeiFromLA: Does your paper not have legal council? 
It is CLEAR. 
#KimShady is scrambling one week before trial is because she…</t>
  </si>
  <si>
    <t>RT @JW1057: @ws_missouri Will, have you not been paying attention? Kim Gardner incompetent, corrupt, a criminal, brought a farce of indictm…</t>
  </si>
  <si>
    <t>@ws_missouri Will, have you not been paying attention? Kim Gardner incompetent, corrupt, a criminal, brought a farce of indictment, and realizes she has no credible evidence on which to obtain a conviction. 
#moleg #mogov #greitens #KimShady #IStandWithGreitens</t>
  </si>
  <si>
    <t>@BigJShoota @stltoday How do you know it is "burner phone?" Seems like those are things one would regularly dispose of and couldn't be from 2015.</t>
  </si>
  <si>
    <t>RT @JW1057: @rxpatrick Should have been done months ago. When Kim Gardner finds nothing on the cell phone, will they finally dismiss this f…</t>
  </si>
  <si>
    <t>@rxpatrick Should have been done months ago. When Kim Gardner finds nothing on the cell phone, will they finally dismiss this farce?
#moleg #mogov #greitens #KimShady #IStandWithGreitens</t>
  </si>
  <si>
    <t>RT @ResignNowKim: @jrosenbaum @EricGreitens Jason: I’m not silent. I’m with @EricGreitens to the bitter end.  Impeachment or no, we’re goin…</t>
  </si>
  <si>
    <t>RT @JW1057: @jrosenbaum @EricGreitens @mattmfm 
Greitens vs Schneiderman. 
#moleg #mogov #greitens #KimShady #IStandWithGreitens https://…</t>
  </si>
  <si>
    <t>@jrosenbaum @EricGreitens @mattmfm 
Greitens vs Schneiderman. 
#moleg #mogov #greitens #KimShady #IStandWithGreitens https://t.co/2HkgMeJhpy</t>
  </si>
  <si>
    <t>RT @JW1057: @chelsrodrigo @EricGreitens Schneiderman is either weak or guilty. Greitens is not weak and there is no evidence that he is gui…</t>
  </si>
  <si>
    <t>@chelsrodrigo @EricGreitens Schneiderman is either weak or guilty. Greitens is not weak and there is no evidence that he is guilty.</t>
  </si>
  <si>
    <t>RT @JW1057: @BarbaraComstock @Dogan4Rep Waiting for evidence @EricGreitens did anything wrong. We shouldn’t disregard due process because y…</t>
  </si>
  <si>
    <t>@BarbaraComstock @Dogan4Rep Waiting for evidence @EricGreitens did anything wrong. We shouldn’t disregard due process because you are having re-election difficulties.</t>
  </si>
  <si>
    <t>RT @joelcurrier: Defense lawyer Sue McGraugh weighs in on public defender Mary Fox’s petition claiming failures/delays by #stl prosecutors…</t>
  </si>
  <si>
    <t>RT @Sticknstones4: We’ve been wondering what the Heck that 
“Sexy Workout”  KS went to Greitens House to Do https://t.co/wQAIyG1P2B</t>
  </si>
  <si>
    <t>RT @JW1057: @Mike_Colombo @FOX2now @KPLR11 Old saying: It is better to remain silent and thought a fool than to open your mouth and remove…</t>
  </si>
  <si>
    <t>@Mike_Colombo @FOX2now @KPLR11 Old saying: It is better to remain silent and thought a fool than to open your mouth and remove all doubt. Too bad Kim did not adhere to that philosophy earlier. 
#moleg #mogov #greitens #KimShady #IStandWithGreitens</t>
  </si>
  <si>
    <t>RT @joelcurrier: The judge also excluded testimony of a Miami law school professor who was expected to opine on "image-based sexual abuse"…</t>
  </si>
  <si>
    <t>RT @JW1057: @joelcurrier @stlcao @EricGreitens may not be locked up, but if @stlcao withholds evidence from the Governor everyone else is t…</t>
  </si>
  <si>
    <t>@joelcurrier @stlcao @EricGreitens may not be locked up, but if @stlcao withholds evidence from the Governor everyone else is truly screwed.</t>
  </si>
  <si>
    <t>RT @joelcurrier: .@stlcao's failures in disclosing evidence keep poor defendants locked up, petition claims https://t.co/tAT2OjQm2n</t>
  </si>
  <si>
    <t>@Norasmith1000 No photo. 
No witness who ever saw alleged photo.
No evidence of what alleged photo depicted.
No evidence of subsequent transmission. 
Not in a place with a reasonable expectation of privacy. 
#moleg #mogov #greitens #KimShady #IStandWithGreitens</t>
  </si>
  <si>
    <t>RT @Mike_Colombo: Judge just decided to strike an expert witness the prosecution planned to call. That witness was said to be an expert on…</t>
  </si>
  <si>
    <t>RT @jrosenbaum: BTW: I used term $120K because apparently, according to Greitens attorney Jim Martin, @scottfaughn delivered $20K in additi…</t>
  </si>
  <si>
    <t>RT @JW1057: @KRCG13 That @stlcao is seeking a warrant for cell phone and e-mail account a week before trial says everything. (1) This shoul…</t>
  </si>
  <si>
    <t>@KRCG13 That @stlcao is seeking a warrant for cell phone and e-mail account a week before trial says everything. (1) This should've been done months ago. (2) The prosecution still doesn't have a case. (3) That Kim Gardner is corrupt and incompetent. 
#moleg #mogov #greitens #KimShady</t>
  </si>
  <si>
    <t>RT @Mike_Colombo: Greitens defense accusing prosecution of “thumbing their nose” at judge sanctions &amp;gt; Still failing to produce photo or evi…</t>
  </si>
  <si>
    <t>RT @JW1057: @KurtEricksonPD @stltoday That @stlcao is seeking a warrant for cell phone and e-mail account a week before trial says everythi…</t>
  </si>
  <si>
    <t>@KurtEricksonPD @stltoday That @stlcao is seeking a warrant for cell phone and e-mail account a week before trial says everything. (1) This should've been done months ago. (2) The prosecution still doesn't have a case. (3) That Kim Gardner is corrupt and incompetent. 
#moleg #mogov #greitens #KimShady</t>
  </si>
  <si>
    <t>RT @JW1057: @BryanLowry3 That @stlcao is seeking a warrant for cell phone and e-mail account a week before trial says everything. (1) This…</t>
  </si>
  <si>
    <t>@BryanLowry3 That @stlcao is seeking a warrant for cell phone and e-mail account a week before trial says everything. (1) This should've been done months ago. (2) The prosecution still doesn't have a case. (3) That Kim Gardner is corrupt and incompetent. 
#moleg #mogov #greitens #KimShady</t>
  </si>
  <si>
    <t>RT @JW1057: @KCStar That @stlcao is seeking a warrant for cell phone and e-mail account a week before trial says everything. (1) This shoul…</t>
  </si>
  <si>
    <t>@KCStar That @stlcao is seeking a warrant for cell phone and e-mail account a week before trial says everything. (1) This should've been done months ago. (2) The prosecution still doesn't have a case. (3) That Kim Gardner is corrupt and incompetent. 
#moleg #mogov #greitens #KimShady</t>
  </si>
  <si>
    <t>RT @JW1057: @stltoday @TeamGreitens @stlcao @StLCountyRepub @MissouriGOP @SheenaGreitens @CStamper_ @VisioDeiFromLA @Sticknstones4  
Syste…</t>
  </si>
  <si>
    <t>@stltoday @TeamGreitens @stlcao @StLCountyRepub @MissouriGOP @SheenaGreitens @CStamper_ @VisioDeiFromLA @Sticknstones4  
Systemic corruption and incompetence by Kimberly Gardner. 
#moleg #mogov #greitens #KimShady #IStandWithGreitens</t>
  </si>
  <si>
    <t>RT @stltoday: St. Louis circuit attorney's failures in disclosing evidence keep poor defendants locked up, petition claims https://t.co/fWo…</t>
  </si>
  <si>
    <t>RT @JW1057: @AbbyLlorico @EricGreitens Goes to show how desperate @stlcao has become. This should have been done, if it all, months ago. Th…</t>
  </si>
  <si>
    <t>@AbbyLlorico @EricGreitens Goes to show how desperate @stlcao has become. This should have been done, if it all, months ago. There is nothing to support that e-mail was involved in the alleged crime. 
#moleg #mogov #greitens #KimShady #IStandWithGreitens</t>
  </si>
  <si>
    <t>RT @TomJEstes: I came across this today. Is this a thing? Is Scott hiding from a subpoena?? #moleg https://t.co/bJD6lj7Ofs</t>
  </si>
  <si>
    <t>RT @HotPokerPrinces: THE NAKED TRUTH THE MEDIA REFUSES TO TELL YOU
KS testified in her deposition n June 2015 she used FaceTime with greit…</t>
  </si>
  <si>
    <t>RT @JW1057: @HotPokerPrinces Our little Kitty liked getting all naked for Eric!
#moleg #mogov #greitens #KimShady #IStandWithGreitens</t>
  </si>
  <si>
    <t>@HotPokerPrinces Our little Kitty liked getting all naked for Eric!
#moleg #mogov #greitens #KimShady #IStandWithGreitens</t>
  </si>
  <si>
    <t>RT @JW1057: @joel_capizzi @HotPokerPrinces @SykesforSenate Poor little LadderBoy, @HawleyMO, decided to climb into bed with the corrupt @st…</t>
  </si>
  <si>
    <t>@joel_capizzi @HotPokerPrinces @SykesforSenate Poor little LadderBoy, @HawleyMO, decided to climb into bed with the corrupt @stlcao and tells all we need to know about Josh Hawley. He too . is corrupt!</t>
  </si>
  <si>
    <t>RT @StLCountyRepub: Thank you @RoyBlunt “When they (people) elect somebody as governor who spent his whole time running for office talking…</t>
  </si>
  <si>
    <t>RT @JW1057: @chrisregniertv @TeamGreitens @stlcao @StLCountyRepub @MissouriGOP @MissouriTimes @SheenaGreitens 
The persecution of @EricGre…</t>
  </si>
  <si>
    <t>@chrisregniertv @TeamGreitens @stlcao @StLCountyRepub @MissouriGOP @MissouriTimes @SheenaGreitens 
The persecution of @EricGreitens will fail. I am truth and justice and Kimberly Gardner and @jaybarnes5 are frauds!
#moleg #mogov #greitens #KimShady #IStandWithGreitens https://t.co/6NlnLmEqF5</t>
  </si>
  <si>
    <t>RT @HotPokerPrinces: #greitens #moleg https://t.co/bGt4iskDjl</t>
  </si>
  <si>
    <t>RT @HotPokerPrinces: #greitens #moleg https://t.co/c67dHxmfYI</t>
  </si>
  <si>
    <t>RT @HotPokerPrinces: #greitens #moleg https://t.co/TfECmirWdf</t>
  </si>
  <si>
    <t>RT @JW1057: @jrosenbaum There isn't a credible case with Kitty's testimony. If her testimony is struck then there is no case. You can only…</t>
  </si>
  <si>
    <t>@jrosenbaum There isn't a credible case with Kitty's testimony. If her testimony is struck then there is no case. You can only muster that the case would be "weakened pretty substantially?" Yet, you wonder why @EricGreitens and his supporters don't trust the press?</t>
  </si>
  <si>
    <t>RT @Avenge_mypeople: @JW1057 @KathieConway @aaron_hedlund This new generation doesn't grasp the concept of "presumption of innocence," they…</t>
  </si>
  <si>
    <t>RT @YearOfZero: @ads302s @JW1057 @blackwidow07 @Neilin1Neil @A_Tall_Turner @stltoday @EricGreitens Which leads me to my orginal point. Why…</t>
  </si>
  <si>
    <t>RT @JW1057: @KathieConway @aaron_hedlund Guilt must be proven beyond a reasonable doubt. When the state fails to prove guilt the verdict is…</t>
  </si>
  <si>
    <t>@KathieConway @aaron_hedlund Guilt must be proven beyond a reasonable doubt. When the state fails to prove guilt the verdict is not guilty. The presumption of innocence is lost only upon conviction - a not guilty verdict preserves a defendant's innocence. #moleg #mogov #greitens #KimShady #IStandWithGreitens</t>
  </si>
  <si>
    <t>RT @JW1057: @ResignNowKim @HennessySTL @Sticknstones4 Don't forget absolute prosecutorial immunity doesn't apply to a prosecutor when condu…</t>
  </si>
  <si>
    <t>@ResignNowKim @HennessySTL @Sticknstones4 Don't forget absolute prosecutorial immunity doesn't apply to a prosecutor when conducting investigative actions. @stlcao has done substantial investigative work. Kim Gardner may be flipping burgers for decades to come.</t>
  </si>
  <si>
    <t>RT @HennessySTL: The other snake to watch is David Barklage, the consultant. He’s crafty. Installed a mole in the Greitens campaign. Leaked…</t>
  </si>
  <si>
    <t>RT @ResignNowKim: @HennessySTL Judgment Day coming for #mogop .Celebrate the  #MOGOPocalypse  .Don’t look back, or turn to salt. May @Barkl…</t>
  </si>
  <si>
    <t>RT @HennessySTL: Jay Barnes, the guy who hates #teaparty people, might be the most corrupt member of Missouri’s legislature. Keep an eye on…</t>
  </si>
  <si>
    <t>RT @ResignNowKim: @Rep_TRichardson Your speakership is over.  You’re a bastard and you’ve abused your power.  Grassroots are pissed. We kno…</t>
  </si>
  <si>
    <t>RT @Avenge_mypeople: @JW1057 @JeffSmithMO @ScottCharton @EricGreitens Acting on advice of council always looks suspect to people who have n…</t>
  </si>
  <si>
    <t>RT @JW1057: @StLCountyRepub @EricGreitens @TeamGreitens @SheenaGreitens 
I am truth and justice and @stlcao and @jaybarnes5 are frauds!…</t>
  </si>
  <si>
    <t>@StLCountyRepub @EricGreitens @TeamGreitens @SheenaGreitens 
I am truth and justice and @stlcao and @jaybarnes5 are frauds! 
Learn the actual facts behind the  persecution of Governor Eric Greitens. 
#moleg #mogov #greitens #IStandWithGreitens #KimShady https://t.co/Clfz5061Wt</t>
  </si>
  <si>
    <t>RT @HennessySTL: Greitens is an outsider. Missouri’s Republican cabal is a private club and closed. Barklage, Barnes, Hafner, Faughn are on…</t>
  </si>
  <si>
    <t>RT @HotPokerPrinces: @VisioDeiFromLA @EricGreitens @blackwidow07 @BigJShoota @SKOLBLUE1 @Norasmith1000 @EdBigCon @Sticknstones4 @Hope4Hopel…</t>
  </si>
  <si>
    <t>@RightSideUp313 @Norasmith1000 @stlcao The OCDC could as well and bring disciplinary proceeding against her that could result in her disbarment. AG would have to investigate to put @stlcao in prison.</t>
  </si>
  <si>
    <t>@RightSideUp313 @Norasmith1000 @stlcao That was big typo on my part.</t>
  </si>
  <si>
    <t>RT @JW1057: @BuckyJoe2 @EricGreitens He always said he would all the committee to depose him after trial. No decision about whether EG will…</t>
  </si>
  <si>
    <t>@BuckyJoe2 @EricGreitens He always said he would all the committee to depose him after trial. No decision about whether EG will testify at trial has been made. The press reports were wrong again. EG never promised to testify at trial and so there is no goal post moving.</t>
  </si>
  <si>
    <t>RT @HennessySTL: She’s Gestapo.  https://t.co/UXKT39Xtfu</t>
  </si>
  <si>
    <t>RT @Sticknstones4: The fact that the media would report this falsehood is just another indication of how biased the coverage of this case h…</t>
  </si>
  <si>
    <t>RT @VisioDeiFromLA: Why would Scott Charton not tweet or do commentary on his buddy Scott Faughn’s involvement in all this?
Not saying you…</t>
  </si>
  <si>
    <t>RT @jmannies: Greitens team says filing misunderstood, and that it's not decided if he will testify, or not... https://t.co/EXb2sz9N5m</t>
  </si>
  <si>
    <t>RT @JW1057: @JeffSmithMO @ScottCharton If the story is true, then it boils down to a citizen exercising his constitutional right. It's the…</t>
  </si>
  <si>
    <t>@JeffSmithMO @ScottCharton If the story is true, then it boils down to a citizen exercising his constitutional right. It's the government's duty to prove the truth of its claims. By the way, @EricGreitens has offered to be deposed by house after trial. 
#moleg #mogov #greitens #KimShady #IStandWithGreitens</t>
  </si>
  <si>
    <t>RT @JW1057: @blackwidow07 @Neilin1Neil @ads302s @A_Tall_Turner @stltoday @EricGreitens Always bad day when the Judge has to effectively Mir…</t>
  </si>
  <si>
    <t>@blackwidow07 @Neilin1Neil @ads302s @A_Tall_Turner @stltoday @EricGreitens Always bad day when the Judge has to effectively Mirandize the prosecutor.</t>
  </si>
  <si>
    <t>RT @blackwidow07: @JW1057 @Neilin1Neil @ads302s @A_Tall_Turner @stltoday @EricGreitens Judge told her to get a lawyer</t>
  </si>
  <si>
    <t>RT @JW1057: @TruittLawFirm your friend @Dogan4Rep wasn't willing to take a stand. Offer to provide picture of my photo id to Dogan for answ…</t>
  </si>
  <si>
    <t>RT @ResignNowKim: @HawleyMO what’s your connection to @KimGardnerSTL ?  Is it @staceynewman ?  Have you been coordinating your attacks on @…</t>
  </si>
  <si>
    <t>@TruittLawFirm your friend @Dogan4Rep wasn't willing to take a stand. Offer to provide picture of my photo id to Dogan for answer to simple question. No response. https://t.co/RPdp6CVicB</t>
  </si>
  <si>
    <t>@ads302s @A_Tall_Turner @stltoday @EricGreitens You seem to know morally weak people. Thank you for confirming what I have suspected for most of the day -- you are a troll. Muted.</t>
  </si>
  <si>
    <t>@ads302s @A_Tall_Turner @stltoday @EricGreitens The list of names is the list of names. See emails in report exhibit between Adams and MEC. My greatest criticism is that TMC did not keep better donor list. The list of names is public - end of story.</t>
  </si>
  <si>
    <t>RT @JW1057: @ads302s @A_Tall_Turner @stltoday @EricGreitens I take no position on EG politics. I am concerned about the criminal charges an…</t>
  </si>
  <si>
    <t>RT @JW1057: @ads302s @A_Tall_Turner @stltoday @EricGreitens KG’s misconduct is nothing to be shrugged at. We are talking about multiple vio…</t>
  </si>
  <si>
    <t>RT @SKOLBLUE1: Thank you to all Law Enforcement and their families along with Governor Greitens for your sacrifice, courage and commitment…</t>
  </si>
  <si>
    <t>@ads302s @A_Tall_Turner @stltoday @EricGreitens Why is it ignorant? I actually have not gone out of my way to conceal identity. I do place value on my privacy. No trolling here.</t>
  </si>
  <si>
    <t>@ads302s @A_Tall_Turner @stltoday @EricGreitens I take no position on EG politics. I am concerned about the criminal charges and House’s conduct in investigating those charges. Not a fan of dark money, but no one has proven unlawful conduct.</t>
  </si>
  <si>
    <t>@ads302s @A_Tall_Turner @stltoday @EricGreitens KG’s misconduct is nothing to be shrugged at. We are talking about multiple violations that may well lead to her disbarment. If new claim of secret interview with KS/withholding knowledge of payment are true, I believe case will be dismissed next week.</t>
  </si>
  <si>
    <t>@ads302s @A_Tall_Turner @stltoday @EricGreitens 3. Part 2: If you read through exhibits of Committee report. MEC e-mail exchanges admit donor list didn't have contact info for some. That contact info was easily obtainable in a quick Google search.</t>
  </si>
  <si>
    <t>@ads302s @A_Tall_Turner @stltoday @EricGreitens 3. Part 1 How can you steal a list of names that is already public?
For example, 2015 list of people giving 1k or more. 
https://t.co/aK2jCEnF0P
Click on any year and you will find full list of 1k and above donors. https://t.co/DjufaE9CqM</t>
  </si>
  <si>
    <t>@ads302s @A_Tall_Turner @stltoday @EricGreitens 2. Part 2 I don't like unfairness and injustice. I don't like people, like KG, who tarnish the practice of law. The right to call yourself an attorney is a privilege earned over years of study, work, and character &amp;amp; fitness assessments. She has disgraced us all.</t>
  </si>
  <si>
    <t>@ads302s @A_Tall_Turner @stltoday @EricGreitens 2. Part 1 I've seen prosecutorial misconduct in my career. I've seen bogus cases in my career. I've never seen this much misconduct in a single case. And, I once watched a prosecutor pursue a capital case for election purposes and dismiss it within days of winning.</t>
  </si>
  <si>
    <t>@ads302s @A_Tall_Turner @stltoday 1. I've more than tweeted. I've sent letters and reports to members of legislature, OCDC, @EricGreitens, &amp;amp; others. Probably $15 worth. Time is money. I could've engaged in projects with billable hours. The point is for me there has been no financial gain, only a loss.</t>
  </si>
  <si>
    <t>@ads302s @A_Tall_Turner @stltoday I am self-employed; I make the schedule; I make the rules. The affair has been the primary issue and is what the first trial is about. Hence, the devotion of time to it rather than the financial case. 
Is there a specific financial issue you would like me to address?</t>
  </si>
  <si>
    <t>@ads302s @A_Tall_Turner @stltoday I am doing this at the request of no one. I have not been offered or been paid a single penny. In fact, doing this has cost me money.</t>
  </si>
  <si>
    <t>RT @JW1057: @ellington_b @curtisdtrent @Rep_TRichardson @jaybarnes5 @EricGreitens @stlcao (6) For different reasons, I agree with Ellington…</t>
  </si>
  <si>
    <t>RT @JW1057: @ellington_b @curtisdtrent @Rep_TRichardson @jaybarnes5 @EricGreitens @stlcao (5) We stand at a historic and unthinkable moment…</t>
  </si>
  <si>
    <t>RT @JW1057: @ellington_b @curtisdtrent @Rep_TRichardson @jaybarnes5 @EricGreitens @stlcao (4) Now there is evidence is emerging linking thi…</t>
  </si>
  <si>
    <t>RT @JW1057: @ellington_b @curtisdtrent @Rep_TRichardson @jaybarnes5 @EricGreitens (3) That in an impeachment trial conviction is far for ce…</t>
  </si>
  <si>
    <t>RT @JW1057: @ellington_b @curtisdtrent @Rep_TRichardson @jaybarnes5 (2) You've been trying to force @EricGreitens because an impeachment tr…</t>
  </si>
  <si>
    <t>RT @JW1057: @ellington_b @curtisdtrent @Rep_TRichardson (1) I can't say that I agree with much said here. Ellington is right about one thin…</t>
  </si>
  <si>
    <t>@ellington_b @curtisdtrent @Rep_TRichardson @jaybarnes5 @EricGreitens @stlcao (6) For different reasons, I agree with Ellington that the House is engaged in misconduct. He called you on it, and you know that he is right (in part), and sought to stifle his claims.</t>
  </si>
  <si>
    <t>@ellington_b @curtisdtrent @Rep_TRichardson @jaybarnes5 @EricGreitens @stlcao (5) We stand at a historic and unthinkable moment - not an impeachment of a Governor, but the collapse of the MO Legislature. There is no parallel in American history. Ellington's statement attacks the misconduct of fellow legislatures without regard to party.</t>
  </si>
  <si>
    <t>@ellington_b @curtisdtrent @Rep_TRichardson @jaybarnes5 @EricGreitens @stlcao (4) Now there is evidence is emerging linking this whole saga from day one to members of the House, including Stacey Newman. The issue will ultimately be how many members of legislature are involved and be forced to resign. How many will face prison sentences?</t>
  </si>
  <si>
    <t>@ellington_b @curtisdtrent @Rep_TRichardson @jaybarnes5 @EricGreitens (3) That in an impeachment trial conviction is far for certain. That @stlcao brought a political indictment and has repeatedly engaged in gross misconduct that is virtually certain to ultimately result in her disbarment.</t>
  </si>
  <si>
    <t>@ellington_b @curtisdtrent @Rep_TRichardson @jaybarnes5 (2) You've been trying to force @EricGreitens because an impeachment trial in MO is judicial in nature and not political, as the federal system. You know 4/11 report, the supplemental report, and 5/2 report are all fatally flawed.</t>
  </si>
  <si>
    <t>@ellington_b @curtisdtrent @Rep_TRichardson (1) I can't say that I agree with much said here. Ellington is right about one thing if you believed claims in 4/11 report, then impeachment should have begun on 4/12. You all knew @jaybarnes5 was running his own personal Star Chamber and the report was not credible.</t>
  </si>
  <si>
    <t>@theknobboy @jrosenbaum @EricGreitens @LaurenTrager @scottfaughn An affair is a private matter. Sheena didn't go after Kitty because of the affair. Why? Kitty owed nothing to Sheena. Phil demonstrated his emotional immaturity by going after Eric over the affair. Eric owed Phil nothing. Phil should've addressed the issue with Kitty.</t>
  </si>
  <si>
    <t>RT @Sticknstones4: This is a gift @MariaChappelleN 
We Thank you for your fairness 😘❤️
Peace ✌️ https://t.co/xQy7MNbZsi</t>
  </si>
  <si>
    <t>RT @magathemaga1: #MoGov JUSTICE AWARD goes to ...
MARIA CHAPELLE NADAL
I have criticisms, but you recognized that everybody deserves due…</t>
  </si>
  <si>
    <t>RT @RetNavy93: @stl7thward @EricGreitens You need to shut your trap and get over it. We the citizens of Missouri elected the Governor in to…</t>
  </si>
  <si>
    <t>RT @crackenbob: @stl7thward @EricGreitens He won’t go away ! He’s a great governor . Get over it and move on</t>
  </si>
  <si>
    <t>@ResignNowKim @MoRepEvans @RGreggKeller @TheOnion Here is a little history about Beria and his downfall. History is a good thing to study. 
https://t.co/BZJeq4Bjwb</t>
  </si>
  <si>
    <t>@RGreggKeller Gregg tweet is still up never deleted. Sorry to burst your bubble.
  https://t.co/RNdsSRsAG5</t>
  </si>
  <si>
    <t>@RGreggKeller @FBI @SecretService @MSHPTrooperGHQ @TwitterSupport No threat. Pointing out historical facts.</t>
  </si>
  <si>
    <t>@Dogan4Rep I will DM you if you open it to me a copy of my driver's license. Provided you accept my offer.</t>
  </si>
  <si>
    <t>@Dogan4Rep I will make a deal with you. I will provide you my identify. Provided you get an answer to this question no later than 4:00 p.m. central time on Monday. Why was indictment prepared three weeks before tape surfaced and any investigation began? See footer. https://t.co/2Fj47TSdw9</t>
  </si>
  <si>
    <t>RT @JW1057: @Dogan4Rep @stlcao @EricGreitens @jaybarnes5 has tried recreating the Star Chamber. Yet, he must content with an actual court o…</t>
  </si>
  <si>
    <t>RT @JW1057: @Dogan4Rep @stlcao Kitty so traumatized by @EricGreitens and release of tape was joking (or serious) about making money on this…</t>
  </si>
  <si>
    <t>RT @JW1057: @Dogan4Rep @stlcao @stlcao concealed the fact that she knew BEFORE indictment Phil had been compensated. Concealed the existenc…</t>
  </si>
  <si>
    <t>RT @JW1057: @Dogan4Rep You don't need to withhold evidence and commit perjury if you have a good case. @stlcao has repeatedly suborned perj…</t>
  </si>
  <si>
    <t>@Dogan4Rep @stlcao @EricGreitens @jaybarnes5 has tried recreating the Star Chamber. Yet, he must content with an actual court of law that has due process.</t>
  </si>
  <si>
    <t>@Dogan4Rep @stlcao Kitty so traumatized by @EricGreitens and release of tape was joking (or serious) about making money on this whole saga. No picture. No witness who ever saw picture. No witness to testify that any picture contained nudity. No evidence of transmission.</t>
  </si>
  <si>
    <t>@Dogan4Rep @stlcao @stlcao concealed the fact that she knew BEFORE indictment Phil had been compensated. Concealed the existence of an additional interview with Kitty - no notes apparently exist of this interview.</t>
  </si>
  <si>
    <t>@Dogan4Rep You don't need to withhold evidence and commit perjury if you have a good case. @stlcao has repeatedly suborned perjury. She avoided use of SLMPD and hired a known perjurer to investigate. Met alone with Kitty, a big no no for a prosecutor. Falsified notes.</t>
  </si>
  <si>
    <t>RT @JW1057: @Dogan4Rep Your sham investigation has been exposed. We now know members of leg. were coordinating with Kitty as early as 1.11.…</t>
  </si>
  <si>
    <t>@Dogan4Rep Your sham investigation has been exposed. We now know members of leg. were coordinating with Kitty as early as 1.11.18. Money has changed hands. The question is how many members of leg. are involved and will be forced to resign and charged with crimes.</t>
  </si>
  <si>
    <t>@DavidALieb @EricGreitens @JayAshcroftMO @AP I have sources claiming that @EricGreitens may have left the toilet seat up. Please look into this very serious issue.</t>
  </si>
  <si>
    <t>@Sticknstones4 @blackwidow07 @ChrisHayesTV @SKOLBLUE1 Perhaps, she was waxing Stacey!</t>
  </si>
  <si>
    <t>RT @JW1057: @aaron_hedlund Al Watkins' continued practice of law is clearly prejudicial to the administration of justice. He should be disb…</t>
  </si>
  <si>
    <t>RT @magathemaga1: "MO Gov defense motion says politics in play starting 1-11 when MO Rep texted alleged victim “my House Dem leadership ins…</t>
  </si>
  <si>
    <t>RT @ChrisHayesTV: MO Gov defense motion says politics were in play starting 1-11 when MO Rep texted alleged victim “my House Dem leadership…</t>
  </si>
  <si>
    <t>@aaron_hedlund Al Watkins' continued practice of law is clearly prejudicial to the administration of justice. He should be disbarred. 
#moleg #mogov #greitens #KimShady #IStandWithGreitens</t>
  </si>
  <si>
    <t>RT @JW1057: @ResignNowKim @jrosenbaum @JaneDueker @EricGreitens Plus the press still doesn't report the names Philip Sneed and Katrina "Kit…</t>
  </si>
  <si>
    <t>@ResignNowKim @jrosenbaum @JaneDueker @EricGreitens Plus the press still doesn't report the names Philip Sneed and Katrina "Kitty" Sneed. The press is most certainly biased.</t>
  </si>
  <si>
    <t>@Avenge_mypeople @VisioDeiFromLA @Rep_TRichardson @Eric_Schmitt @EricGreitens Sorry, I misunderstood.</t>
  </si>
  <si>
    <t>RT @JW1057: @jrosenbaum @EricGreitens This whole farce began in part because of unethical conduct by @LaurenTrager. We know that @scottfaug…</t>
  </si>
  <si>
    <t>@jrosenbaum @EricGreitens This whole farce began in part because of unethical conduct by @LaurenTrager. We know that @scottfaughn is a courier for the conspiracy against the Gov. These people are both "journalist" you might consider that the Gov. has good reason not to trust press right now.</t>
  </si>
  <si>
    <t>RT @JW1057: @Avenge_mypeople @VisioDeiFromLA @Rep_TRichardson @Eric_Schmitt @EricGreitens Due process isn't  a courtesy; it is a fundamenta…</t>
  </si>
  <si>
    <t>@Avenge_mypeople @VisioDeiFromLA @Rep_TRichardson @Eric_Schmitt @EricGreitens Due process isn't  a courtesy; it is a fundamental right of all persons.</t>
  </si>
  <si>
    <t>RT @Sticknstones4: #MOLEG SENATORS 
WE APPRECIATE &amp;amp; SALUTE YOU
FOR RESPECTING YOUR CONSTITUENTS &amp;amp; THE WILL OF #MISSOURI VOTERS
SEN MARIA…</t>
  </si>
  <si>
    <t>RT @Str8DonLemon: Hey @J_Hancock 
How come stacey Newman didnt?
#moleg #mogov #mosen #mosenate https://t.co/17dACl3oZc</t>
  </si>
  <si>
    <t>RT @JW1057: @jrosenbaum @EricGreitens Why do reporters believe that the 1st Amendment is the only amendment? There are 26 other amendments,…</t>
  </si>
  <si>
    <t>@jrosenbaum @EricGreitens Why do reporters believe that the 1st Amendment is the only amendment? There are 26 other amendments, including the 5th Amendment. The press should be mindful of people exercising their constitutional rights. Don't ask about case and may be he would answer other questions.</t>
  </si>
  <si>
    <t>RT @JW1057: @tgilbert_13 @MoGov @EricGreitens (2) KG has suborned perjury. KG has lied herself. KS has changed stories. No photo or other e…</t>
  </si>
  <si>
    <t>RT @JW1057: @tgilbert_13 @MoGov @EricGreitens (1) No cross-examination. Incomplete reports. Intending to taint jury pool. KG knew PS receiv…</t>
  </si>
  <si>
    <t>@kmoxnews If true, the death penalty isn't sufficient punishment.</t>
  </si>
  <si>
    <t>@PubPolHist @celestebott @GilbertBailon Navy Seals operate stealthily most of the time. The media is paying witnesses and telling false narratives. Why would he talk to the media?</t>
  </si>
  <si>
    <t>@tgilbert_13 @MoGov @EricGreitens (2) KG has suborned perjury. KG has lied herself. KS has changed stories. No photo or other evidence photo ever existed, except second-hand testimony of a person who never saw any photo. Stacey Newman and Dems targeted Kitty from beginning and set her up with attorney and KG.</t>
  </si>
  <si>
    <t>@tgilbert_13 @MoGov @EricGreitens (1) No cross-examination. Incomplete reports. Intending to taint jury pool. KG knew PS received $100k before indictment and concealed that fact. KG hired known perjurer to conduct investigation and he perjured himself. KG has committed repeated discovery violations.</t>
  </si>
  <si>
    <t>RT @JW1057: @Norasmith1000 @magathemaga1 @EricGreitens @Rep_TRichardson @HotPokerPrinces @strmsptr @Hope4Hopeless1 @Avenge_mypeople @Blackb…</t>
  </si>
  <si>
    <t>@Norasmith1000 @magathemaga1 @EricGreitens @Rep_TRichardson @HotPokerPrinces @strmsptr @Hope4Hopeless1 @Avenge_mypeople @Blackboxhalo @SKOLBLUE1 @RealTravisCook @Sticknstones4 @Eric_Schmitt I'm disappointed in @StLouisCityCA. I always sort of expected her to bring in photo of Dakota Johnson in Fifty Shades and try and pass it off as Kitty. 
#moleg #mogov #greitens #KimShady #IStandWithGreitens</t>
  </si>
  <si>
    <t>RT @StevenDialTV: The Missouri Senator who posted on social media that President Trump should be asasinated did not sign #GreitensSpecialSe…</t>
  </si>
  <si>
    <t>RT @Sticknstones4: Resign Now Kim Gardner !
#MOLEG start cleaning out your
Offices https://t.co/9nzNTszGAn</t>
  </si>
  <si>
    <t>RT @JW1057: @VisioDeiFromLA @Rep_TRichardson @Eric_Schmitt @EricGreitens @MariaChappelleN can't say that I agree with much of your politics…</t>
  </si>
  <si>
    <t>@VisioDeiFromLA @Rep_TRichardson @Eric_Schmitt @EricGreitens @MariaChappelleN can't say that I agree with much of your politics but I admire your stand in favor of due process. To paraphrase Thomas Moore, we must give due process to our worst enemy to have the benefit of due process ourselves.
#moleg #mogov #greitens #IStandWithGreitens</t>
  </si>
  <si>
    <t>RT @JW1057: Now know that Stacey Newman and Dems were involved from the beginning. Newman arranged meeting between Kitty and @stlcao. Gardn…</t>
  </si>
  <si>
    <t>Now know that Stacey Newman and Dems were involved from the beginning. Newman arranged meeting between Kitty and @stlcao. Gardner also knew of payment to Watkins and Phil BEFORE indictment.
@VisioDeiFromLA @CStamper_ #moleg #mogov #greitens #KimShady #IStandWithGreitens</t>
  </si>
  <si>
    <t>@MoGov Great job @EricGreitens. You aren't alone in the struggle vs. the corrupt members of the MO Legislature. 
#moleg #mogov #greitens #KimShady #IStandWithGreitens</t>
  </si>
  <si>
    <t>RT @JW1057: @971FMTalk @MarcCox971 @HawleyMO I wouldn't support Hawley for village pooper scooper!</t>
  </si>
  <si>
    <t>RT @ResignNowKim: @JW1057 @joelcurrier @stltoday Agreed- ‘Cept I’d say x 1000</t>
  </si>
  <si>
    <t>@971FMTalk @MarcCox971 @HawleyMO I wouldn't support Hawley for village pooper scooper!</t>
  </si>
  <si>
    <t>RT @JW1057: @joelcurrier @stltoday This is Sheppard v. Maxwell, 384 U.S. 333 (1966) multiplied by a hundred.</t>
  </si>
  <si>
    <t>@WiseLionMan @joelcurrier @SharkFu @stltoday No. Generally, a judge is more immune to the press than a jury and has a greater appreciation for procedure.</t>
  </si>
  <si>
    <t>@joelcurrier @stltoday This is Sheppard v. Maxwell, 384 U.S. 333 (1966) multiplied by a hundred.</t>
  </si>
  <si>
    <t>RT @JW1057: @celestebott @GilbertBailon The salacious headlines are the problem.</t>
  </si>
  <si>
    <t>@celestebott @GilbertBailon The salacious headlines are the problem.</t>
  </si>
  <si>
    <t>RT @ws_missouri: @HawleyMO Greitens' legal team repeatedly refers to the attorney General as St. Louis Circuit Attorney Kim Gardner's "asso…</t>
  </si>
  <si>
    <t>RT @ws_missouri: Filing also says that @HawleyMO's "extrajudicial comments" after the first #moleg report "seem to be a concerted effort" w…</t>
  </si>
  <si>
    <t>RT @JW1057: @BryanLowry3 @ResignNowKim @VisioDeiFromLA @Sticknstones4 @CStamper_ Bryan: Watkins has represented PS since Sept./Oct. 2016. W…</t>
  </si>
  <si>
    <t>@BryanLowry3 @ResignNowKim @VisioDeiFromLA @Sticknstones4 @CStamper_ Bryan: Watkins has represented PS since Sept./Oct. 2016. Why did Watkins found for @EricGreitens knowing that he was so "abusive?" 
#moleg #mogov #greitens #KimShady #IStandWithGreitens</t>
  </si>
  <si>
    <t>@A_Tall_Turner @stltoday I never claimed to be from MO. The truth or falsity of an argument does not depend on who makes it.</t>
  </si>
  <si>
    <t>@stltoday The "report" doesn't outline an unlawful shadow campaign so stop implying that it was unlawful. 
#moleg #mogov #greitens #KimShady #IStandWithGreitens</t>
  </si>
  <si>
    <t>RT @JW1057: @BryanLowry3 Philip Sneed and Al Watkins there aren't two more despicable human beings who could ever deserve each other as muc…</t>
  </si>
  <si>
    <t>@BryanLowry3 Philip Sneed and Al Watkins there aren't two more despicable human beings who could ever deserve each other as much as those two. 
@ResignNowKim @VisioDeiFromLA @Sticknstones4 @CStamper_ 
#moleg #mogov #greitens #KimShady #IStandWithGreitens</t>
  </si>
  <si>
    <t>RT @strmsptr: #moleg is hell bent on nullifying the choice of #WeThePeople for Missouri Governor by calling a special session to continue t…</t>
  </si>
  <si>
    <t>RT @CStamper_: @johncombest ‘18 journalism whatever the opposite of a silver lining is: they all worked in press corps for which a member s…</t>
  </si>
  <si>
    <t>RT @JW1057: @Sticknstones4 @StLCountyRepub I wish that I was closer; I would be there.</t>
  </si>
  <si>
    <t>@Sticknstones4 @StLCountyRepub I wish that I was closer; I would be there.</t>
  </si>
  <si>
    <t>RT @Str8DonLemon: Have to agree with @EricGreitens that this is a total disservice to the law.
"FULL STATEMENT: Greitens for Missouri lega…</t>
  </si>
  <si>
    <t>RT @StLCountyRepub: A fair trial will be hard to have @EricGreitens https://t.co/JGI31UJgOI</t>
  </si>
  <si>
    <t>RT @JW1057: @StLCountyRepub @EricGreitens @TeamGreitens seek dismissal on grounds of government conduct prejudicial to admin. of justice. T…</t>
  </si>
  <si>
    <t>@StLCountyRepub @EricGreitens @TeamGreitens seek dismissal on grounds of government conduct prejudicial to admin. of justice. The House and committee are state actors. They've engaged in pattern of conduct to try and render a fair trial impossible. Thus, sanctions of the highest order are warranted.</t>
  </si>
  <si>
    <t>RT @JW1057: @BigJShoota @Rep_TRichardson @RonFRichard @jaybarnes5 practicing Lavrentiy Beria's philosophy of "[y]ou bring me the man, I'll…</t>
  </si>
  <si>
    <t>@BigJShoota @Rep_TRichardson @RonFRichard @jaybarnes5 practicing Lavrentiy Beria's philosophy of "[y]ou bring me the man, I'll find you the crime.” @EricGreitens is the man and now they're just finding the crime.
Didn't work out for Beria - executed. 
#moleg #greitens</t>
  </si>
  <si>
    <t>RT @BigJShoota: #GreitensImpeachment most likely won't succeed if he's  #NotGuilty https://t.co/gHVsIK3Xln</t>
  </si>
  <si>
    <t>RT @Sticknstones4: @JW1057 @EricGreitens @StLouisCityCA @HawleyMO @RonFRichard @Rep_TRichardson @SentinelKSMO follow @JW1057  much informat…</t>
  </si>
  <si>
    <t>RT @DeplorableGoldn: @JW1057 @RonFRichard @gcmitts @jeanielauer @TommiePierson @Rep_TRichardson @TeamGreitens @shawnrhoads154 @jaybarnes5 @…</t>
  </si>
  <si>
    <t>RT @Sticknstones4: @ksdknews Republicans can consider their careers over too if they vote to impeach greitens without due process 
They wil…</t>
  </si>
  <si>
    <t>RT @Sticknstones4: @KMOV republicans that vote to impeach will be kissing their own careers goodbye too.  Missouri will turn blue just as s…</t>
  </si>
  <si>
    <t>RT @JW1057: @HotPokerPrinces @jrosenbaum @Rep_TRichardson Anyone who respects Todd Richardson should be committed to an insane asylum. 
#m…</t>
  </si>
  <si>
    <t>RT @JW1057: @KurtEricksonPD @EricGreitens @stltoday Why don't you ask about the so-called confidentiality agreement not being fully and pro…</t>
  </si>
  <si>
    <t>@KurtEricksonPD @EricGreitens @stltoday Why don't you ask about the so-called confidentiality agreement not being fully and properly executed?</t>
  </si>
  <si>
    <t>@HotPokerPrinces @jrosenbaum @Rep_TRichardson Anyone who respects Todd Richardson should be committed to an insane asylum. 
#moleg #mogov #greitens #KimShady #IStandWithGreitens</t>
  </si>
  <si>
    <t>RT @JW1057: @RonFRichard do you have anything to tell the people of MO?
@gcmitts @jeanielauer @TommiePierson @Rep_TRichardson @TeamGreiten…</t>
  </si>
  <si>
    <t>@RonFRichard do you have anything to tell the people of MO?
@gcmitts @jeanielauer @TommiePierson @Rep_TRichardson @TeamGreitens @shawnrhoads154 @jaybarnes5 @KevinLAustin1
#moleg #mogov #greitens #KimShady #IStandWithGreitens https://t.co/b1yr5DRfty</t>
  </si>
  <si>
    <t>RT @JW1057: @Brianontheair @Rep_TRichardson He and @jaybarnes5 are running the Star Chamber so no surprise there.</t>
  </si>
  <si>
    <t>@Brianontheair @Rep_TRichardson He and @jaybarnes5 are running the Star Chamber so no surprise there.</t>
  </si>
  <si>
    <t>RT @JW1057: @gcmitts @walshgina @MactavishShawn @shawnrhoads154 @Dogan4Rep @MOGOP_Chairman @jeanielauer @esqonfire @TommiePierson @JCunning…</t>
  </si>
  <si>
    <t>@gcmitts @walshgina @MactavishShawn @shawnrhoads154 @Dogan4Rep @MOGOP_Chairman @jeanielauer @esqonfire @TommiePierson @JCunninghamMO @J_Hancock @MarkReardonKMOX @melody_grover @paulcurtman @HawleyMO @jmannies</t>
  </si>
  <si>
    <t>RT @JW1057: @J_Hancock @RonFRichard is as corrupt as they come. He would not know a fact or evidence if it punched him in the face. 
#mole…</t>
  </si>
  <si>
    <t>@J_Hancock @RonFRichard is as corrupt as they come. He would not know a fact or evidence if it punched him in the face. 
#moleg #mogov #greitens #KimShady #IStandWithGreitens</t>
  </si>
  <si>
    <t>RT @Norasmith1000: #moleg https://t.co/iqaLRNJCs2</t>
  </si>
  <si>
    <t>RT @JW1057: @MeghanKRCG13 @EricGreitens There is no honor in resigning when confronted with lies and false accusations. The honorable thing…</t>
  </si>
  <si>
    <t>@MeghanKRCG13 @EricGreitens There is no honor in resigning when confronted with lies and false accusations. The honorable thing is to fight -- and fight like hell. 
#moleg #mogov #greitens #KimShady #IStandWithGreitens</t>
  </si>
  <si>
    <t>RT @JW1057: @EricGreitens the people are behind you. We can see how @Rep_TRichardson @jaybarnes5 @RonFRichard have been bought and paid for…</t>
  </si>
  <si>
    <t>@EricGreitens the people are behind you. We can see how @Rep_TRichardson @jaybarnes5 @RonFRichard have been bought and paid for like cheaper hookers. 
@TeamGreitens @SheenaGreitens 
#moleg #mogov #greitens #KimShady #IStandWithGreitens</t>
  </si>
  <si>
    <t>RT @JW1057: @stlpublicradio @jaybarnes5 used the same words in Feb. "conduct a fair, thorough and timely investigation." Yet, he has turned…</t>
  </si>
  <si>
    <t>@stlpublicradio @jaybarnes5 used the same words in Feb. "conduct a fair, thorough and timely investigation." Yet, he has turned the committee into the Star Chamber.</t>
  </si>
  <si>
    <t>RT @JW1057: @VisioDeiFromLA @Sticknstones4 @CStamper_ @thesearcher998 @JohnLamping @jmannies @joelcurrier @rxpatrick @jaybarnes5 @gcmitts @…</t>
  </si>
  <si>
    <t>RT @JW1057: @Ptsbrian @Rep_TRichardson @kcur The committee is the one who has engaged in the wrongdoing. @jaybarnes5 is resurrecting the St…</t>
  </si>
  <si>
    <t>@Ptsbrian @Rep_TRichardson @kcur The committee is the one who has engaged in the wrongdoing. @jaybarnes5 is resurrecting the Star Chamber.</t>
  </si>
  <si>
    <t>RT @JW1057: @KRCG13 Yes. I am not aware of corrupt legislative leaders ever previously trying to stage a coup d'état in MO. 
#moleg #mogov…</t>
  </si>
  <si>
    <t>@KRCG13 Yes. I am not aware of corrupt legislative leaders ever previously trying to stage a coup d'état in MO. 
#moleg #mogov #greitens #KimShady #IStandWithGreitens</t>
  </si>
  <si>
    <t>@VisioDeiFromLA @Sticknstones4 @CStamper_ @thesearcher998 @JohnLamping @jmannies @joelcurrier @rxpatrick @jaybarnes5 @gcmitts @stltoday @Str8DonLemon @StLCountyRepub @Avenge_mypeople @ws_missouri @Norasmith1000 @SKOLBLUE1</t>
  </si>
  <si>
    <t>RT @JW1057: @MeghanKRCG13 @KRCG13 Yes. MO has never had such a corrupt legislature. @jaybarnes5 resurrecting the Star Chamber.</t>
  </si>
  <si>
    <t>@MeghanKRCG13 @KRCG13 Yes. MO has never had such a corrupt legislature. @jaybarnes5 resurrecting the Star Chamber.</t>
  </si>
  <si>
    <t>RT @JW1057: I am in possession of TMC secret donor list!
2015 https://t.co/aK2jCEnF0P
2014 https://t.co/iDmpYIeVa1
@MOHOUSECOMM @TeamGrei…</t>
  </si>
  <si>
    <t>I am in possession of TMC secret donor list!
2015 https://t.co/aK2jCEnF0P
2014 https://t.co/iDmpYIeVa1
@MOHOUSECOMM @TeamGreitens @Rep_TRichardson 
#moleg #mogov #greitens #KimShady #IStandWithGreitens</t>
  </si>
  <si>
    <t>RT @Sticknstones4: #DonnyBrookSTL Governor Greitens was duly elected
You can not pay to remove someone out of office just because you don’t…</t>
  </si>
  <si>
    <t>RT @esqonfire: The people are paying for this circus. We deserve to see it. Wrong ruling by Judge Burlison. #MoGov #Greitens https://t.co/q…</t>
  </si>
  <si>
    <t>RT @Hope4Hopeless1: @EricGreitens Governor.@EricGreitens &amp;amp; .@POTUS .@realDonaldTrump I can't begin to express my admiration &amp;amp; gratitude for…</t>
  </si>
  <si>
    <t>RT @Sticknstones4: @FOX2now There’s no picture !  There’s no picture ! There’s no picture!</t>
  </si>
  <si>
    <t>RT @Sticknstones4: #KimShady paid a $10,000 retainer and agreed to pay $475 an hour TO CONVINCE A JURY(without evidence) that there was a p…</t>
  </si>
  <si>
    <t>RT @JW1057: @NewsTribune $15k and all they got was hundreds of pages of used toilet paper!
@VisioDeiFromLA @Sticknstones4 
#moleg #mogov #…</t>
  </si>
  <si>
    <t>@NewsTribune $15k and all they got was hundreds of pages of used toilet paper!
@VisioDeiFromLA @Sticknstones4 
#moleg #mogov #greitens #KimShady #IStandWithGreitens</t>
  </si>
  <si>
    <t>RT @JW1057: @FOX2now I will happily serve pro bono as an expert witness to the fact Kim Gardner is beyond incompetent.</t>
  </si>
  <si>
    <t>@FOX2now I will happily serve pro bono as an expert witness to the fact Kim Gardner is beyond incompetent.</t>
  </si>
  <si>
    <t>RT @JosephMayberry: Privacy issues? Is there really anything else Kitty Sneed has to say that we don't already know or care about? @anniefr…</t>
  </si>
  <si>
    <t>RT @JW1057: @BryanLowry3 @rxpatrick Lauren Trager should be investigated as well.</t>
  </si>
  <si>
    <t>@BryanLowry3 @rxpatrick Lauren Trager should be investigated as well.</t>
  </si>
  <si>
    <t>RT @EricGreitens: A powerful morning at Centennial Baptist Church in Mexico, celebrating the #NationalDayofPrayer. A quiet moment of worshi…</t>
  </si>
  <si>
    <t>RT @philip_saulter: @BigJShoota @EricGreitens I can't quite get past the point that the "donor list" was public information.  Literally eve…</t>
  </si>
  <si>
    <t>@AbbyLlorico Sunlight is the best disinfectant! There is a reason @jaybarnes5 and the committee and Judge want to keep things as secretive as possible.
#moleg #mogov #greitens #KimShady #IStandWithGreitens</t>
  </si>
  <si>
    <t>RT @JW1057: @KMOV Sunlight is the best disinfectant! There is a reason @jaybarnes5 and the committee and Judge want to keep things as secre…</t>
  </si>
  <si>
    <t>@KMOV Sunlight is the best disinfectant! There is a reason @jaybarnes5 and the committee and Judge want to keep things as secretive as possible.
#moleg #mogov #greitens #KimShady #IStandWithGreitens</t>
  </si>
  <si>
    <t>RT @Sticknstones4: Catherine Hanaway would Know ! 
She was our United States Attorney for Eastern District of Missouri 
House Reports Are…</t>
  </si>
  <si>
    <t>RT @YearOfZero: @JW1057 @TeamGreitens @EricGreitens @SheenaGreitens @StLCountyRepub @MOHOUSECOMM @jeanielauer @Rep_TRichardson @gcmitts @sh…</t>
  </si>
  <si>
    <t>RT @HotPokerPrinces: WHAT A COMMUNIST RUSSIAN 🇷🇺 TRIBUNAL 
LOOKS LIKE 
COMMUNIST COMRADE JAY BARNES PRESIDING LIKE 
JUST LIKE HIS LEADER…</t>
  </si>
  <si>
    <t>RT @Sticknstones4: @jrosenbaum @mikeparson 11 days away from trial, why such a rush?  The scampering fear of the Not Guilty verdict is obvi…</t>
  </si>
  <si>
    <t>RT @JW1057: @J_Hancock @MarkReardonKMOX @ws_missouri @joelcurrier @LaurenTrager @KMOV @KMOXKilleen @stltoday @rxpatrick @MOSupremeCt 
A re…</t>
  </si>
  <si>
    <t>@J_Hancock @MarkReardonKMOX @ws_missouri @joelcurrier @LaurenTrager @KMOV @KMOXKilleen @stltoday @rxpatrick @MOSupremeCt 
A rejoinder to Edward 'Chip' Robertson Jr.
#moleg #mogov #greitens #KimShady #IStandWithGreitens https://t.co/b5vfbFZN5Q</t>
  </si>
  <si>
    <t>RT @JoeyABC17: Catherine Hanaway issues statement for Greitens for Missouri saying the release of today's report is "a tremendous disservic…</t>
  </si>
  <si>
    <t>RT @cfsho444: @EricGreitens Governor, the people are with you and will stand by you. Only the cowards currently occupying the Jefferson Cit…</t>
  </si>
  <si>
    <t>A response to Edward 'Chip' Robertson Jr. @TeamGreitens @EricGreitens @SheenaGreitens @StLCountyRepub @MOHOUSECOMM 
#moleg #mogov #greitens #KimShady #IStandWithGreitens https://t.co/GKd9dQM6JX</t>
  </si>
  <si>
    <t>RT @JW1057: @ws_missouri Why release an incomplete report?</t>
  </si>
  <si>
    <t>@ws_missouri Why release an incomplete report?</t>
  </si>
  <si>
    <t>RT @JW1057: @sigi_hill @KRCG13 @jaybarnes5 Let's be honest the MO Legislature and Kim Gardner have taken a shredder to the Missouri and US…</t>
  </si>
  <si>
    <t>@sigi_hill @KRCG13 @jaybarnes5 Let's be honest the MO Legislature and Kim Gardner have taken a shredder to the Missouri and US Constitutions. We might call it treason!</t>
  </si>
  <si>
    <t>RT @JW1057: @aaron_hedlund @CDTCivilWar @missioncontinue @BooneCoMOGOP @GovGreitensMO @EricGreitens The only crime that I see is fraud. Tha…</t>
  </si>
  <si>
    <t>@aaron_hedlund @CDTCivilWar @missioncontinue @BooneCoMOGOP @GovGreitensMO @EricGreitens The only crime that I see is fraud. That is the committee calling their work an "investigation." There are kangaroo courts with more validity that this committee. @jaybarnes5 how much have you be paid (i.e. bribed)?</t>
  </si>
  <si>
    <t>RT @HennessySTL: Regarding @EricGreitens  https://t.co/RRVcnXgKke via @youtube</t>
  </si>
  <si>
    <t>RT @seeeek: @MarkReardonKMOX Yeah he and another guy are running scams,, via tax credits for housing,rentals,etc.  Greitens was cutting off…</t>
  </si>
  <si>
    <t>RT @Neilin1Neil: Ex-Husband’sMoneyTrail n Greitens Case: $100,000 packs a payoff to "the people working to take down the governor." @EricGr…</t>
  </si>
  <si>
    <t>RT @VisioDeiFromLA: Via @ChrisHayesTV 
“Can you tell me who specifically told you to lie in this case?” The CAO’s chief investigator in th…</t>
  </si>
  <si>
    <t>RT @ResignNowKim: @MarkReardonKMOX @JW1057 @scottfaughn THANK YOU MARK!!!!!!  Thank you for asking these questions.  @scottfaughn actually…</t>
  </si>
  <si>
    <t>RT @JW1057: @MarshallGReport @EricGreitens @jrosenbaum The issue is NOT how EG got the list. The issue is how the campaign got the list and…</t>
  </si>
  <si>
    <t>RT @JW1057: @KMOVMatt The problem is not @EricGreitens thinks he is above the law. The problem is that people like @jaybarnes5 and Gail McC…</t>
  </si>
  <si>
    <t>@KMOVMatt The problem is not @EricGreitens thinks he is above the law. The problem is that people like @jaybarnes5 and Gail McCann Beatty think he is outside the protection of law, such as due process. 
#moleg #mogov #greitens #KimShady #IStandWithGreitens</t>
  </si>
  <si>
    <t>@MarshallGReport @EricGreitens @jrosenbaum The issue is NOT how EG got the list. The issue is how the campaign got the list and that was from Laub. I appreciate @jaybarnes5 is obviously ethically and intellectually compromised, but that doesn't change the truth.
#moleg #mogov #greitens #KimShady #IStandWithGreitens</t>
  </si>
  <si>
    <t>RT @JW1057: @jrosenbaum @jaybarnes5 @EricGreitens Someone should explain to Barnes that you obtain testimony and evidence before issuing a…</t>
  </si>
  <si>
    <t>@jrosenbaum @jaybarnes5 @EricGreitens Someone should explain to Barnes that you obtain testimony and evidence before issuing a report. Barnes isn't too bright is he? Just another incompetent and corrupt politician. Barnes is running a new Star Chamber. 
#moleg #mogov #greitens #KimShady #IStandWithGreitens</t>
  </si>
  <si>
    <t>RT @Lautergeist: Pay attention because this moves FAST.  Follow the thread.  It's complicated, but READ THE REPORT
#Greitens 
#GreitensInd…</t>
  </si>
  <si>
    <t>RT @HotPokerPrinces: JAY BARNES SHOULD BE DEPORTED TO RUSSIA</t>
  </si>
  <si>
    <t>RT @JW1057: @FOX2now Really! What did TMC have yesterday that it does not have today?</t>
  </si>
  <si>
    <t>@FOX2now Really! What did TMC have yesterday that it does not have today?</t>
  </si>
  <si>
    <t>RT @cfsho444: Haubner is a turncoat that went to work for Brunner who has a history of defaming those associated with Governor Greitens thr…</t>
  </si>
  <si>
    <t>RT @JW1057: @MissouriTimes @jaybarnes5 Jay Barnes is not interested in truth or justice. He is turning the MO House into the Star Chamber.</t>
  </si>
  <si>
    <t>RT @cfsho444: As most objective observers have stated from the beginning, this is a bipartisan witch-hunt to run a decorated war hero dully…</t>
  </si>
  <si>
    <t>RT @JW1057: @VisioDeiFromLA In fairness, people like @jaybarnes5 are already in office and don't understand due process. Worse still Jay Ba…</t>
  </si>
  <si>
    <t>@VisioDeiFromLA In fairness, people like @jaybarnes5 are already in office and don't understand due process. Worse still Jay Barnes is supposedly an attorney. Apparently, an awful attorney. God help his clients!</t>
  </si>
  <si>
    <t>@MissouriTimes @jaybarnes5 Jay Barnes is not interested in truth or justice. He is turning the MO House into the Star Chamber.</t>
  </si>
  <si>
    <t>RT @ZavalaA: Hours after investigative committee releases report on the Governor... https://t.co/5o08swNWrm</t>
  </si>
  <si>
    <t>RT @JackSuntrup: Update: @achambersgop told the Post-Dispatch he was never asked to be interviewed by the committee. He said Laub's testimo…</t>
  </si>
  <si>
    <t>RT @BryanLowry3: Statement from Greitens campaign attorney who ran against him for GOP nomination criticizes #moleg report in part because…</t>
  </si>
  <si>
    <t>RT @KCNewsGuy: Here's the full statement from the Legal Counsel for @EricGreitens.
#moleg #mogov #greitens https://t.co/rPGY7lEvMB</t>
  </si>
  <si>
    <t>RT @JW1057: @jaybarnes5 is hard at work recreating the Star Chamber! 
#moleg #mogov #greitens #KimShady #IStandWithGreitens</t>
  </si>
  <si>
    <t>@jaybarnes5 is hard at work recreating the Star Chamber! 
#moleg #mogov #greitens #KimShady #IStandWithGreitens</t>
  </si>
  <si>
    <t>RT @sigi_hill: #moleg #mogov #greitens #KimShady #IStandWithGreitens https://t.co/3NNNGaUvXX</t>
  </si>
  <si>
    <t>RT @JW1057: @ws_missouri Thus providing evidence for why Republicans are out to get him.</t>
  </si>
  <si>
    <t>RT @MarkReardonKMOX: My bottom line on my interview with @scottfaughn:
--he NEVER answered the question directly about why he gave Watkins…</t>
  </si>
  <si>
    <t>@ws_missouri Thus providing evidence for why Republicans are out to get him.</t>
  </si>
  <si>
    <t>@Sticknstones4 @stltoday EG is charged under 565.252. The rape shield statute applies to charges under 566 and 568. KG is bad a law, bad at math, and bad a literacy.
https://t.co/TWSAnta6HS</t>
  </si>
  <si>
    <t>@ksdknews EG is charged under 565.252. The rape shield statute applies to charges under 566 and 568. KG is bad a law, bad at math, and bad a literacy.
https://t.co/TWSAnta6HS</t>
  </si>
  <si>
    <t>RT @JW1057: @lindsaywise If Watkins couldn't give last name of currier, how does this Skyler know that the intent of the currier was to fra…</t>
  </si>
  <si>
    <t>@lindsaywise If Watkins couldn't give last name of currier, how does this Skyler know that the intent of the currier was to frame him? If Watkins only had the name "Skyler" it could refer to any Skyler and not this Skyler specifically.</t>
  </si>
  <si>
    <t>@ws_missouri Keep my posted on when and what he has for lunch!</t>
  </si>
  <si>
    <t>@jonesmarkh @EricGreitens Ignorance is not bliss!</t>
  </si>
  <si>
    <t>RT @JW1057: @JennSullivanTV @ksdknews Kitty into getting gangbanged?</t>
  </si>
  <si>
    <t>@JennSullivanTV @ksdknews Kitty into getting gangbanged?</t>
  </si>
  <si>
    <t>RT @JW1057: @jonesmarkh @RDevanter @jrosenbaum @scottfaughn @EricGreitens (1) Testimony is under oath so no three years testimony. Her stat…</t>
  </si>
  <si>
    <t>RT @JW1057: @jonesmarkh @RDevanter @jrosenbaum @scottfaughn @EricGreitens (2) Testified to house never allowed self to be photographed nude…</t>
  </si>
  <si>
    <t>@jonesmarkh @RDevanter @jrosenbaum @scottfaughn @EricGreitens (2) Testified to house never allowed self to be photographed nude. Testified in depo that she FaceTimed EG nude in 6/15.</t>
  </si>
  <si>
    <t>@jonesmarkh @RDevanter @jrosenbaum @scottfaughn @EricGreitens (1) Testimony is under oath so no three years testimony. Her statements on audio differ from subsequent statements (e.g. no oral sex referenced). One friend admits she never heard about slap until 1/18. Any evidence of when tape was made, except testimony?</t>
  </si>
  <si>
    <t>RT @JW1057: @shawnrhoads154 @TommiePierson @gcmitts @jeanielauer @Rep_TRichardson @jaybarnes5 @KevinLAustin1 
@stlcao @RonFRichard 
#moleg…</t>
  </si>
  <si>
    <t>RT @JW1057: A friendly reminder that in the end you will have no refuge. 
If I destroy the law to destroy the Devil then I am without safe…</t>
  </si>
  <si>
    <t>@shawnrhoads154 @TommiePierson @gcmitts @jeanielauer @Rep_TRichardson @jaybarnes5 @KevinLAustin1 
@stlcao @RonFRichard 
#moleg #mogov #greitens #KimShady #IStandWithGreitens</t>
  </si>
  <si>
    <t>A friendly reminder that in the end you will have no refuge. 
If I destroy the law to destroy the Devil then I am without safety. I give the Devil benefit of law for my own safety sake. 
A Man for All Seasons - The Devil Speech https://t.co/ZtlwM6nQzU via @YouTube</t>
  </si>
  <si>
    <t>RT @JW1057: @RDevanter @jonesmarkh @jrosenbaum @scottfaughn @EricGreitens You can raise funds to pay for your legal bills. The question is…</t>
  </si>
  <si>
    <t>@RDevanter @jonesmarkh @jrosenbaum @scottfaughn @EricGreitens You can raise funds to pay for your legal bills. The question is are those funds received either with an explicit or implicit agreement to testify. That goes to bias. Remember PS talked about a trust for kids. 2 of his kids are also KS kids, an indirect benefit.</t>
  </si>
  <si>
    <t>@EggerTWS @YearOfZero @jaybarnes5 (2) Regarding release of information about criminal activity. Difficult question and depends on specifics. I'd say in this instance trial is two weeks away, they haven't completed investigation so the report should be held until the investigation completed and trial over.</t>
  </si>
  <si>
    <t>@EggerTWS @YearOfZero @jaybarnes5 (1) They released the first report without having a completed investigation. Even the supplemental report admits that they still don't have complete information. The same is true of this report. No report should be released until completed.</t>
  </si>
  <si>
    <t>RT @JW1057: @jonesmarkh @jrosenbaum @scottfaughn @EricGreitens The law doesn't permit paying fact witnesses. As for the other issues, they…</t>
  </si>
  <si>
    <t>@jonesmarkh @jrosenbaum @scottfaughn @EricGreitens The law doesn't permit paying fact witnesses. As for the other issues, they should be disclosed as the law requires.</t>
  </si>
  <si>
    <t>RT @JW1057: @EggerTWS @YearOfZero @jaybarnes5 Your still polluting jury pool. 
We have already seen that the committee cannot conduct a co…</t>
  </si>
  <si>
    <t>@EggerTWS @YearOfZero @jaybarnes5 Your still polluting jury pool. 
We have already seen that the committee cannot conduct a competent and fair investigation. You don't have to wait to get ran over by the train to know you should get out of the way.</t>
  </si>
  <si>
    <t>RT @VisioDeiFromLA: @TrumpChess @Eric_Schmitt @Rep_TRichardson @Norasmith1000 @SKOLBLUE1 @HotPokerPrinces @Sticknstones4 @philip_saulter @H…</t>
  </si>
  <si>
    <t>@jonesmarkh @jrosenbaum @scottfaughn @EricGreitens You can't pay fact witness for their testimony. We must also ask who is paying KS's expenses. She sure is incurring a lot of attorney fees for a single mother receiving no child support, whose ability to work is limited by school and this case.</t>
  </si>
  <si>
    <t>RT @JW1057: @jrosenbaum @scottfaughn Why would  lobbyist/developers be in for questioning? They'll ask Scott a few questions behind closed…</t>
  </si>
  <si>
    <t>@jrosenbaum @scottfaughn Why would  lobbyist/developers be in for questioning? They'll ask Scott a few questions behind closed doors to say they did their job. Of course, we know who is compensating the committee members and its not the taxpayers. 
#moleg #mogov #greitens #KimShady #IStandWithGreitens</t>
  </si>
  <si>
    <t>RT @jrosenbaum: A big question for House committee — do you just subpoena @scottfaughn? Or do you also bring in low income housing tax cred…</t>
  </si>
  <si>
    <t>RT @Sticknstones4: @YearOfZero @Mizzourah_Mom I suspect these Missouri 5 need to be scrutinized 
Jay Barnes (R), Don Phillips (R), Kevin A…</t>
  </si>
  <si>
    <t>RT @JW1057: A friendly reminder that since April 11, 2018 The Committee has been operating without authority. If it The Committee wasn't sh…</t>
  </si>
  <si>
    <t>A friendly reminder that since April 11, 2018 The Committee has been operating without authority. If it The Committee wasn't sham then, it certainly is now. 
@VisioDeiFromLA @Sticknstones4 @CStamper_ @magathemaga1 
#moleg #mogov #greitens #KimShady #IStandWithGreitens https://t.co/9PPyeFPEko</t>
  </si>
  <si>
    <t>RT @JW1057: @scottfaughn Was that $50k report to the IRS? Why did you give Skylar the other $50k? Did you file Form 8300? IRS is likely goi…</t>
  </si>
  <si>
    <t>@scottfaughn Was that $50k report to the IRS? Why did you give Skylar the other $50k? Did you file Form 8300? IRS is likely going to come asking! @VisioDeiFromLA @rexsinquefield @Sticknstones4 @CStamper_ 
#moleg #mogov #greitens #KimShady #IStandWithGreitens</t>
  </si>
  <si>
    <t>@DeplorableGoldn @EricGreitens @SheenaGreitens @TeamGreitens @CStamper_ @Sticknstones4 @MactavishShawn @melody_grover @MissouriTimes @MarkReardonKMOX @jeanielauer @Rep_TRichardson @gcmitts @jaybarnes5 @RonFRichard @TommiePierson @SCRyanSTL Philip Sneed and Katrina "Kitty" Sneed.</t>
  </si>
  <si>
    <t>RT @sigi_hill: @Sticknstones4 We Greitens-supporters knew this is a corrupt witch-hunt on the outsider Governor. Now we need to push hard t…</t>
  </si>
  <si>
    <t>RT @VisioDeiFromLA: @jrosenbaum @EricGreitens @Hope4Hopeless1 @Sticknstones4 @SKOLBLUE1 @Eric_Schmitt @GOPMissouri @STLCountyGOP @paulcurtm…</t>
  </si>
  <si>
    <t>RT @JW1057: I fight harder for @EricGreitens. 
@SheenaGreitens @TeamGreitens @CStamper_ @Sticknstones4 @MactavishShawn @melody_grover @Mis…</t>
  </si>
  <si>
    <t>I fight harder for @EricGreitens. 
@SheenaGreitens @TeamGreitens @CStamper_ @Sticknstones4 @MactavishShawn @melody_grover @MissouriTimes @MarkReardonKMOX 
#moleg #mogov #greitens #KimShady #IStandWithGreitens https://t.co/vSUdyqOS3P</t>
  </si>
  <si>
    <t>RT @JW1057: @ws_missouri I fight harder for @EricGreitens. 
@SheenaGreitens @TeamGreitens @CStamper_ @Sticknstones4 
#moleg #mogov #greit…</t>
  </si>
  <si>
    <t>@ws_missouri I fight harder for @EricGreitens. 
@SheenaGreitens @TeamGreitens @CStamper_ @Sticknstones4 
#moleg #mogov #greitens #KimShady #IStandWithGreitens https://t.co/FFhAAgw0WZ</t>
  </si>
  <si>
    <t>RT @JW1057: @KRCG13 @EricGreitens Good! Now, I don't need to go out and get toilet paper. The "Committee" provides it. @Rep_TRichardson @ja…</t>
  </si>
  <si>
    <t>@KRCG13 @EricGreitens Good! Now, I don't need to go out and get toilet paper. The "Committee" provides it. @Rep_TRichardson @jaybarnes5 #moleg #mogov #greitens #KimShady #IStandWithGreitens</t>
  </si>
  <si>
    <t>RT @JW1057: @CaseyNolen Good! Now, I don't need to go out and get toilet paper. The "Committee" provides it. @Rep_TRichardson @jaybarnes5 #…</t>
  </si>
  <si>
    <t>@CaseyNolen Good! Now, I don't need to go out and get toilet paper. The "Committee" provides it. @Rep_TRichardson @jaybarnes5 #moleg #mogov #greitens #KimShady #IStandWithGreitens</t>
  </si>
  <si>
    <t>RT @JW1057: @ws_missouri I love these one-sided reports from corrupt house members. They are so easily discredited, just like Kitty.
#mole…</t>
  </si>
  <si>
    <t>@ws_missouri I love these one-sided reports from corrupt house members. They are so easily discredited, just like Kitty.
#moleg #mogov #greitens #KimShady #IStandWithGreitens</t>
  </si>
  <si>
    <t>RT @RightSideUp313: @jrosenbaum @scottfaughn @EricGreitens Skyler Roundtree worked for Bruners campaign and is connected to Faughn, that’s…</t>
  </si>
  <si>
    <t>RT @JW1057: @usatodayDC @ws_missouri @EricGreitens @TeamGreitens should fight this witch hunt to the bitter end! I have his back 100%!
#mo…</t>
  </si>
  <si>
    <t>@usatodayDC @ws_missouri @EricGreitens @TeamGreitens should fight this witch hunt to the bitter end! I have his back 100%!
#moleg #mogov #greitens #KimShady #IStandWithGreitens</t>
  </si>
  <si>
    <t>RT @JW1057: @ws_missouri @EricGreitens These "lawmakers" by signing signing the document know that they are supporting corruption and uneth…</t>
  </si>
  <si>
    <t>@ws_missouri @EricGreitens These "lawmakers" by signing signing the document know that they are supporting corruption and unethical conduct. They don't want to be publicly known to be named and shamed. Cowards!</t>
  </si>
  <si>
    <t>RT @JW1057: Why is no one asking why the indictment was drafted on 12/22/17? Three weeks before tape aired and investigation began. KG is a…</t>
  </si>
  <si>
    <t>Why is no one asking why the indictment was drafted on 12/22/17? Three weeks before tape aired and investigation began. KG is avoiding my public records request for metadata. Why? You don't believe $100k is all that was spent?
@joelcurrier @johnrhancock @jrosenbaum @rxpatrick https://t.co/mIbVuaqK1i</t>
  </si>
  <si>
    <t>RT @JW1057: @WakeUp2Politics @EricGreitens When "journalist" stop being cash curriers for political opponents!</t>
  </si>
  <si>
    <t>@WakeUp2Politics @EricGreitens When "journalist" stop being cash curriers for political opponents!</t>
  </si>
  <si>
    <t>RT @JW1057: @J_Hancock @EricGreitens You know what is even more scandalous? The taxes were paid on the lakefront property with a check endo…</t>
  </si>
  <si>
    <t>@J_Hancock @EricGreitens You know what is even more scandalous? The taxes were paid on the lakefront property with a check endorsed by @SheenaGreitens. Sources tell me she maybe EG's wife! @VisioDeiFromLA @Sticknstones4</t>
  </si>
  <si>
    <t>RT @Sticknstones4: @JW1057 @YearOfZero Such a nothing  Burger🍔 at least greitens bills get paid
And he’s responsible to make sure they’re p…</t>
  </si>
  <si>
    <t>RT @KCMikeMahoney: Mo. Gov. Eric Greitens authorizes National Guard troops to be used at AZ border. 4 Guardsmen and a UH-72 Lakota helicopt…</t>
  </si>
  <si>
    <t>RT @Sticknstones4: @YearOfZero They are digging deep, im waiting for when they find his Apple core &amp;amp; it comes back non organic</t>
  </si>
  <si>
    <t>RT @YearOfZero: You do realize Lindsay there is nothing illegal about this, don’t you? 
Unless you can prove tit for tat, this is a nonsen…</t>
  </si>
  <si>
    <t>RT @JW1057: @lindsaywise Did you hear the check was signed by a mysterious woman named "Sheena?" I have sources that tell me "Sheena" is po…</t>
  </si>
  <si>
    <t>RT @JW1057: @Sticknstones4 @YearOfZero Did you hear the check was signed by a mysterious woman named "Sheena?" I have sources that tell me…</t>
  </si>
  <si>
    <t>@Sticknstones4 @YearOfZero Did you hear the check was signed by a mysterious woman named "Sheena?" I have sources that tell me "Sheena" is possibly Eric's wife and the account as a joint account of Eric and Sheena.</t>
  </si>
  <si>
    <t>@lindsaywise Did you hear the check was signed by a mysterious woman named "Sheena?" I have sources that tell me "Sheena" is possibly Eric's wife and the account as a joint account of Eric and Sheena.</t>
  </si>
  <si>
    <t>RT @DeplorableGoldn: That's my governor!  #Moleg #greitens https://t.co/RX7UeO1s5O</t>
  </si>
  <si>
    <t>RT @ResignNowKim: @JaneDueker Yes. Accountability.  Let’s talk about it, Jane.  Who buys the time for your radio show?  What sponsors—- or…</t>
  </si>
  <si>
    <t>RT @ResignNowKim: @KMOXKilleen always have respected you and @charliekmox .  Query: how is K.S. Paying her attorney Simpson?  Did Simpson g…</t>
  </si>
  <si>
    <t>RT @magathemaga1: Good evening #MoLeg &amp;amp; #MoGov except @Rep_TRichardson 
#Missouri realizing even more the #GreitensIndictment is total wit…</t>
  </si>
  <si>
    <t>RT @DeplorableGoldn: Great answer! #moleg https://t.co/G1VPfFRvtM</t>
  </si>
  <si>
    <t>RT @Robinsi95136251: @KCStar Worthless Hawley!
@HawleyMO</t>
  </si>
  <si>
    <t>RT @Robinsi95136251: @KMOV AG is going down. We are sick of your Antics! @HawleyMO</t>
  </si>
  <si>
    <t>RT @philip_saulter: @DaRon_McGee @PeterforMO @EricGreitens @Rep_TRichardson I certainly hope our Republican super majority understands any…</t>
  </si>
  <si>
    <t>RT @ohsynesthesia: @DaRon_McGee @PeterforMO @EricGreitens @Rep_TRichardson Does this not concern anyone,that their career can be decimated…</t>
  </si>
  <si>
    <t>RT @JW1057: @jrosenbaum @EricGreitens It does matter!  PS said some money would go to a trust for his kids. Two of his kids are KS' kids. D…</t>
  </si>
  <si>
    <t>@jrosenbaum @EricGreitens It does matter!  PS said some money would go to a trust for his kids. Two of his kids are KS' kids. Do you believe only 100k spent? Who is paying KS' legal fees? Expensive for single mom of 3 receiving no child support whose ability to work is reduced by school and this case.</t>
  </si>
  <si>
    <t>RT @JW1057: Gardner signed Enterra contract on 1/18. Gardner first interviewed KS on 1/24. Why hire an investigator and the do the job of t…</t>
  </si>
  <si>
    <t>Gardner signed Enterra contract on 1/18. Gardner first interviewed KS on 1/24. Why hire an investigator and the do the job of the investigator? If you were going to question KS first, why not to do so before committing to the contract? Strange! #KimShady #IStandWithGreitens</t>
  </si>
  <si>
    <t>RT @JeanieSmithKSDK: Today, Governor @EricGreitens authorized the deployment of Missouri Army National Guard troops and resources to the so…</t>
  </si>
  <si>
    <t>RT @VisioDeiFromLA: @parkerwbriden @EricGreitens Stand strong man! You got some evil forces aligned against you</t>
  </si>
  <si>
    <t>RT @Narnold548Nancy: @BarryAycock @BryanLowry3 @MarkReardonKMOX @scottfaughn @zglmoo Not a Greitens fan at all but it does matter to me tha…</t>
  </si>
  <si>
    <t>RT @Sticknstones4: @parkerwbriden @EricGreitens Thank you for sharing , we love our Governor that we elected !</t>
  </si>
  <si>
    <t>RT @VisioDeiFromLA: Per @jrosenbaum:
“Correction: The MO Supreme Court denied a bid to prevent Al Watkins from answering more questions ab…</t>
  </si>
  <si>
    <t>RT @KurtEricksonPD: The special committee investigating @EricGreitens has canceled today’s meeting #moleg</t>
  </si>
  <si>
    <t>RT @VisioDeiFromLA: It's not a witch hunt 
It's not a witch hunt 
It's not a witch hunt 
It's not a witch hunt 
It's not a witch hunt 
It's…</t>
  </si>
  <si>
    <t>RT @JW1057: @SCRyanSTL @StLouisCityCA @LaurenTrager @ChristopherAve @KCMikeMahoney I am shocked incompetence and lies out of Kim Gardner's…</t>
  </si>
  <si>
    <t>@SCRyanSTL @StLouisCityCA @LaurenTrager @ChristopherAve @KCMikeMahoney I am shocked incompetence and lies out of Kim Gardner's office. We all know that she is corrupt and the corrupt must hide their crimes.</t>
  </si>
  <si>
    <t>@ChrisHayesTV Corruption 101!</t>
  </si>
  <si>
    <t>RT @JW1057: Supplemental "report" (4 pages) regarding EG consisted of a single transcript the committee had for 17 days. Committee makes a…</t>
  </si>
  <si>
    <t>Supplemental "report" (4 pages) regarding EG consisted of a single transcript the committee had for 17 days. Committee makes a surprise announcement of the supplemental report as Watkins is being deposed. Coincidence? Nope!
#moleg #mogov #greitens #KimShady #IStandWithGreitens</t>
  </si>
  <si>
    <t>RT @Str8DonLemon: Who is Skyler?
#moleg #mogov #greitens #GreitensIndictment #stl #Missouri https://t.co/CphG7Jk8R6</t>
  </si>
  <si>
    <t>RT @parkerwbriden: Great to see a lot of awesome Missourians and @EricGreitens celebrating the freedom of the road and having some fun this…</t>
  </si>
  <si>
    <t>@parkerwbriden @EricGreitens We love Governor Greitens. Stand strong against the corruption of Kimberly Gardner and the Missouri Legislature. The People are supreme and have chosen Governor Greitens. 
@stlcao @MOHOUSECOMM. 
#moleg #mogov #greitens #KimShady #IStandWithGreitens</t>
  </si>
  <si>
    <t>RT @JW1057: @joelcurrier @LaurenTrager @stlcao Sounds like Kim Gardner is getting a little nervous.</t>
  </si>
  <si>
    <t>@joelcurrier @LaurenTrager @stlcao Sounds like Kim Gardner is getting a little nervous.</t>
  </si>
  <si>
    <t>RT @JW1057: @jrosenbaum Al was requesting writ of prohibition. Your picture indicates the writ was denied, and therefore EG can ask about s…</t>
  </si>
  <si>
    <t>@jrosenbaum Al was requesting writ of prohibition. Your picture indicates the writ was denied, and therefore EG can ask about source.</t>
  </si>
  <si>
    <t>@jrosenbaum @EricGreitens @scottfaughn @chuckhatfield Al was requesting writ of prohibition. You picture indicates the writ was denied, and therefore EG can ask about source.</t>
  </si>
  <si>
    <t>@MarkReardonKMOX @Sticknstones4 @scottfaughn @KMOX The press needs to start fully covering this story and that means formally naming names: Philip Sneed and Katrina Sneed.</t>
  </si>
  <si>
    <t>RT @JW1057: @MarkReardonKMOX @VisioDeiFromLA Are you asking questions as to who is paying Scott Simpson? Attorney fees add up for a single…</t>
  </si>
  <si>
    <t>@MarkReardonKMOX @VisioDeiFromLA Are you asking questions as to who is paying Scott Simpson? Attorney fees add up for a single mother of three who is not receiving child support from PS, the father of two of those children. Since KS is also a student her income is undoubtedly reduced with less time to work.</t>
  </si>
  <si>
    <t>RT @Norasmith1000: And, NO ONE forced this woman to go to SHEENA's house. She knew EG is married, if she didnt want or expect sex there wou…</t>
  </si>
  <si>
    <t>RT @VisioDeiFromLA: @JW1057 @ksdknews The problem is, them having to add an addendum presupposes they either thought she wasn’t credible or…</t>
  </si>
  <si>
    <t>RT @JW1057: @THatfieldMO @HawleyMO Well, he does need to get out of the gym some times.</t>
  </si>
  <si>
    <t>@THatfieldMO @HawleyMO Well, he does need to get out of the gym some times.</t>
  </si>
  <si>
    <t>RT @aaron_hedlund: That whooshing noise everybody heard yesterday was the sound of the last small remnants of a certain somebody's journali…</t>
  </si>
  <si>
    <t>RT @JW1057: 🚨Breaking News🚨 
Undercover video of MO House investigative committee at work. 
@jaybarnes5 @jeanielauer @gcmitts @TommiePier…</t>
  </si>
  <si>
    <t>🚨Breaking News🚨 
Undercover video of MO House investigative committee at work. 
@jaybarnes5 @jeanielauer @gcmitts @TommiePierson @shawnrhoads154 @TommiePierson @Rep_TRichardson @TeamGreitens 
 https://t.co/iZpS72XfYX
#moleg #mogov #greitens #KimShady #IStandWithGreitens</t>
  </si>
  <si>
    <t>RT @JW1057: @ksdknews Of course, they stand by original "report." If they said anything else, they would have to admit that their "investig…</t>
  </si>
  <si>
    <t>@ksdknews Of course, they stand by original "report." If they said anything else, they would have to admit that their "investigation" was fatally flawed and that they effectively called EG a rapist without solid evidence. 
#moleg #mogov #greitens #KimShady #IStandWithGreitens</t>
  </si>
  <si>
    <t>RT @tkinder: @JCunninghamMO This process and trial by press stinks of swampy corruption. I don’t know if Governor .@EricGreitens has done a…</t>
  </si>
  <si>
    <t>RT @JW1057: @FOX2now Committee mischaracterized testimony of KS and what EG said about KS testimony.</t>
  </si>
  <si>
    <t>@FOX2now Committee mischaracterized testimony of KS and what EG said about KS testimony.</t>
  </si>
  <si>
    <t>RT @JW1057: Why did then"investigative committee" release a doctored "transcript?" It is NOT a transcript. Why would KS refer to herself as…</t>
  </si>
  <si>
    <t>RT @JW1057: @TeamGreitens @EricGreitens @SheenaGreitens 
The committee "investigating" Greitens has lied yet again to the people. This is…</t>
  </si>
  <si>
    <t>@TeamGreitens @EricGreitens @SheenaGreitens 
The committee "investigating" Greitens has lied yet again to the people. This is what a persecution looks like; this is what a witch hunt looks like; this is what corruption looks like. 
#moleg #mogov #greitens #GreitensIndictment https://t.co/aHyeGf9R4S</t>
  </si>
  <si>
    <t>Why did then"investigative committee" release a doctored "transcript?" It is NOT a transcript. Why would KS refer to herself as "Witness 1?" Why would EG three years ago have referred to KS as "Witness 1?" Not a true transcript.
#moleg #mogov #greitens #GreitensIndictment https://t.co/FDVYHgQSe4</t>
  </si>
  <si>
    <t>RT @VisioDeiFromLA: What little incident has confirmed to me is that the anti #greitens #MoLeg &amp;amp; media in this state are coordinating on st…</t>
  </si>
  <si>
    <t>RT @JW1057: @gcmitts Gina, did you get your bag of cash from Scott? Nice try releasing that “supplemental report” to hide the cash story.</t>
  </si>
  <si>
    <t>@gcmitts Gina, did you get your bag of cash from Scott? Nice try releasing that “supplemental report” to hide the cash story.</t>
  </si>
  <si>
    <t>RT @JCunninghamMO: Incredible!!  What a tangled web.  So much for fair and balanced. https://t.co/q0urL3x7v2</t>
  </si>
  <si>
    <t>RT @JW1057: @russellkinsaul @GovGreitensMO @KMOV Sorry, we give no respect or deference to the USSR tribunal being held by the MO House. 
#…</t>
  </si>
  <si>
    <t>@russellkinsaul @GovGreitensMO @KMOV Sorry, we give no respect or deference to the USSR tribunal being held by the MO House. 
#moleg #mogov #greitens #GreitensIndictment</t>
  </si>
  <si>
    <t>@blackwidow07 @HawleyMO @clairecmc lol</t>
  </si>
  <si>
    <t>RT @ResignNowKim: @JW1057 @ws_missouri @JW1057 : damn, son you read! I only wish the journalists covering the #DumpsterFireGreitensInquisit…</t>
  </si>
  <si>
    <t>@blackwidow07 @HawleyMO @clairecmc Thanks. Unfortunately, can't write you in and you can't write me in because I don't live in MO.</t>
  </si>
  <si>
    <t>RT @Sticknstones4: @Norasmith1000 @JW1057 @VisioDeiFromLA @EricGreitens @Eric_Schmitt @Rep_TRichardson Rex Sinquefield supposedly bailed ou…</t>
  </si>
  <si>
    <t>RT @HotPokerPrinces: @ResignNowKim @RiverfrontTimes @KMOXPD @MarkReardonKMOX @DebbieMonterrey @johnrhancock @mskstl @scottfaughn Fire Him 🔥</t>
  </si>
  <si>
    <t>RT @JW1057: @Norasmith1000 @VisioDeiFromLA @EricGreitens @Eric_Schmitt @Rep_TRichardson Actually, they lost creditability when they release…</t>
  </si>
  <si>
    <t>@Norasmith1000 @VisioDeiFromLA @EricGreitens @Eric_Schmitt @Rep_TRichardson Actually, they lost creditability when they released the first "report." A one-sided report that failed to cross-examine witnesses properly.</t>
  </si>
  <si>
    <t>RT @JW1057: @kmoxnews I prefer people with creditability to vouch for my creditability. Thus, KS has no creditability if these are the peop…</t>
  </si>
  <si>
    <t>@kmoxnews I prefer people with creditability to vouch for my creditability. Thus, KS has no creditability if these are the people vouching for her.</t>
  </si>
  <si>
    <t>RT @JW1057: @ws_missouri @ResignNowKim KS never says coercion in Tisaby interview. Doing something that you don't want to do isn't coercion…</t>
  </si>
  <si>
    <t>@ws_missouri @ResignNowKim KS never says coercion in Tisaby interview. Doing something that you don't want to do isn't coercion. Before the committee KS said it was consensual and after a series of leading questions said it was coercion. KS never said coercion in her own words.</t>
  </si>
  <si>
    <t>RT @Sticknstones4: Scott Faughn should be Fired from @kmoxnews 
This was absolutely a scam and misleading to viewers
he used this platform…</t>
  </si>
  <si>
    <t>RT @Sticknstones4: @kmoxnews  I hope you ask Scott Faughn to Resign from your station.  He Paid cash to attorney to conspire to unseat a du…</t>
  </si>
  <si>
    <t>@ResignNowKim @ws_missouri @scottfaughn @EricGreitens "Pay no attention to the man behind the curtain."</t>
  </si>
  <si>
    <t>@ResignNowKim @ws_missouri Of course, before the committee state it was "consensual" and only retreated from that position after being asked leading questions. Never in KS's own words has she claimed coercion.</t>
  </si>
  <si>
    <t>@jmannies Of course, that also undermines the claim that the committee is NOT biased because five of the seven members are Republicans. 
#moleg #mogov #greitens #KimShady #IStandWithGreitens</t>
  </si>
  <si>
    <t>RT @VisioDeiFromLA: Scott is a large part of the media apparatus in #missouri 
How is it not fair question and why dont you answer it? Als…</t>
  </si>
  <si>
    <t>RT @JW1057: @ws_missouri This why you wait and release a completed report and not bits and pieces. Its sort of like NOT have a jury render…</t>
  </si>
  <si>
    <t>@ws_missouri This why you wait and release a completed report and not bits and pieces. Its sort of like NOT have a jury render a verdict after each day of the trial.</t>
  </si>
  <si>
    <t>RT @JW1057: @jrosenbaum This why you wait and release a completed report and not bits and pieces. Its sort of like NOT have a jury render a…</t>
  </si>
  <si>
    <t>@jrosenbaum This why you wait and release a completed report and not bits and pieces. Its sort of like NOT have a jury render a verdict after each day of the trial.</t>
  </si>
  <si>
    <t>RT @EdBigCon: Ouch... https://t.co/nJKUFBPA8g</t>
  </si>
  <si>
    <t>RT @ws_missouri: A source tells me that Scott Faughn, publisher of the Missouri Times, will be subpoenaed to appear before the #moleg commi…</t>
  </si>
  <si>
    <t>RT @JW1057: @AP4Liberty @HawleyMO Can someone open an investigation into @HawleyMO for practicing law without a license? I refuse to believ…</t>
  </si>
  <si>
    <t>@AP4Liberty @HawleyMO Can someone open an investigation into @HawleyMO for practicing law without a license? I refuse to believe someone as incompetent as LadderBoy would ever be granted a license to practice law.</t>
  </si>
  <si>
    <t>RT @AP4Liberty: News Update! @HawleyMO opens investigation into @EricGreitens for allegedly going 55mph in a 50mph zone. Hawley claims he h…</t>
  </si>
  <si>
    <t>RT @BryanLowry3: .@EricGreitens defense team responds to news that @scottfaughn paid attorney of ex-husband. More on the case on https://t.…</t>
  </si>
  <si>
    <t>RT @JW1057: @internalmonolo2 We now know that our tax dollars go to fund @jaybarnes5 masturbation material. 
#moleg #mogov #greitens #KimSh…</t>
  </si>
  <si>
    <t>@internalmonolo2 We now know that our tax dollars go to fund @jaybarnes5 masturbation material. 
#moleg #mogov #greitens #KimShady #IStandWithGreitens</t>
  </si>
  <si>
    <t>Why is your "conscience" bothering you? You were just going to talk.
#moleg #mogov #greitens #KimShady #IStandWithGreitens https://t.co/fX48mWa5v8</t>
  </si>
  <si>
    <t>RT @JW1057: (1) @EricGreitens @TeamGreitens @SheenaGreitens @StLCountyRepub 
@jaybarnes5 latest misconduct proves how disparate the enemy t…</t>
  </si>
  <si>
    <t>(2) I hate to think what Barnes' legal malpractice insurance rates are. I would strongly advice any client of @jaybarnes5 to seek a new attorney. Clearly, Barnes is competing with Al Watkins for least ethical attorney. 
#moleg #mogov #greitens #KimShady #IStandWithGreitens</t>
  </si>
  <si>
    <t>(1) @EricGreitens @TeamGreitens @SheenaGreitens @StLCountyRepub 
@jaybarnes5 latest misconduct proves how disparate the enemy truly has become. Barnes isn't going to "cherry-pick" so he releases one-sided report then an addendum based on transcript he has not fully read.</t>
  </si>
  <si>
    <t>RT @JW1057: @ws_missouri @jaybarnes5 criticizes "cherry-picked evidence" and then releases second "report" while admitting to not having fu…</t>
  </si>
  <si>
    <t>@ws_missouri @jaybarnes5 criticizes "cherry-picked evidence" and then releases second "report" while admitting to not having full transcript. I guess he favors cherry-picking when he cherry-picks. 
#moleg #mogov #greitens #KimShady #IStandWithGreitens</t>
  </si>
  <si>
    <t>RT @JW1057: @jaybarnes5 "As a result, the Committee will no longer provide such deference to [EG] cherry-picked evidence."
Barnes then adm…</t>
  </si>
  <si>
    <t>@jaybarnes5 "As a result, the Committee will no longer provide such deference to [EG] cherry-picked evidence."
Barnes then admitted that they don't have full transcript. 
How much did you sale your integrity for Jay? 
#moleg #mogov #greitens #KimShady #IStandWithGreitens</t>
  </si>
  <si>
    <t>RT @JW1057: @KRCG13 There's nothing in this "report" that causes me to conclude that this is NOT sham committee run by the unethical and co…</t>
  </si>
  <si>
    <t>@KRCG13 There's nothing in this "report" that causes me to conclude that this is NOT sham committee run by the unethical and corrupt @jaybarnes5 . Scott says the money for you and your fellow committee members has been delivered.   
#moleg #mogov #greitens #KimShady #IStandWithGreitens</t>
  </si>
  <si>
    <t>@SheenaGreitens @MOKidsFirst So strong and gracious moving forward despite the attacks on her family.</t>
  </si>
  <si>
    <t>RT @JW1057: @Tessa_Weinberg @EricGreitens Perhaps, you should try asking Philip Sneed and Katrina "Kitty" Sneed some questions.</t>
  </si>
  <si>
    <t>@Tessa_Weinberg @EricGreitens Perhaps, you should try asking Philip Sneed and Katrina "Kitty" Sneed some questions.</t>
  </si>
  <si>
    <t>RT @JW1057: @MaxwellAFillion I only wish @jaybarnes5 was as competent and ethical in conducting the "investigation" as he has been with sec…</t>
  </si>
  <si>
    <t>@MaxwellAFillion I only wish @jaybarnes5 was as competent and ethical in conducting the "investigation" as he has been with secrecy. 
#moleg #mogov #greitens #KimShady #IStandWithGreitens</t>
  </si>
  <si>
    <t>RT @KMOV: Greitens’ attorneys seek to prohibit key witness’ testimony https://t.co/UzP0SChlqz https://t.co/7eUgVa0Z3v</t>
  </si>
  <si>
    <t>RT @sigi_hill: MO RIGHT 4 ANSWERS #WatkinSubpoena
#Resign:
@AGJoshHawley 
@Rep_TRichardson 
@jaybarnes5 
@Mikelkehoe 
@robschaaf
@RonFRicha…</t>
  </si>
  <si>
    <t>RT @Sticknstones4: @JCunninghamMO @MelindaKCMO @HawleyMO It would be a lot easier for greitens to just give up, 
I appreciate his tenacity…</t>
  </si>
  <si>
    <t>RT @JCunninghamMO: FINALLY A REPORTER GOES DIRECTLY TO THE PEOPLE AND GETS WHAT I’VE BEEN HEARING. OVERZEALOUS ELECTED OFFICIALS ARE SHOOTI…</t>
  </si>
  <si>
    <t>RT @Sticknstones4: @jrosenbaum @MattBlunt @GovJayNixon @EricGreitens Hang in there ,  Considering the circus of case &amp;amp; ridiculous charges,…</t>
  </si>
  <si>
    <t>RT @Nanci2GH: @AbbyLlorico You mean Katrina Sneed?</t>
  </si>
  <si>
    <t>RT @JW1057: @rxpatrick Tisaby wants to see deposition because he needs to conform his testimony to his first deposition.</t>
  </si>
  <si>
    <t>@rxpatrick Tisaby wants to see deposition because he needs to conform his testimony to his first deposition.</t>
  </si>
  <si>
    <t>RT @JW1057: A vote for @HawleyMO in the Republican Party primary is a vote for @clairecmc. LatterBoy spends his workday working out in the…</t>
  </si>
  <si>
    <t>A vote for @HawleyMO in the Republican Party primary is a vote for @clairecmc. LatterBoy spends his workday working out in the gym rather than acting as attorney general. LatterBoy will also stab anyone in the back that is in his way.</t>
  </si>
  <si>
    <t>RT @JW1057: @alexburnsNYT You mean that EG doesn't trust "journalist?" That the past several months have proven that distrust to be correct.</t>
  </si>
  <si>
    <t>RT @Sticknstones4: @magathemaga1 @Avenge_mypeople Her testimony to state lawmakers was just that testimony
Nothing she said was investigate…</t>
  </si>
  <si>
    <t>@alexburnsNYT You mean that EG doesn't trust "journalist?" That the past several months have proven that distrust to be correct.</t>
  </si>
  <si>
    <t>RT @JW1057: @KCStar EG is innocent until proven guilty. KS has perjured herself. KG is as corrupt as they come and has perjured herself. Ti…</t>
  </si>
  <si>
    <t>@KCStar EG is innocent until proven guilty. KS has perjured herself. KG is as corrupt as they come and has perjured herself. Tisaby who was KG's personal choice to investigate EG has perjured himself. People receiving briefcases of cash to go against EG. You say not a witch hunt?</t>
  </si>
  <si>
    <t>RT @KCStar: Want to know why Gov. Eric Greitens isn’t giving up? Meet his supporters https://t.co/JrpgaTPZA4</t>
  </si>
  <si>
    <t>RT @Sticknstones4: Missouri U.S. Sen. Roy Blunt says it is premature to call for the resignation of Gov. Eric Grietens.
#moleg #dueprocess…</t>
  </si>
  <si>
    <t>@RyanConwayMO @JohnLamping @mikeparson Benedict Arnold put his life on the line for the US too, but then he became a traitor. Not saying Parsons is like Arnold, but people change.</t>
  </si>
  <si>
    <t>RT @ksdknews: Sen. Blunt says calls for Greitens resignation are premature https://t.co/CWdIAzvBiV</t>
  </si>
  <si>
    <t>RT @TheTrussel: @AP4Liberty @HawleyMO @RoyBlunt @EricGreitens @AGJoshHawley thinks due process takes too long, which is cutting into his gy…</t>
  </si>
  <si>
    <t>RT @sueweaver16: Thank you @RoyBlunt for realising that there is a process in place. Innocent until proven otherwise. Hope that #MOLeg  rem…</t>
  </si>
  <si>
    <t>RT @JW1057: @SuchHate @Sticknstones4 Yes. I tried those website but no luck.</t>
  </si>
  <si>
    <t>@SuchHate @Sticknstones4 Yes. I tried those website but no luck.</t>
  </si>
  <si>
    <t>RT @JCunninghamMO: This reporter is clearly unaware of all of us Republicans who agree with @RoyBluntMO and are not jumping out ahead of th…</t>
  </si>
  <si>
    <t>RT @KMOV: Missouri US Sen. Blunt won't call for Greitens' resignation https://t.co/GNypS9mACU https://t.co/uNcuQzrQj3</t>
  </si>
  <si>
    <t>RT @aaron_hedlund: Maybe because all the facts haven't come in and Gov Greitens hasn't even mounted his defense yet? What a shocking propos…</t>
  </si>
  <si>
    <t>RT @stltoday: Sen. Blunt doesn't call for Greitens' resignation on 'Meet the Press' https://t.co/9gw8sdQqws</t>
  </si>
  <si>
    <t>RT @StLCountyRepub: Turn over your the phone. Allow  @EricGreitens a fair trial. Missouri Supreme Court: Woman in Greitens case must turn o…</t>
  </si>
  <si>
    <t>RT @JW1057: @HawleyMO Congratulations! You have defeated @JamesComeyFBI for the title of the most sanctimonious (i.e. bigger jackass). Ladd…</t>
  </si>
  <si>
    <t>@HawleyMO Congratulations! You have defeated @JamesComeyFBI for the title of the most sanctimonious (i.e. bigger jackass). LadderBoy took 87% of the vote!
@VisioDeiFromLA @Sticknstones4 @joe_cool
#moleg #mogov #greitens #KimShady #IStandWithGreitens</t>
  </si>
  <si>
    <t>RT @magathemaga1: #Missouri Supreme Court says Greitens' accuser must turn over phone 4 examination
"...woman told a House committee last…</t>
  </si>
  <si>
    <t>RT @JW1057: Re: Greitens' Persecution 
Does anyone recall a transcript or defense motion stating that KS and Simpson also said the video d…</t>
  </si>
  <si>
    <t>Re: Greitens' Persecution 
Does anyone recall a transcript or defense motion stating that KS and Simpson also said the video did not work? Please provide link if you have it. 
@CStamper_ @VisioDeiFromLA @Sticknstones4 
#moleg #mogov #greitens #KimShady #IStandWithGreitens</t>
  </si>
  <si>
    <t>@jeffreywbruce @J_Hancock @EricGreitens (1) You assume justice doesn't mean protecting EG. (2) I responded to your question whether EG had turned over his phone. He had no obligation to volunteer his phone. It was KG who had obligation to get his phone. I don't know if she did - unlikely same phone three years later.</t>
  </si>
  <si>
    <t>RT @KMOV: Missouri court: Woman in Greitens case must turn over phone https://t.co/gCWobTcSMA</t>
  </si>
  <si>
    <t>RT @memoriadei: Great to see that woman has to turn her phone over. @TeamGreitens @GovGreitensMO Dont give in. Stand your ground #moleg</t>
  </si>
  <si>
    <t>@jeffreywbruce @J_Hancock @EricGreitens Did Kimberly Gardner request a warrant for his phone? If he didn't submit his phone, that is KG's failure.</t>
  </si>
  <si>
    <t>RT @marinevet1982: Attn: all Missouri Constitutional Conservatives! I say every Republican who convicted our awesome Governor before he eve…</t>
  </si>
  <si>
    <t>RT @magathemaga1: Governor #Greitens with Troopers at the Ft. Leonard Wood Hiring Our Hero’s event today. 
HT: @MSHPRecruiting @EricGreite…</t>
  </si>
  <si>
    <t>RT @Norasmith1000: @RGreggKeller At this point, I wouldnt trust anything Gardner does or says about anything relating to ANY case against G…</t>
  </si>
  <si>
    <t>RT @Norasmith1000: I dont care if you love or hate @EricGreitens, think hes innocent or guilty, but nobody on either side can deny the abso…</t>
  </si>
  <si>
    <t>RT @aaron_hedlund: It's amazing how much of the commentary on #mogov is predicated on assumption of guilt. Laub deposed: "Uh oh! Proof Grei…</t>
  </si>
  <si>
    <t>RT @Neilin1Neil: @Shawtypepelina Kitty Sneed</t>
  </si>
  <si>
    <t>RT @lindsaywise: The woman with whom Gov. @EricGreitens had an extramarital affair is asking the Missouri Supreme Court to overturn a lower…</t>
  </si>
  <si>
    <t>RT @JW1057: @lindsaywise @EricGreitens What is Kitty have on the phone? Nude pictures of herself? Financial transactions from a mysterious…</t>
  </si>
  <si>
    <t>@lindsaywise @EricGreitens What is Kitty have on the phone? Nude pictures of herself? Financial transactions from a mysterious "donor?"
#moleg #mogov #greitens #KimShady #IStandWithGreitens</t>
  </si>
  <si>
    <t>RT @JW1057: @FOX2now Why would defense release deposition to @jaybarnes5 who has already proven himself unethical? He released a one-sided…</t>
  </si>
  <si>
    <t>@FOX2now Why would defense release deposition to @jaybarnes5 who has already proven himself unethical? He released a one-sided sham report and failed to exercise any proper investigative practices, such as cross-examination.</t>
  </si>
  <si>
    <t>RT @Avenge_mypeople: What's happening with the #Greitens case is astounding. The hired investigator, Tisaby, refused to answer any question…</t>
  </si>
  <si>
    <t>RT @JW1057: 🚨Breaking News: Greitens' Persecution🚨 
JW = Jodi Wagener. 
Source Kimberly M. Gardner. 
@Joe_Cool_1 @VisioDeiFromLA @Stickn…</t>
  </si>
  <si>
    <t>🚨Breaking News: Greitens' Persecution🚨 
JW = Jodi Wagener. 
Source Kimberly M. Gardner. 
@Joe_Cool_1 @VisioDeiFromLA @Sticknstones4 
#moleg #mogov #greitens #KimShady #IStandWithGreitens</t>
  </si>
  <si>
    <t>RT @JW1057: @jmannies @EricGreitens Why would defense release deposition to @jaybarnes5 who has already proven himself unethical. He releas…</t>
  </si>
  <si>
    <t>RT @JW1057: @KCStar Why would defense release deposition to @jaybarnes5 who has already proven himself unethical. He released a one-sided s…</t>
  </si>
  <si>
    <t>@jmannies @EricGreitens Why would defense release deposition to @jaybarnes5 who has already proven himself unethical. He released a one-sided sham report and failed to exercise any proper investigative practices, such as cross-examination.</t>
  </si>
  <si>
    <t>RT @JW1057: @celestebott If that were true, @jaybarnes5 would not have released the initial report. I would not release the whole transcrip…</t>
  </si>
  <si>
    <t>@KCStar Why would defense release deposition to @jaybarnes5 who has already proven himself unethical. He released a one-sided sham report and failed to exercise any proper investigative practices, such as cross-examination.</t>
  </si>
  <si>
    <t>RT @JW1057: @DavidALieb @EricGreitens @AP Why would defense release deposition to @jaybarnes5 who has already proven himself unethical? He…</t>
  </si>
  <si>
    <t>@DavidALieb @EricGreitens @AP Why would defense release deposition to @jaybarnes5 who has already proven himself unethical? He released a one-sided sham report and failed to exercise any proper investigative practices, such as cross-examination.</t>
  </si>
  <si>
    <t>@celestebott If that were true, @jaybarnes5 would not have released the initial report. I would not release the whole transcript to that committee which has already proven unethical by issuing a one-side report and failing to use basic investigative tools.</t>
  </si>
  <si>
    <t>@NewsTribune @EricGreitens Why would they agree to release it, so Barnes could cherry pick what to release?</t>
  </si>
  <si>
    <t>@lindsaywise @KCStar @J_Hancock  https://t.co/GTxLPNA8GY</t>
  </si>
  <si>
    <t>RT @EdBigCon: @MissouriTimes @EricGreitens This publication is a crime! Rex Sinquefield’s #DarkMoney funding this rag.</t>
  </si>
  <si>
    <t>RT @JW1057: @BryanLowry3 @AGJoshHawley @J_Hancock Perhaps, LatterBoy should have spent his work day reading the consent decree, rather than…</t>
  </si>
  <si>
    <t>@BryanLowry3 @AGJoshHawley @J_Hancock Perhaps, LatterBoy should have spent his work day reading the consent decree, rather than at the gym. @VisioDeiFromLA @magathemaga1 @HawleyMO https://t.co/q5a90tZmn2</t>
  </si>
  <si>
    <t>RT @SKOLBLUE1: #donnybrookstl Thank you for talking about #Greitens tonight! It is refreshing to hear a few of you acknowledge these indict…</t>
  </si>
  <si>
    <t>RT @DeplorableGoldn: RT 🚨 #moleg https://t.co/uHIDcasx7J</t>
  </si>
  <si>
    <t>@nicolergalloway Problems began in 2011. You became Auditor in 2015. Greitens became Governor in 2017. Yet, Greitens didn't take the matter seriously? It would appear you were asleep on the job, not Greitens. @VisioDeiFromLA</t>
  </si>
  <si>
    <t>@TerryGaney @ws_missouri @aaron_hedlund That was probably back when there were actual journalist. You know before "journalist" were mere partisan hacks. @VisioDeiFromLA
#moleg #mogov #greitens #KimShady #IStandWithGreitens</t>
  </si>
  <si>
    <t>RT @JCunninghamMO: In America all are INNOCENT until PROVEN guilty. I will vote against any legislator who votes to impeach or calls for re…</t>
  </si>
  <si>
    <t>@for_congress @StoryoftheYear I would like to know, but committee was not big on cross-examination or gathering actual evidence.</t>
  </si>
  <si>
    <t>@for_congress @StoryoftheYear Single mother of three and no child support from Phil. She has to be working less now since she is in school. I would love to know how she is paying her attorney. I can't believe Phil got money and not Kitty; there has to be a deal there somewhere.</t>
  </si>
  <si>
    <t>@for_congress @StoryoftheYear Kitty denied - says she drives 2009 van. Boyfriend had new company car.</t>
  </si>
  <si>
    <t>@for_congress @StoryoftheYear I can confirm Ryan is married to Kitty's sister, Ashley Phillips. According to Kitty's testimony, kitchen renovations were about $2500. Yet, in 2015 Kitty made $61k - that is almost twice the average for St. Louis.</t>
  </si>
  <si>
    <t>RT @JW1057: @christoferguson @magathemaga1 Move along! Nothing to see here. No witch hunt in progress</t>
  </si>
  <si>
    <t>@christoferguson @magathemaga1 Move along! Nothing to see here. No witch hunt in progress</t>
  </si>
  <si>
    <t>RT @JW1057: @J_Hancock @AGJoshHawley @EricGreitens JH's attorney isn't very competent. EG is arguing JH is biased because he is playing pol…</t>
  </si>
  <si>
    <t>@J_Hancock @AGJoshHawley @EricGreitens JH's attorney isn't very competent. EG is arguing JH is biased because he is playing politics and so JH's attorney makes political statement, rather than legal statement. LadderBoy should go back to law school!</t>
  </si>
  <si>
    <t>@KMOV @Rep_TRichardson @Rep_TRichardson where do you get your hair cut?</t>
  </si>
  <si>
    <t>@KMOV Why does @Rep_TRichardson look like Hitler, but with glasses?</t>
  </si>
  <si>
    <t>RT @MarkReardonKMOX: Exclusive video of Kim Gardner's lead investigator in the @EricGreitens case.
https://t.co/XGac1YZU14</t>
  </si>
  <si>
    <t>RT @Lautergeist: Wondering if @AGJoshHawley @HawleyMO got a couriered delivery of $100k too?
#MoneybagsAl
#KimShady
#GuiltyInTheCourtOfMed…</t>
  </si>
  <si>
    <t>RT @JW1057: @HawleyMO @realDonaldTrump How long until you turn on Sec. Pompey, Josh? We all know that you have no loyalty.</t>
  </si>
  <si>
    <t>@HawleyMO @realDonaldTrump How long until you turn on Sec. Pompey, Josh? We all know that you have no loyalty.</t>
  </si>
  <si>
    <t>@magathemaga1 @EricGreitens @Hope4Hopeless1 @RealTravisCook @SKOLBLUE1 @Norasmith1000 @MOHouseGOP @MissouriGOP @SykesforSenate @ErgoStreetNurse @STLCountyGOP @JohnLamping I am from Ohio and I stand with Eric Greitens too.</t>
  </si>
  <si>
    <t>RT @magathemaga1: He cant. This is a no brainer. If he hadn't waited until now to do this, it could be argued but now he is tainted.
#mole…</t>
  </si>
  <si>
    <t>@FOX2now He has got Hitler hair!</t>
  </si>
  <si>
    <t>RT @EdBigCon: @ClaytonTimes @thisweekinmopol @Dogan4Rep @HawleyMO @EricGreitens @STLKCCRC The guy is on the  #NeverTrump and #NeverGreitens…</t>
  </si>
  <si>
    <t>RT @magathemaga1: @GovGreitensMO Signs Executive Order Expanding Homeland Security Advisory Council 
“We’re working every day to keep Miss…</t>
  </si>
  <si>
    <t>@magathemaga1 I think that we passed the farce state a while back. Not sure what stage we are in now.</t>
  </si>
  <si>
    <t>@AP4Liberty @springfieldNL I don't know. Isn't @HawleyMO more a Robert Mueller?</t>
  </si>
  <si>
    <t>RT @AP4Liberty: Josh Hawley is the James Comey of Missouri. https://t.co/YTstolxKd7 via @springfieldNL</t>
  </si>
  <si>
    <t>RT @JW1057: @joelcurrier @EricGreitens @stlcao Press will not do its job and report full story. Her name is Katrina "Kitty" Sneed. Here is…</t>
  </si>
  <si>
    <t>@joelcurrier @EricGreitens @stlcao Press will not do its job and report full story. Her name is Katrina "Kitty" Sneed. Here is her picture. https://t.co/yOn6tEMEEz</t>
  </si>
  <si>
    <t>RT @magathemaga1: #MoneyBagsAl
#Greitens
#GreitensIndictment 
#moleg
#mogov
#mosen 
#StLouis 
#stl 
#Missouri 
#kimshady
#soros
#moneybags…</t>
  </si>
  <si>
    <t>RT @magathemaga1: Eric #Greitens in his own words.
"...Greitens is also wise enough to know people aren’t perfect. Even well-educated huma…</t>
  </si>
  <si>
    <t>RT @Avenge_mypeople: @JW1057 @MelindaKCMO @EricGreitens I can take it further. Not only was she not a victim, but she liked it and kept com…</t>
  </si>
  <si>
    <t>RT @JW1057: @MelindaKCMO @EricGreitens How did you  arrive at that conclusion? Claims not proven. Shady characters have no creditability. K…</t>
  </si>
  <si>
    <t>@MelindaKCMO @EricGreitens How did you  arrive at that conclusion? Claims not proven. Shady characters have no creditability. KS has already perjured herself (lied about nude photos of herself). The committee allowed KS to give narrative testimony, asked leading questions, and no actual cross-examination.</t>
  </si>
  <si>
    <t>@beth_coghlan @kmoxnews What was the competition? That National Enquirer.</t>
  </si>
  <si>
    <t>RT @JW1057: @msanchezcolumn How did you  arrive at that conclusion? Claims not proven. Shady characters have no creditability. KS has alrea…</t>
  </si>
  <si>
    <t>@msanchezcolumn How did you  arrive at that conclusion? Claims not proven. Shady characters have no creditability. KS has already perjured herself (lied about nude photos of herself). The committee allowed KS to give narrative testimony, asked leading questions, and no actual cross-examination.</t>
  </si>
  <si>
    <t>RT @Norasmith1000: @SheWho_Resists @VisioDeiFromLA @Rep_TRichardson @elijahhaahr @MOHouseGOP @Eric_Schmitt @paulcurtman @971FMTalk @gateway…</t>
  </si>
  <si>
    <t>RT @MissouriOA: .@GovGreitensMO spoke with the #MOYouthDiversityDay students today and told them they can make a difference -- even at a yo…</t>
  </si>
  <si>
    <t>RT @AP4Liberty: Another day, another Missouri Firearms manufacturer jumping on board the campaign thanks to Josh Hawley's gun control agend…</t>
  </si>
  <si>
    <t>RT @liberty1776son: @EricGreitens Philip Snead aka @HereLiesMoon of the @rizzshow sold his wife Katrina to the highest bidder. 100k wow, pi…</t>
  </si>
  <si>
    <t>RT @EricGreitens: Great meeting with young people from across Missouri to talk about public service—a really positive and productive mornin…</t>
  </si>
  <si>
    <t>RT @nicholas_veser: This #GreitensIndictment is being used by @HawleyMO in every manner possible to gain name recognition for his US Senate…</t>
  </si>
  <si>
    <t>RT @melody_grover: Imagine the look on @HawleyMO face when #mogov is cleared of wrongdoing. Will he crawl back to us #Deplorables and grove…</t>
  </si>
  <si>
    <t>RT @RealTravisCook: Glad I'm backing @SykesforSenate https://t.co/tbsLpcjMfZ</t>
  </si>
  <si>
    <t>RT @JW1057: @esqonfire Did Al Watkins remember to file his Form 8300 with the IRS? I bet not.</t>
  </si>
  <si>
    <t>@esqonfire Did Al Watkins remember to file his Form 8300 with the IRS? I bet not.</t>
  </si>
  <si>
    <t>RT @BryanLowry3: Some major news from @J_Hancock: Lawmakers issue subpoena to attorney in Greitens case to ask about anonymous $100,000 htt…</t>
  </si>
  <si>
    <t>@jrosenbaum @EricGreitens What behavior? Affair? That is @SheenaGreitens business alone. Everything else unproven speculation.</t>
  </si>
  <si>
    <t>@jrosenbaum If Watkins received more than 10k in cash, he is required by federal law to file Form 8300.</t>
  </si>
  <si>
    <t>@J_Hancock @EricGreitens Perhaps, they should have conduct an actual investigation before effectively labeling Eric Greitens a rapist. That was beyond incompetence and dirty politics. Disgusting what they have done to Eric, @SheenaGreitens, and their children.</t>
  </si>
  <si>
    <t>RT @YearOfZero: From a strictly legal POV, #Ladderboy has COI. Hence the requested RO. He’s running for political office and has a vested i…</t>
  </si>
  <si>
    <t>@YearOfZero @EricGreitens Agreed.</t>
  </si>
  <si>
    <t>RT @JW1057: @ws_missouri @AGJoshHawley the House impeaches, the Senate elects a panel of seven judge, and those seven judges try the case t…</t>
  </si>
  <si>
    <t>@ws_missouri @AGJoshHawley the House impeaches, the Senate elects a panel of seven judge, and those seven judges try the case to verdict. Perhaps, you can explain where in the process the AG comes into play. Oh, wait there is no role for the AG other than your political grandstanding.</t>
  </si>
  <si>
    <t>RT @Sticknstones4: Good Morning #MoLeg aka witch hunters 
Have Any Bags💰 of Anonymous cash 💵 been dropped off at your offices ?
Amazing t…</t>
  </si>
  <si>
    <t>RT @strmsptr: #GreitensIndictment Still standing with our Governor. Never surrender @EricGreitens</t>
  </si>
  <si>
    <t>RT @melody_grover: For those of you declaring KS credible, what is the standard? She has never been cross-examined, her testimony never com…</t>
  </si>
  <si>
    <t>@Lautergeist I haven’t seen the report about checks, only about cash.</t>
  </si>
  <si>
    <t>RT @TeamGreitens: This is a political hit job.
https://t.co/wxf1SGJCcN</t>
  </si>
  <si>
    <t>@Lautergeist Unfortunately, it was cash.</t>
  </si>
  <si>
    <t>RT @EdBigCon: @LaurenTrager @Sticknstones4 @EricGreitens @KMOV You're not getting an #Emmy for this #FakeNews story! Will you go back to wo…</t>
  </si>
  <si>
    <t>RT @magathemaga1: @JoeBReporter #Stlouis #Greitens #greitensindictment https://t.co/gbDu6SDfTI</t>
  </si>
  <si>
    <t>RT @JW1057: Anyone taking bets on whether @StLouisCityCA will have William Tisaby on a flight tomorrow to a country without an extradition…</t>
  </si>
  <si>
    <t>Anyone taking bets on whether @StLouisCityCA will have William Tisaby on a flight tomorrow to a country without an extradition treaty?
#moleg #mogov #greitens #KimShady #IStandWithGreitens</t>
  </si>
  <si>
    <t>RT @magathemaga1: Good evening #MoLeg except @RonFRichard &amp;amp; @robschaaf 
It appears #KimShady and #MoneyBagsAl have some explaining to do!…</t>
  </si>
  <si>
    <t>RT @SykesforSenate: I wonder if the money was laundered through #MoLeg Republican party leadership... https://t.co/uwutOy1VMa</t>
  </si>
  <si>
    <t>RT @J_Hancock: Attorney of ex-husband in Greitens case received $100,000 from unknown source
https://t.co/20Z5vuxEIN #MoLeg #GreitensIndic…</t>
  </si>
  <si>
    <t>RT @Hope4Hopeless1: @EricGreitens .@EricGreitens, we  appreciate you STANDING STRONG &amp;amp; staying the course of #DrainingTheSwamp &amp;amp; serving th…</t>
  </si>
  <si>
    <t>RT @Avenge_mypeople: The same people who payed Al Watkins, no doubt. It's a twisted web of money and deceit to unseat @EricGreitens 
#mole…</t>
  </si>
  <si>
    <t>RT @JW1057: Mr. Albert Watkins, I understand you received two cash payments each in the amount of $50k. Did you remember to file Form 8300?…</t>
  </si>
  <si>
    <t>Mr. Albert Watkins, I understand you received two cash payments each in the amount of $50k. Did you remember to file Form 8300? 
Sincerely, 
The IRS
#moleg #mogov #greitens #KimShady #IStandWithGreitens</t>
  </si>
  <si>
    <t>RT @JW1057: Who is paying Katrina "Kitty" Sneed's attorney, Scott Simpson?
#moleg #mogov #greitens #KimShady #IStandWithGreitens</t>
  </si>
  <si>
    <t>Who is paying Katrina "Kitty" Sneed's attorney, Scott Simpson?
#moleg #mogov #greitens #KimShady #IStandWithGreitens</t>
  </si>
  <si>
    <t>RT @memoriadei: You are so right @wsfireballoon that #gop #moleg dont like an outsider. Their walk of shame.  Stand your ground Gov #Greite…</t>
  </si>
  <si>
    <t>RT @JW1057: @ChrisDavisMMJ @ksdknews Why has Judge Burlison allowing his court to be turned into a circus? Dismissal time.</t>
  </si>
  <si>
    <t>@ChrisDavisMMJ @ksdknews Why has Judge Burlison allowing his court to be turned into a circus? Dismissal time.</t>
  </si>
  <si>
    <t>@MoDemParty @EricGreitens He has already faced the truth that he is innocent. The establishment is trying to stop him and are failing. Enjoy seeing Kim Gardner in prison.</t>
  </si>
  <si>
    <t>@HawleyMO @clairecmc She could be a backstabber like you Josh.</t>
  </si>
  <si>
    <t>@blackwidow07 Appears so.</t>
  </si>
  <si>
    <t>RT @JW1057: @Glic @Beganovic_85 @rxpatrick I setup my account to defend EG against an injustice. I was asked by no one to do so and I have…</t>
  </si>
  <si>
    <t>@Glic @Beganovic_85 @rxpatrick I setup my account to defend EG against an injustice. I was asked by no one to do so and I have not received or been offered a penny by anyone. In fact, it has cost me money in terms of time and sending snail mail. As an attorney, this case makes me embarrassed of the profession.</t>
  </si>
  <si>
    <t>@jrosenbaum Kitty have nude pics on her phone?</t>
  </si>
  <si>
    <t>@EdBigCon LOL</t>
  </si>
  <si>
    <t>@jrosenbaum Phone data is turned over all of the time in criminal and civil cases in response to court order. Wonder if there is incriminating information against KS and/or PS to be found.</t>
  </si>
  <si>
    <t>@chadhuber @jrosenbaum Good news! St. Louis Taxpayers, it appears you are paying Al Watkins to continue this farce. https://t.co/FEFkWrFkYI</t>
  </si>
  <si>
    <t>RT @JW1057: @KMOXKilleen Judge Burlison, it is way past time to dismiss this persecution. Do the right thing and dismiss the case; it is di…</t>
  </si>
  <si>
    <t>RT @JW1057: Good news! St. Louis Taxpayers, it appears you are paying Al Watkins to continue this farce. 
#moleg #mogov #greitens #KimShad…</t>
  </si>
  <si>
    <t>Good news! St. Louis Taxpayers, it appears you are paying Al Watkins to continue this farce. 
#moleg #mogov #greitens #KimShady #IStandWithGreitens https://t.co/eOuCV6uwre</t>
  </si>
  <si>
    <t>@KMOXKilleen Judge Burlison, it is way past time to dismiss this persecution. Do the right thing and dismiss the case; it is disgracing the legal system people like you and I work to uphold. 
#moleg #mogov #greitens #KimShady #IStandWithGreitens</t>
  </si>
  <si>
    <t>RT @JW1057: @ChillOutWorld @KMOXKilleen Judge Burlison, it is way past time to dismiss this persecution. Do the right thing and dismiss the…</t>
  </si>
  <si>
    <t>RT @KMOXKilleen: Attorney Al Watkins now representing Wm. Tisaby, reportedly says he can't give deposition right now because of "national s…</t>
  </si>
  <si>
    <t>@ChillOutWorld @KMOXKilleen Judge Burlison, it is way past time to dismiss this persecution. Do the right thing and dismiss the case; it is disgracing the legal system people like you and I work to uphold. 
#moleg #mogov #greitens #KimShady #IStandWithGreitens</t>
  </si>
  <si>
    <t>RT @JW1057: @anarchymotive @VisioDeiFromLA @rxpatrick Agreed. KS testified under oath in House never allowed photographed nude. Pointed out…</t>
  </si>
  <si>
    <t>@anarchymotive @VisioDeiFromLA @rxpatrick Agreed. KS testified under oath in House never allowed photographed nude. Pointed out ex-husband didn't have nudes of her - he traveled a lot. She also testified under oath in deposition that she FaceTime EG nude. Better pics to blackmail her with? Perjury. Credibility shot.</t>
  </si>
  <si>
    <t>@VisioDeiFromLA @rxpatrick In fairness, it is hard to keep lies straight.</t>
  </si>
  <si>
    <t>@rxpatrick "[T]he woman = Katrina "Kitty" Sneed.</t>
  </si>
  <si>
    <t>@DeplorableGoldn Philip Sneed and Katrina "Kitty" Sneed.</t>
  </si>
  <si>
    <t>RT @DeplorableGoldn: RT-ing 🚨
KS testified in deposition she was nude on FaceTime with EG. KS testified to House she never allowed nudes of…</t>
  </si>
  <si>
    <t>RT @JW1057: @HennessySTL Great people are not perfect people. Babe Ruth struck out. Michael Jordan missed shots. EG failed in his marriage…</t>
  </si>
  <si>
    <t>@HennessySTL Great people are not perfect people. Babe Ruth struck out. Michael Jordan missed shots. EG failed in his marriage by having an affair. @SheenaGreitens forgave him years ago and no one else has the right to judge.</t>
  </si>
  <si>
    <t>RT @HennessySTL: Eric Greitens in His Own Words https://t.co/VjlH99UVcV https://t.co/IRBoAbSn2Y</t>
  </si>
  <si>
    <t>RT @stlteaparty: Eric Greitens in His Own Words https://t.co/S4YoRKskiT</t>
  </si>
  <si>
    <t>RT @JW1057: @YDominus @HotPokerPrinces Do you suppose that is where the crying claim has come into play? Kitty was crying because she had n…</t>
  </si>
  <si>
    <t>@YDominus @HotPokerPrinces Do you suppose that is where the crying claim has come into play? Kitty was crying because she had not known a real man in years, if ever, and the crying was from orgasmic pleasure.
https://t.co/WTdvt2Oc83</t>
  </si>
  <si>
    <t>RT @JW1057: @HotPokerPrinces @Lautergeist Don't you mean Moon fell limp?</t>
  </si>
  <si>
    <t>RT @JW1057: @EricGreitens @StLouisCityCA @HawleyMO @RonFRichard @Rep_TRichardson 
Missouri coup d'état!
#moleg #mogov #greitens #KimShady…</t>
  </si>
  <si>
    <t>@EricGreitens @StLouisCityCA @HawleyMO @RonFRichard @Rep_TRichardson 
Missouri coup d'état!
#moleg #mogov #greitens #KimShady #IStandWithGreitens https://t.co/wRqClnLvly</t>
  </si>
  <si>
    <t>LadderBoy for your sake I hope that @StLouisCityCA is better at blowjobs than she is at being an attorney.</t>
  </si>
  <si>
    <t>@HotPokerPrinces @Lautergeist Don't you mean Moon fell limp?</t>
  </si>
  <si>
    <t>RT @JW1057: @stlpublicradio @jrosenbaum That which doesn’t kill us makes us stronger. @StLouisCityCA @HawleyMO and the multitude of cowards…</t>
  </si>
  <si>
    <t>@stlpublicradio @jrosenbaum That which doesn’t kill us makes us stronger. @StLouisCityCA @HawleyMO and the multitude of cowards in legislature are about to learn a very painful lesson. @EricGreitens is will emerge stronger from these attacks by the corrupted. @StLCountyRepub</t>
  </si>
  <si>
    <t>RT @JW1057: @Lautergeist Phil it was Kitty that wanted another man! Blame her if anyone, but let's be honest: You were an awful husband. Wh…</t>
  </si>
  <si>
    <t>@Lautergeist Phil it was Kitty that wanted another man! Blame her if anyone, but let's be honest: You were an awful husband. What husband imprisons his wife that she can't go to the gym alone? Is that why Mallory has to workout in her bedroom?</t>
  </si>
  <si>
    <t>RT @JW1057: @HotPokerPrinces Mewo! This Katrina "Kitty" Sneed. https://t.co/aolzu22snk</t>
  </si>
  <si>
    <t>@HotPokerPrinces Mewo! This Katrina "Kitty" Sneed. https://t.co/aolzu22snk</t>
  </si>
  <si>
    <t>RT @JW1057: @HawleyMO Hey, LatterBoy, how does it feel to know that you flushed your career down the toilet when you conspired against @Eri…</t>
  </si>
  <si>
    <t>@HawleyMO Hey, LatterBoy, how does it feel to know that you flushed your career down the toilet when you conspired against @EricGreitens with your girlfriend @StLouisCityCA.
#moleg #mogov #greitens #KimShady #IStandWithGreitens</t>
  </si>
  <si>
    <t>RT @Norasmith1000: @YearOfZero @RoyBluntMO @EricGreitens Exactly right! Roy Blunt respects MO voters, #moleg should do the same. Glad he be…</t>
  </si>
  <si>
    <t>RT @JW1057: KS testified in deposition she was nude on FaceTime with EG. KS testified to House she never allowed nudes of her. KS went so f…</t>
  </si>
  <si>
    <t>KS testified in deposition she was nude on FaceTime with EG. KS testified to House she never allowed nudes of her. KS went so far to point out her ex-husband traveled a lot and he didn't have nude photos of her. Perjury?
#moleg #mogov #greitens #KimShady #IStandWithGreitens</t>
  </si>
  <si>
    <t>RT @HotPokerPrinces: @realDonaldTrump @gocrazy4cards What these crooked legislators &amp;amp; prosecutor  in Missouri are doing to our Governor @Er…</t>
  </si>
  <si>
    <t>RT @HotPokerPrinces: He really, genuinely just wants to get this guy, who decimated his marriage, his circle of friends, and family members…</t>
  </si>
  <si>
    <t>RT @HotPokerPrinces: @JW1057 @Sticknstones4 @jaybarnes5 @jeanielauer @gcmitts @TommiePierson @Rep_TRichardson @RonFRichard @shawnrhoads154…</t>
  </si>
  <si>
    <t>RT @JW1057: @HotPokerPrinces @melody_grover @MoRepEvans @JaneDueker TMC admits giving EG donor list. TMC claims they made "clear" it was no…</t>
  </si>
  <si>
    <t>@HotPokerPrinces @melody_grover @MoRepEvans @JaneDueker TMC admits giving EG donor list. TMC claims they made "clear" it was not for political purposes. I'll wait to  see the written docs to that effect; I don't believe there'll be any. Nonconsensual photo and blackmail = Fail. Sexual and physical assault = Fail. Donor list = Fail. https://t.co/zzj13zFwam</t>
  </si>
  <si>
    <t>RT @melody_grover: @MoRepEvans @JaneDueker Then why didn't the MEC refer to a prosecutor? Because Greitens never admitted to anything illeg…</t>
  </si>
  <si>
    <t>RT @YearOfZero: @melody_grover @HawleyMO @JaneDueker Bingo</t>
  </si>
  <si>
    <t>RT @ohsynesthesia: @VisioDeiFromLA @JenEnnenbach @Sticknstones4 @EricGreitens @MissouriGOP @SKOLBLUE1 @Avenge_mypeople @MOHouseGOP @Hope4Ho…</t>
  </si>
  <si>
    <t>RT @VisioDeiFromLA: Good catch Ashley.
@EricGreitens is keeping busy being governor despite all those #ParsonBots saying he isn’t keeping…</t>
  </si>
  <si>
    <t>RT @melody_grover: The facts: #mogov built PERSONAL relationships with ppl he convinced to donate to an award-winning charity HE FOUNDED &amp;amp;…</t>
  </si>
  <si>
    <t>RT @JW1057: @Vets4AP @Rep_TRichardson @RonFRichard don't give a damn about the people of MO. They are two overgrown little babies throwing…</t>
  </si>
  <si>
    <t>@Vets4AP @Rep_TRichardson @RonFRichard don't give a damn about the people of MO. They are two overgrown little babies throwing a temper tantrum because they aren't getting their way.</t>
  </si>
  <si>
    <t>RT @EdBigCon: Dirty Soros-Backed St. Louis Circuit Attorney Withheld Major Evidence in Governor Greitens' Case - Must Resign Immediately ht…</t>
  </si>
  <si>
    <t>RT @DrSidaLiu: PIP fellow @NCUSCR @SheenaGreitens is presenting @GW_IKS on human rights issues in North Korean refugee resettlement. https:…</t>
  </si>
  <si>
    <t>RT @Norasmith1000: @J_Hancock @EricGreitens So how is that called working for the people of MO? So basically, #moleg distracting each other…</t>
  </si>
  <si>
    <t>RT @RightSideUp313: @JW1057 @missioncontinue @CStamper_ @Joe_Cool_1 @VisioDeiFromLA @MarkReardonKMOX Hidden in plain sight....</t>
  </si>
  <si>
    <t>RT @JW1057: @HawleyMO is competing with William Tisaby to see who is more incompetent than Inspector Clouseau. https://t.co/1e4uWDD90V</t>
  </si>
  <si>
    <t>@HawleyMO is competing with William Tisaby to see who is more incompetent than Inspector Clouseau. https://t.co/1e4uWDD90V</t>
  </si>
  <si>
    <t>RT @JW1057: https://t.co/4AAM3Fqhom
Friendly reminder on the importance of cross-examination. 
@jaybarnes5 @jeanielauer @gcmitts @TommieP…</t>
  </si>
  <si>
    <t>https://t.co/4AAM3Fqhom
Friendly reminder on the importance of cross-examination. 
@jaybarnes5 @jeanielauer @gcmitts @TommiePierson @Rep_TRichardson @RonFRichard @shawnrhoads154 @KevinLAustin1 
#moleg #mogov #greitens #KimShady #IStandWithGreitens</t>
  </si>
  <si>
    <t>RT @JW1057: @missioncontinue "secret donor" lists 2014 and 2015.
https://t.co/iDmpYIww1z
https://t.co/aK2jCEFfSn
@CStamper_ @Joe_Cool_1…</t>
  </si>
  <si>
    <t>@missioncontinue "secret donor" lists 2014 and 2015.
https://t.co/iDmpYIww1z
https://t.co/aK2jCEFfSn
@CStamper_ @Joe_Cool_1 @VisioDeiFromLA @MarkReardonKMOX 
#MissionContinues #moleg #mogov #greitens #KimShady #IStandWithGreitens</t>
  </si>
  <si>
    <t>RT @JW1057: @HawleyMO @StLouisCityCA continue to prove their corruption and incompetence. What is @missioncontinue hiding? Click on image t…</t>
  </si>
  <si>
    <t>@HawleyMO @StLouisCityCA continue to prove their corruption and incompetence. What is @missioncontinue hiding? Click on image to read all about it. 
https://t.co/DjufaE9CqM
@TeamGreitens @StLCountyRepub 
#MissionContinues #moleg #mogov #greitens #KimShady #IStandWithGreitens https://t.co/IPnAYsOTrn</t>
  </si>
  <si>
    <t>RT @JW1057: Who is more sanctimonious (i.e. a bigger jackass)? 
@EdBigCon @Sticknstones4 @CStamper_ @Joe_Cool_1 @HawleyMO @JamesComeyFBI @…</t>
  </si>
  <si>
    <t>Who is more sanctimonious (i.e. a bigger jackass)? 
@EdBigCon @Sticknstones4 @CStamper_ @Joe_Cool_1 @HawleyMO @JamesComeyFBI @VisioDeiFromLA 
#moleg #mogov #maga #mosen</t>
  </si>
  <si>
    <t>RT @JW1057: @KariB03 @StoryoftheYear EG didn't tear a part any family. Kitty and @HereLiesMoon marriage was already coming apart; Moon was…</t>
  </si>
  <si>
    <t>@KariB03 @StoryoftheYear EG didn't tear a part any family. Kitty and @HereLiesMoon marriage was already coming apart; Moon was extremely controlling. Kitty wasn't even allowed to go gym alone - she was basically a prisoner.</t>
  </si>
  <si>
    <t>RT @Sticknstones4: @FOX2now Thankful for @RoyBlunt voice of common sense</t>
  </si>
  <si>
    <t>RT @FOX2now: Sen. Blunt wants the legal and legislative process to play out with Greitens https://t.co/Ne2rdpUNM0 https://t.co/sLZKwagPAs</t>
  </si>
  <si>
    <t>RT @JW1057: @Sticknstones4 @EricGreitens @EricGreitens is a great and honorable man. MO is lucky to have a Governor who is willing to stand…</t>
  </si>
  <si>
    <t>@Sticknstones4 @EricGreitens @EricGreitens is a great and honorable man. MO is lucky to have a Governor who is willing to standup to corrupt people like @StLouisCityCA @Rep_TRichardson @RonFRichard @HawleyMO.</t>
  </si>
  <si>
    <t>RT @JW1057: @KurtEricksonPD @stltoday @EricGreitens is a great and honorable man. MO is lucky to have a Governor who is willing to standup…</t>
  </si>
  <si>
    <t>@KurtEricksonPD @stltoday @EricGreitens is a great and honorable man. MO is lucky to have a Governor who is willing to standup to corrupt people like @StLouisCityCA @Rep_TRichardson @RonFRichard @HawleyMO.</t>
  </si>
  <si>
    <t>RT @stltoday: In rural Missouri, embattled Gov. Eric Greitens avoids talk of scandal in speech to supporters https://t.co/jmGD9eA2vK https:…</t>
  </si>
  <si>
    <t>RT @Sticknstones4: @JW1057 @Monetti4Senate @HawleyMO He can’t handle AG office in Mo, he won’t be able to handle a senate hearing in Washin…</t>
  </si>
  <si>
    <t>RT @KurtEricksonPD: In Texas County embattled @EricGreitens gets a warm reception at Gop event tonight #moleg https://t.co/cuchLxFbKX</t>
  </si>
  <si>
    <t>RT @JW1057: @ksdknews Do your damn jobs @Rep_TRichardson @RonFRichard and let @EricGreitens do his job. If you are unable or unwilling to d…</t>
  </si>
  <si>
    <t>@ksdknews Do your damn jobs @Rep_TRichardson @RonFRichard and let @EricGreitens do his job. If you are unable or unwilling to do your jobs please do not hesitate to resign. You are easily replaced.
#moleg #mogov #greitens #KimShady #IStandWithGreitens</t>
  </si>
  <si>
    <t>RT @JW1057: @Monetti4Senate It's embarrassing that MO has an AG in @HawleyMO who doesn't understand Due Process. 
#moleg #mogov #greitens…</t>
  </si>
  <si>
    <t>@Monetti4Senate It's embarrassing that MO has an AG in @HawleyMO who doesn't understand Due Process. 
#moleg #mogov #greitens #KimShady #IStandWithGreitens</t>
  </si>
  <si>
    <t>RT @Monetti4Senate: Roger that. Our Governor has earned the right to Due Process. Shame on those that seek to deny him his constitutional r…</t>
  </si>
  <si>
    <t>RT @philip_saulter: @ws_missouri Luckily impeaching Greitens will not be easy.  The framers of our State Constitution were quite insightful…</t>
  </si>
  <si>
    <t>RT @AP4Liberty: .@HawleyMO missed you at Lincoln Days tonight in Salem. The people here thought you were coming.  Don't worry, I took their…</t>
  </si>
  <si>
    <t>RT @AnthonyBauman5: @chrisregniertv @FOX2now This will be Hawleys Downfall. Roy keeps my vote. Hawley lost it. #America</t>
  </si>
  <si>
    <t>RT @magathemaga1: Dear #MoLeg Swamp dwellers @Rep_TRichardson @elijahhaahr
@EricGreitens gets his day in court. Until then, back off &amp;amp; let…</t>
  </si>
  <si>
    <t>@theknobboy @ws_missouri @EricGreitens That was then and this is now - it is public matter and she should be named.</t>
  </si>
  <si>
    <t>RT @JW1057: @theknobboy @ws_missouri @EricGreitens  https://t.co/5Jcrwt3ip0</t>
  </si>
  <si>
    <t>@theknobboy @ws_missouri @EricGreitens  https://t.co/5Jcrwt3ip0</t>
  </si>
  <si>
    <t>RT @JW1057: @jmannies So to will the fact the State agreed it was received as in-kind contribution.</t>
  </si>
  <si>
    <t>@jmannies So to will the fact the State agreed it was received as in-kind contribution.</t>
  </si>
  <si>
    <t>@ws_missouri @shawnrhoads154 Good. They know they pay at the polls for their injustices.
#moleg #mogov #greitens #KimShady #IStandWithGreitens</t>
  </si>
  <si>
    <t>RT @JW1057: Dedicated to @StLouisCityCA.
https://t.co/ghqEaY5d91</t>
  </si>
  <si>
    <t>RT @JW1057: How does the government accuse a person of stealing a donor list that the government has already admitted was received as an in…</t>
  </si>
  <si>
    <t>Dedicated to @StLouisCityCA.
https://t.co/ghqEaY5d91</t>
  </si>
  <si>
    <t>How does the government accuse a person of stealing a donor list that the government has already admitted was received as an in-kind contribution?
@StLCountyRepub @EricGreitens @SheenaGreitens @TeamGreitens 
#moleg #mogov #greitens #KimShady #IStandWithGreitens</t>
  </si>
  <si>
    <t>@esqonfire @cfsho444 RSMo § 1.160 appears to answer the question. Unfortunately, not in a positive way for the Governor.</t>
  </si>
  <si>
    <t>@esqonfire @cfsho444 Yes, laws tend to go in the harsher direction. In Ohio, where I am an attorney, defendant does get benefit of lesser sentence.</t>
  </si>
  <si>
    <t>@ColleenMNelson How about one conviction?</t>
  </si>
  <si>
    <t>RT @JW1057: @esqonfire Does MO give defendant benefit of change in substantive law?
RSMo § 569.095 (2018) it has to be over $750 to qualify…</t>
  </si>
  <si>
    <t>@esqonfire Does MO give defendant benefit of change in substantive law?
RSMo § 569.095 (2018) it has to be over $750 to qualify as felony. 
RSMo § 569.095 (2015) it had to be over $500 to qualify as felony.  
@cfsho444 
#moleg #mogov #greitens  #KimShady #IStandWithGreitens</t>
  </si>
  <si>
    <t>@Str8DonLemon @EricGreitens @Rep_TRichardson #KimShady can charge him with a hundred felonies. She would still have zero convictions.</t>
  </si>
  <si>
    <t>RT @JW1057: We see the corruption in MO. Don't think about resigning @EricGreitens. @HawleyMO you are on the ballot and your career is over…</t>
  </si>
  <si>
    <t>We see the corruption in MO. Don't think about resigning @EricGreitens. @HawleyMO you are on the ballot and your career is over.
@SheenaGreitens @TeamGreitens</t>
  </si>
  <si>
    <t>RT @JW1057: @ws_missouri @EricGreitens What actions? He denies everything except for an affair. An affair is personal business and no reaso…</t>
  </si>
  <si>
    <t>@ws_missouri @EricGreitens What actions? He denies everything except for an affair. An affair is personal business and no reason to resign.</t>
  </si>
  <si>
    <t>RT @JW1057: @chrisregniertv How did AGO arrive at 4/22 date? According to everything that I have read, the list would have been "stolen" no…</t>
  </si>
  <si>
    <t>@chrisregniertv How did AGO arrive at 4/22 date? According to everything that I have read, the list would have been "stolen" no later than 3/1/15. If correct the SOL lapsed no later than 3/1/18.</t>
  </si>
  <si>
    <t>RT @RealTravisCook: What we've learned from #Democrats: If you're a #GOP candidate, and if you've ever slept with or touched any woman othe…</t>
  </si>
  <si>
    <t>@Swipetuhunlock @cfsho444 @EricGreitens You say that like I believe the MO House is competent or that incompetence is a partisan trait.</t>
  </si>
  <si>
    <t>RT @JW1057: @Swipetuhunlock @cfsho444 @EricGreitens Presentation of one-sided evidence and testimony without meaningful cross-examination d…</t>
  </si>
  <si>
    <t>@Swipetuhunlock @cfsho444 @EricGreitens Presentation of one-sided evidence and testimony without meaningful cross-examination doesn’t constitute evidence.</t>
  </si>
  <si>
    <t>RT @JW1057: @blackwidow07 @SKOLBLUE1 Probably takes bribes to drop cases. About 20 years ago, locally, there was a prosecutor who did that.…</t>
  </si>
  <si>
    <t>@blackwidow07 @SKOLBLUE1 Probably takes bribes to drop cases. About 20 years ago, locally, there was a prosecutor who did that. Ended up disbarred and in prison.</t>
  </si>
  <si>
    <t>@Swipetuhunlock @cfsho444 @EricGreitens Call me when you have evidence!</t>
  </si>
  <si>
    <t>RT @magathemaga1: When U put UR ear 2 the ground &amp;amp; listen 2 what's going on in MoLeg, it becomes even more clear swamp wants #Greitens out…</t>
  </si>
  <si>
    <t>RT @Hope4Hopeless1: @SenatorNasheed OUR Governor .@EricGreitens IS STANDING STRONG &amp;amp; staying the course of #DrainingTheSwamp &amp;amp; serving the…</t>
  </si>
  <si>
    <t>RT @Hope4Hopeless1: @Thomas1774Paine @HazGoneFishing OUR Governor @EricGreitens IS STANDING STRONG &amp;amp; staying the course of #DrainingTheSwam…</t>
  </si>
  <si>
    <t>@SorosInSTL @SKOLBLUE1 George does KG give you sexual favors?</t>
  </si>
  <si>
    <t>RT @magathemaga1: Rob Schaff accuses KS of committing perjury before committee!
Schaff says there were no consensual acts between KS and E…</t>
  </si>
  <si>
    <t>RT @SKOLBLUE1: Kim Gardner needs to go. She has had an appalling record, murders are on the rise and she continuously fails St. Louis. We i…</t>
  </si>
  <si>
    <t>@Robinsi95136251 @EricGreitens Thank you for your service. Stay strong!</t>
  </si>
  <si>
    <t>RT @Robinsi95136251: @realDonaldTrump So is our Governor Eric Greitens! DON'T let them hang him for frivolous law suits. Thank you Sir.</t>
  </si>
  <si>
    <t>RT @JW1057: @melody_grover @HawleyMO How do you conduct an impartial investigation when you're concerned that if the guy your investigating…</t>
  </si>
  <si>
    <t>@melody_grover @HawleyMO How do you conduct an impartial investigation when you're concerned that if the guy your investigating stays on the stage it will hurt your senatorial campaign?</t>
  </si>
  <si>
    <t>RT @melody_grover: How do you conduct an impartial investigation of somebody you've called on to resign? Yes, they're two separate matters,…</t>
  </si>
  <si>
    <t>RT @grcfay: @magathemaga1 @RonFRichard @EricGreitens @Rep_TRichardson @Eric_Schmitt Might I add that our Governor #ericgreitens, needs our…</t>
  </si>
  <si>
    <t>RT @magathemaga1: @ws_missouri @EricGreitens Why does @RonFRichard hate #Missouri Voters ?
https://t.co/00Je0IimyV</t>
  </si>
  <si>
    <t>RT @JW1057: @SentinelKSMO @EricGreitens @TeamGreitens doesn't need to restore his honor; he never lost it. He had an affair and only @Sheen…</t>
  </si>
  <si>
    <t>@SentinelKSMO @EricGreitens @TeamGreitens doesn't need to restore his honor; he never lost it. He had an affair and only @SheenaGreitens  has the right to judge him for it. She forgave him. The affair isn't MO's business. He didn't cheat on MO. #moleg #mogov #greitens #IStandWithGreitens</t>
  </si>
  <si>
    <t>RT @JW1057: @melody_grover Sounds like @RonFRichard should resign because he is unwilling to do his job. If he doesn't resign, then he shou…</t>
  </si>
  <si>
    <t>@melody_grover Sounds like @RonFRichard should resign because he is unwilling to do his job. If he doesn't resign, then he should be expelled.</t>
  </si>
  <si>
    <t>RT @magathemaga1: @JW1057 @DeplorableMOGal @PTtheIslander @iChrisSommers Dude she sent the powder to herself. Mark my words. #moleg</t>
  </si>
  <si>
    <t>RT @JW1057: @Wilhemina12418 @ksdknews Nope!</t>
  </si>
  <si>
    <t>@Wilhemina12418 @ksdknews Nope!</t>
  </si>
  <si>
    <t>RT @JW1057: @DeplorableMOGal @PTtheIslander @iChrisSommers Doesn't sound like Greitens is the one who is erratic. Nasheed well she is insan…</t>
  </si>
  <si>
    <t>@DeplorableMOGal @PTtheIslander @iChrisSommers Doesn't sound like Greitens is the one who is erratic. Nasheed well she is insane.</t>
  </si>
  <si>
    <t>RT @JW1057: @ws_missouri @EricGreitens Sounds like @RonFRichard should resign because he is unwilling to do his job. If he doesn't resign,…</t>
  </si>
  <si>
    <t>@ws_missouri @EricGreitens Sounds like @RonFRichard should resign because he is unwilling to do his job. If he doesn't resign, then he should be expelled.</t>
  </si>
  <si>
    <t>RT @YearOfZero: Hey @Rep_TRichardson this entire case is crooked as well as the prosecutor and the judge.
No bench trial. I may not be a l…</t>
  </si>
  <si>
    <t>RT @BCunninghamN: “I don’t care if the report says that he’s been accused of dancing naked on Kingshighway Boulevard at midnight with a lla…</t>
  </si>
  <si>
    <t>@Sticknstones4 @SenatorNasheed I guess Senator Nasheed should resign.</t>
  </si>
  <si>
    <t>RT @JW1057: @proudmomom @MOHouseGOP @MissouriGOP @AGJoshHawley Due process is vital in every case. I would, however, suggest that is even m…</t>
  </si>
  <si>
    <t>@proudmomom @MOHouseGOP @MissouriGOP @AGJoshHawley Due process is vital in every case. I would, however, suggest that is even more essential when there are "disgusting accusations" because people are more likely to just react to the disgust, rather than the merits of the accusation.</t>
  </si>
  <si>
    <t>@KCStar Never. @EricGreitens is innocent.</t>
  </si>
  <si>
    <t>RT @Sticknstones4: @FOX2now I’m glad he’s not resigning, everyone is entitled to due process</t>
  </si>
  <si>
    <t>RT @Sticknstones4: @FOX2now That’s a fair maneuver considering the statements made by Hawley</t>
  </si>
  <si>
    <t>RT @Sticknstones4: @KMOV Glad Greitens is staying the course, he’s entitled to due process</t>
  </si>
  <si>
    <t>RT @JohnLamping: The Jeff City swamp wants to nullify an election, Missouri voters (esp GOP) won’t soon forget.....</t>
  </si>
  <si>
    <t>RT @for_congress: Greitens files restraining order against Hawley – https://t.co/T3QQRxLfMm https://t.co/dNzvr7jmRY Hawley should resign, h…</t>
  </si>
  <si>
    <t>RT @Sticknstones4: I expect this matter to play itself out in a court of law and not through the media. As this is a personnel matter, I in…</t>
  </si>
  <si>
    <t>RT @toadtws: Why is a previously respected, former St. Louis judge, Robert Dierker, ignoring the old saying "If you lie down with dogs, you…</t>
  </si>
  <si>
    <t>RT @JW1057: @AndrewHopkins86 @kylegriffin1 Greitens isn't seeking to stop the investigation. He is requesting the judge appoint a special p…</t>
  </si>
  <si>
    <t>@AndrewHopkins86 @kylegriffin1 Greitens isn't seeking to stop the investigation. He is requesting the judge appoint a special prosecutor because Hawley has made prejudicial statements about Greitens and Hawley has a personal (i.e. political) motivation to go after him.</t>
  </si>
  <si>
    <t>RT @Hope4Hopeless1: @KCTV5 We appreciate that .@EricGreitens is STANDING STRONG &amp;amp; staying the course of #DrainingTheSwamp &amp;amp; serving the peo…</t>
  </si>
  <si>
    <t>RT @memoriadei: Appalled like never before at #MOLEG for bullying.  Unprofessional!  Not once have I ever seen such disgusting behavior and…</t>
  </si>
  <si>
    <t>RT @tkinder: Some present Governor .@EricGreitens pending court case as a choice between Josh Hawley and Greitens. Not True. The choice is…</t>
  </si>
  <si>
    <t>RT @RetNavy93: @tkinder @EricGreitens #MoLeg should wait until the #EricGreitons trial is over. If they don't they'll be getting the Govern…</t>
  </si>
  <si>
    <t>RT @Monetti4Senate: It is no coincidence that Josh @HawleyMO called for Greitens to step down,
and then accused him of a felony, while he i…</t>
  </si>
  <si>
    <t>RT @Sticknstones4: https://t.co/zybLLKKrK2 https://t.co/ZbBiKrowuL</t>
  </si>
  <si>
    <t>RT @JW1057: @lindsaywise Greitens isn't asking not to be investigated. He is asking that the court appoint a special prosecutor because Haw…</t>
  </si>
  <si>
    <t>@lindsaywise Greitens isn't asking not to be investigated. He is asking that the court appoint a special prosecutor because Hawley has prejudged him and has personal (i.e. political) reasons to go after him.</t>
  </si>
  <si>
    <t>RT @Sticknstones4: Some evidence of push back in the Missouri House against punishment of Governor Greitens https://t.co/9rlX2f2BYJ</t>
  </si>
  <si>
    <t>RT @JW1057: @Ontheotherhand @ZavalaA @EricGreitens Nothing. Greitens is asking the judge to appoint special prosecutor to investigate. Grei…</t>
  </si>
  <si>
    <t>@Ontheotherhand @ZavalaA @EricGreitens Nothing. Greitens is asking the judge to appoint special prosecutor to investigate. Greitens believes Hawley too biased.</t>
  </si>
  <si>
    <t>@thesearcher998 @VisioDeiFromLA @robschaaf @Rep_TRichardson You are joking, right? Lol</t>
  </si>
  <si>
    <t>RT @amysuds: @EricGreitens Do not resign</t>
  </si>
  <si>
    <t>RT @Mizzourah_Mom: At least there are some who want to allow #Greitens to have his day in court! As an American I still believe in innocent…</t>
  </si>
  <si>
    <t>RT @JW1057: @MCADSV @J_Hancock Also remember no one should lie about assault or abuse.</t>
  </si>
  <si>
    <t>@MCADSV @J_Hancock Also remember no one should lie about assault or abuse.</t>
  </si>
  <si>
    <t>RT @Mizzourah_Mom: @EricGreitens Stay strong, Governor! Some of us in MO still believe in due process.</t>
  </si>
  <si>
    <t>RT @JW1057: @KCStar You need to start calling the Kim Gardner scandal.</t>
  </si>
  <si>
    <t>@KCStar You need to start calling the Kim Gardner scandal.</t>
  </si>
  <si>
    <t>RT @VisioDeiFromLA: Or it is a fake news story that was planted by Democrat operatives to try to get the potus to weigh in on this so they…</t>
  </si>
  <si>
    <t>RT @JCunninghamMO: “Not so fast buckaroos.” My favorite quote from former Chief Justice of the Missouri Supreme Court Michael Wolfe on the…</t>
  </si>
  <si>
    <t>RT @rxpatrick: New filing by lawyers for Mo. Gov. Eric Greitens. After a quick skim, appears largely a summary and recap of arguments made…</t>
  </si>
  <si>
    <t>RT @lindsaywise: “Hawley should keep his pledge not to become a ladder-climbing politician, he should not be running for the U.S. Senate at…</t>
  </si>
  <si>
    <t>RT @JW1057: @MIZCRB @aaron_hedlund @TheNancyAllen @ScottCharton That actually appears to be an open question. 
"The court — which presumab…</t>
  </si>
  <si>
    <t>@MIZCRB @aaron_hedlund @TheNancyAllen @ScottCharton That actually appears to be an open question. 
"The court — which presumably would include a commission of eminent jurists — “can convict only where there is actual misconduct as the law defines it,” according to the 1994 Moriarty decision."
https://t.co/gvGOaRlSfh</t>
  </si>
  <si>
    <t>RT @VisioDeiFromLA: @YblackGOP @Markknight45 @MOHouseGOP @Rep_TRichardson @elijahhaahr @MOGOP_Chairman @AP4Liberty @Monetti4Senate @Sykesfo…</t>
  </si>
  <si>
    <t>@BigJShoota @stltoday For Trump, I don't see how he could possible thread the needle. This hits way to close to home for Trump. I guess he could say there is a criminal indictment of Greitens, but not him. Of course, will Trump resign immediately if Mueller indicts him?</t>
  </si>
  <si>
    <t>RT @JCunninghamMO: I’m with Representatives Lindell Shumake, @lfshumake and Cheri Toalson Reisch, @CheriMO44. Allow the complete process to…</t>
  </si>
  <si>
    <t>RT @JW1057: @JCunninghamMO @lfshumake @CheriMO44 @SpeakerTimJones @MOGOP_Chairman @Rep_TRichardson @rossgarber @MarkReardonKMOX 
#moleg #m…</t>
  </si>
  <si>
    <t>@JCunninghamMO @lfshumake @CheriMO44 @SpeakerTimJones @MOGOP_Chairman @Rep_TRichardson @rossgarber @MarkReardonKMOX 
#moleg #mogov #greitens #KimShady #IStandWithGreitens https://t.co/mFmQpoMpRP</t>
  </si>
  <si>
    <t>RT @melody_grover: I feel a tad bit sorry for @HawleyMO and the other Chicken Littles whose political careers will be flushed down the drai…</t>
  </si>
  <si>
    <t>RT @TrumpChess: Everywhere I see @GovGreitensMO go he gets standing ovations because the #MoVoters stand beside him just like we do @POTUS…</t>
  </si>
  <si>
    <t>RT @VisioDeiFromLA: @Markknight45 @YblackGOP @MOHouseGOP @Rep_TRichardson @elijahhaahr @MOGOP_Chairman @AP4Liberty @Monetti4Senate @Sykesfo…</t>
  </si>
  <si>
    <t>RT @JW1057: @YblackGOP See attached.
#moleg #mogov #greitens #KimShady #IStandWithGreitens https://t.co/f2h5R9vbrE</t>
  </si>
  <si>
    <t>@YblackGOP See attached.
#moleg #mogov #greitens #KimShady #IStandWithGreitens https://t.co/f2h5R9vbrE</t>
  </si>
  <si>
    <t>RT @VisioDeiFromLA: @YblackGOP @MOHouseGOP @Rep_TRichardson @elijahhaahr @MOGOP_Chairman @AP4Liberty @Monetti4Senate @SykesforSenate But un…</t>
  </si>
  <si>
    <t>RT @VisioDeiFromLA: @YblackGOP @MOHouseGOP @Rep_TRichardson @elijahhaahr @MOGOP_Chairman @AP4Liberty @Monetti4Senate @SykesforSenate Puttin…</t>
  </si>
  <si>
    <t>RT @TrumpChess: Shout out to @GovGreitensMO saying "He will NOT step down" and we're proud to stand with him @POTUS The only LIAR I've seen…</t>
  </si>
  <si>
    <t>RT @Sticknstones4: @melody_grover @HawleyMO Agree ! ladder boy should resign as AG too, hes so busy climbing, he’s not doing a good job as…</t>
  </si>
  <si>
    <t>RT @JW1057: @ws_missouri @EricGreitens @RonFRichard @Rep_TRichardson should go there is nothing stopping them. 
#IStandWithGreitens #KimSh…</t>
  </si>
  <si>
    <t>@ws_missouri @EricGreitens @RonFRichard @Rep_TRichardson should go there is nothing stopping them. 
#IStandWithGreitens #KimShady #Greitens</t>
  </si>
  <si>
    <t>RT @JW1057: @Sticknstones4 @melody_grover @EricGreitens Why are they so afraid to give @EricGreitens his day in court? You know with actual…</t>
  </si>
  <si>
    <t>@Sticknstones4 @melody_grover @EricGreitens Why are they so afraid to give @EricGreitens his day in court? You know with actual cross-examination and rules of evidence. Perhaps, they know what we know and that is Eric is innocent.</t>
  </si>
  <si>
    <t>RT @JW1057: @VisioDeiFromLA @MarshallGReport @EricGreitens It is time for @Rep_TRichardson to resign. He is utterly useless.</t>
  </si>
  <si>
    <t>RT @melody_grover: The same state chair who spread malicious lies that drove Tom Schweich to suicide? Gotcha. #mogov #moleg #mosen https://…</t>
  </si>
  <si>
    <t>@VisioDeiFromLA @MarshallGReport @EricGreitens It is time for @Rep_TRichardson to resign. He is utterly useless.</t>
  </si>
  <si>
    <t>RT @kendylei: @EricGreitens @CStamper_ Hang in there Governor, we’re fighting for you.</t>
  </si>
  <si>
    <t>@Joe_Cool_1 @tonymess @GovGreitensMO @EricGreitens @HereLiesMoon @1057thePoint @RizzShow Does this mean we can't mention Eric Greitens' name since he is the actual victim?</t>
  </si>
  <si>
    <t>RT @Culper_Lady56: @gotravelgear @BeauWillimon @EricGreitens and those calling for the end of a man's career/reputation, they are teaching…</t>
  </si>
  <si>
    <t>RT @Markknight45: @EricGreitens Hang in there brother. We got you your back.</t>
  </si>
  <si>
    <t>RT @blackwidow07: Well it's about time! There may have been several so called operatives out for sometime offering goodies/rewards and not…</t>
  </si>
  <si>
    <t>RT @bluefezman: If someone withholds evidence in a case like @EricGreitens. Only to have more withheld evidence emerg it's a travesty of ju…</t>
  </si>
  <si>
    <t>RT @bluefezman: This virus they unleashed on  governor @EricGreitens is shameful never has there been anything like this. Remember the Kenn…</t>
  </si>
  <si>
    <t>RT @joshhawleymo: I am willing to backstab my personal friends, when it will make me look good. I am willing to befriend my personal enemie…</t>
  </si>
  <si>
    <t>RT @JW1057: @jrosenbaum @RonFRichard @EricGreitens There is nothing stopping Ron Richard from resigning, so he should resign.</t>
  </si>
  <si>
    <t>@jrosenbaum @RonFRichard @EricGreitens There is nothing stopping Ron Richard from resigning, so he should resign.</t>
  </si>
  <si>
    <t>@DavidReevesvet @kstreet111 @EricGreitens She testified to the house committee that she has never sent nude photos of herself. However, she testified elsewhere she sent nude photos of herself to Greitens. That is why an actual investigation is required. We know she is lying but to what extent.</t>
  </si>
  <si>
    <t>@DavidReevesvet @kstreet111 @EricGreitens We know she lied. For example, Gardner and Tisaby claimed that the video of KS's interview didn't exist. KS corroborated that story. We now know the video exist. We know she was lying about that, so what else is she lying about?</t>
  </si>
  <si>
    <t>RT @JW1057: @KurtEricksonPD He certainly would disapprove of the affair. But he's also probably in favor of due process.</t>
  </si>
  <si>
    <t>@KurtEricksonPD He certainly would disapprove of the affair. But he's also probably in favor of due process.</t>
  </si>
  <si>
    <t>RT @DorcasLyons4: @EricGreitens I am a registered voter in Missouri!  All of this is allegations from Soros &amp;amp; Deep State! They are doing th…</t>
  </si>
  <si>
    <t>RT @blackwidow07: @Sticknstones4 I missed Dowd statement. I also commented last week about @AGJoshHawley. Hard to be AG &amp;amp; make political mo…</t>
  </si>
  <si>
    <t>RT @Sticknstones4: attorney Edward L. Dowd Jr. raised concerns over Josh Hawley's comment last week urging Greitens to resign. The letter s…</t>
  </si>
  <si>
    <t>RT @JW1057: How many pedophiles are serving in the Missouri Legislature at this time?
@Joe_Cool_1 
#moleg #mogov #greitens #GreitensIndic…</t>
  </si>
  <si>
    <t>How many pedophiles are serving in the Missouri Legislature at this time?
@Joe_Cool_1 
#moleg #mogov #greitens #GreitensIndictment #KimShady #IStandWithGreitens</t>
  </si>
  <si>
    <t>RT @JW1057: @kmoxnews Let's have an actual investigation before beginning impeachment.</t>
  </si>
  <si>
    <t>@kmoxnews Let's have an actual investigation before beginning impeachment.</t>
  </si>
  <si>
    <t>RT @JW1057: @BryanLowry3 I am all in favor of Senate President and House Speaker resigning!</t>
  </si>
  <si>
    <t>@BryanLowry3 I am all in favor of Senate President and House Speaker resigning!</t>
  </si>
  <si>
    <t>RT @JW1057: Dear Members of the Missouri House and Senate:
If you don't want to work with @EricGreitens then you are all free to resign. T…</t>
  </si>
  <si>
    <t>Dear Members of the Missouri House and Senate:
If you don't want to work with @EricGreitens then you are all free to resign. The people can choose new representatives and senators to replace you. 
#moleg #mogov #greitens #GreitensIndictment #KimShady #IStandWithGreitens</t>
  </si>
  <si>
    <t>RT @Hope4Hopeless1: GOOD for you, Sir! We ELECTED a STRONG LEADER who can stand up to POWERFUL Anti-Constitutional FORCES tryin to DESTROY…</t>
  </si>
  <si>
    <t>@mdouty @EricGreitens @SheenaGreitens @Rep_TRichardson @HawleyMO @elijahhaahr @RobVescovo Never have and never would vote for Hawley. I don't give up because others do, I keep going because others gave up.</t>
  </si>
  <si>
    <t>RT @JW1057: @rep_trichardson @RonFRichard why do you hate the rule of law? Why do you hate due process? Why do you hate Missouri? Why do yo…</t>
  </si>
  <si>
    <t>@rep_trichardson @RonFRichard why do you hate the rule of law? Why do you hate due process? Why do you hate Missouri? Why do you hate America?
@TeamGreitens
#moleg #mogov #greitens #GreitensIndictment #KimShady #IStandWithGreitens</t>
  </si>
  <si>
    <t>RT @JW1057: @EricGreitens You don't need to "prove your innocence." The law decrees you as innocent until the prosecution proves your guilt…</t>
  </si>
  <si>
    <t>@EricGreitens You don't need to "prove your innocence." The law decrees you as innocent until the prosecution proves your guilt beyond a reasonable doubt. 
Many people may treat you as guilty to proven innocent, but they are traitors to the Constitution that they once swore to uphold.</t>
  </si>
  <si>
    <t>RT @EricGreitens: I will not be resigning the Governor's office. In three weeks, this matter will go to a court of law—where it belongs and…</t>
  </si>
  <si>
    <t>@EricGreitens Thank you, Governor. We love you and @SheenaGreitens. 
@Rep_TRichardson @HawleyMO @elijahhaahr @RobVescovo you are all more than welcome to resign. MO needs leaders not cowards who rely on one-side fairy tales, prosecutorial misconduct, and weak-kneed maggots like Hawley.</t>
  </si>
  <si>
    <t>RT @AP4Liberty: .@HawleyMO inappropriately used his office to score political points by calling @EricGreitens alleged actions impeachable a…</t>
  </si>
  <si>
    <t>RT @JDCVICHAM2017: @JW1057 @juliematthews50 @realDonaldTrump @HawleyMO Amen, make up a yard sign and send me one</t>
  </si>
  <si>
    <t>RT @JW1057: @J_Hancock @NickBSchroer @EricGreitens @clairecmc It is an attorney's duty to go after people who go after his or her client.</t>
  </si>
  <si>
    <t>@J_Hancock @NickBSchroer @EricGreitens @clairecmc It is an attorney's duty to go after people who go after his or her client.</t>
  </si>
  <si>
    <t>RT @cfsho444: @HawleyMO Mr. Hawley, why would any self respecting individual vote for a man like yourself who has shown he has neither loya…</t>
  </si>
  <si>
    <t>@dhellingkc I will settle for one proven felony. Thus, the count remains zero.</t>
  </si>
  <si>
    <t>@magathemaga1 @stlcao #JoshHawley</t>
  </si>
  <si>
    <t>RT @magathemaga1: @JW1057 @stlcao  https://t.co/haWOO8OIDQ</t>
  </si>
  <si>
    <t>RT @YearOfZero: @Avenge_mypeople @WillSchamper_ @Sticknstones4 @magathemaga1 @VisioDeiFromLA @EdBigCon @KathieConway @ohsynesthesia @TommyL…</t>
  </si>
  <si>
    <t>RT @magathemaga1: Some additions. Credit is due to @GrrrGraphics for this. Great follow everybody!
#moleg #greitens #MOSen https://t.co/yk…</t>
  </si>
  <si>
    <t>RT @magathemaga1: #Missouri Needs to Drain Swamp
New witch hunt allegations by #LadderBoy:
✔Waits until now?
✔Was he doing his job at all…</t>
  </si>
  <si>
    <t>RT @JW1057: @DavidALieb @EricGreitens @AP Lawmakers can save themselves the trouble. Because the alleged pre-office actions are fabricated,…</t>
  </si>
  <si>
    <t>@DavidALieb @EricGreitens @AP Lawmakers can save themselves the trouble. Because the alleged pre-office actions are fabricated, there is no reason to impeach or otherwise punish the Governor. Now move on to real business. 
  @Sticknstones4 @CStamper_ @VisioDeiFromLA</t>
  </si>
  <si>
    <t>RT @JW1057: @rothfarms @Avenge_mypeople @jallman971 @EricGreitens @HawleyMO would push his own children under the bus to advance his career.</t>
  </si>
  <si>
    <t>@rothfarms @Avenge_mypeople @jallman971 @EricGreitens @HawleyMO would push his own children under the bus to advance his career.</t>
  </si>
  <si>
    <t>RT @magathemaga1: #Missouri doesnt need another Robert Mueller in DC.
Vote:
@AP4Liberty 
@Monetti4Senate 
@SykesforSenate 
#MOSen #Ladder…</t>
  </si>
  <si>
    <t>RT @JW1057: @EricGreitens @SheenaGreitens @TeamGreitens @StLCountyRepub @MissouriGOP @CStamper_ @MOGOP_Chairman @VisioDeiFromLA @melody_gro…</t>
  </si>
  <si>
    <t>@EricGreitens @SheenaGreitens @TeamGreitens @StLCountyRepub @MissouriGOP @CStamper_ @MOGOP_Chairman @VisioDeiFromLA @melody_grover @clairecmc @JCunninghamMO @Sticknstones4 
The corrupt keep coming!
#moleg #mogov #greitens #GreitensIndictment #KimShady #IStandWithGreitens https://t.co/Twg325Xsxv</t>
  </si>
  <si>
    <t>RT @magathemaga1: #LadderBoy Hawley has decided to take on the role of Mueller 2.0
✔Waits until now?
✔Was he doing his job at all as AG?
✔…</t>
  </si>
  <si>
    <t>RT @JW1057: @lucylouise1112 @lindsaywise @AGJoshHawley @clairecmc @EricGreitens Choose? Bye @HawleyMO. 
#moleg #mogov #greitens #GreitensI…</t>
  </si>
  <si>
    <t>@lucylouise1112 @lindsaywise @AGJoshHawley @clairecmc @EricGreitens Choose? Bye @HawleyMO. 
#moleg #mogov #greitens #GreitensIndictment #KimShady #IStandWithGreitens</t>
  </si>
  <si>
    <t>RT @HotPokerPrinces: @FOX2now What did @SykesforSenate  do today ?  Cause pretty sure nobody cares about Josh anymore</t>
  </si>
  <si>
    <t>RT @Sticknstones4: Do you think they took notes or no notes ?
Did they have a preconceived forced narrative ?
Did the video tape machine…</t>
  </si>
  <si>
    <t>RT @Sticknstones4: Where is Claire’s statement on Kim Gardner ’s gross incompetence ? 
#politicalgames https://t.co/WDG3otAQ40</t>
  </si>
  <si>
    <t>RT @VisioDeiFromLA: What ever happened with these allegations against Hawley??
"Hawley illegally paid Senate consultants with state campai…</t>
  </si>
  <si>
    <t>@kmoxnews Criminally this appears to be nonstarter. If violation occurred on 3/1/15, or earlier, the three year statute of limitations has run. @HawleyMO playing politics with the law - Kim Gardner's evil twin. 
#moleg #mogov #greitens #GreitensIndictment #KimShady #IStandWithGreitens</t>
  </si>
  <si>
    <t>RT @JW1057: @stlcao Self-interested Josh Hawley and corrupt Kim Gardner a match made in hell. 
#moleg #mogov #greitens #GreitensIndictment…</t>
  </si>
  <si>
    <t>@stlcao Self-interested Josh Hawley and corrupt Kim Gardner a match made in hell. 
#moleg #mogov #greitens #GreitensIndictment #KimShady #IStandWithGreitens</t>
  </si>
  <si>
    <t>RT @JW1057: @jrosenbaum @HawleyMO leaving his wife for @clairecmc. They have been having an affair. @Sticknstones4 @HotPokerPrinces @Joe_Co…</t>
  </si>
  <si>
    <t>@jrosenbaum @HawleyMO leaving his wife for @clairecmc. They have been having an affair. @Sticknstones4 @HotPokerPrinces @Joe_Cool_1 @magathemaga1 
#moleg #mogov #greitens #GreitensIndictment #KimShady #IStandWithGreitens</t>
  </si>
  <si>
    <t>RT @JW1057: @memoriadei Ssh! You aren't suppose to ask questions. This isn't a railroading - they are just take evidence and testimony from…</t>
  </si>
  <si>
    <t>@memoriadei Ssh! You aren't suppose to ask questions. This isn't a railroading - they are just take evidence and testimony from one-side that can't keep its story straight to accuse Gov. of being blackmailer and physical and sexual abuser. Why would you think railroading?</t>
  </si>
  <si>
    <t>RT @JW1057: @Sticknstones4 @ws_missouri For people who are claiming that this is not a witch hunt, they sure are doing a good job of making…</t>
  </si>
  <si>
    <t>@Sticknstones4 @ws_missouri For people who are claiming that this is not a witch hunt, they sure are doing a good job of making it look like one.
#moleg #mogov #greitens #GreitensIndictment #KimShady #IStandWithGreitens</t>
  </si>
  <si>
    <t>RT @KurtEricksonPD: Greitens' defense lawyer says attorney general should drop probe of governor https://t.co/I9vm3RfV1L via @stltoday #mol…</t>
  </si>
  <si>
    <t>@Sticknstones4 @EricGreitens Damn! Can't like this more than once.</t>
  </si>
  <si>
    <t>RT @JW1057: @WhereIs_Billy @ws_missouri Greitens is not an embarrassment. He is a victim of a rogue prosecutor and an incompetent/corrupt h…</t>
  </si>
  <si>
    <t>@WhereIs_Billy @ws_missouri Greitens is not an embarrassment. He is a victim of a rogue prosecutor and an incompetent/corrupt house committee. Gardner, Hawley, and members of the house committee along with Speaker Richardson must resign.</t>
  </si>
  <si>
    <t>RT @EdBigCon: #KimShady needs to resign!Greitens' Prosecution: Relying on Investigator Was a Mistake #Moleg   https://t.co/rY1j298Yul</t>
  </si>
  <si>
    <t>RT @JW1057: @Sticknstones4 @JamesMNHarris @HawleyMO @Joe_Cool_1 "Attorneys for EngagePoint had alleged that Hawley’s office failed to meet…</t>
  </si>
  <si>
    <t>@Sticknstones4 @JamesMNHarris @HawleyMO @Joe_Cool_1 "Attorneys for EngagePoint had alleged that Hawley’s office failed to meet deadlines or provide documents through the normal discovery process as required by law." He and Kim really do have a lot in common.</t>
  </si>
  <si>
    <t>RT @JW1057: @JamesMNHarris @HawleyMO Hawley is no "General." He is not even qualified to be a Private. He is eminently qualified to be Kim…</t>
  </si>
  <si>
    <t>@JamesMNHarris @HawleyMO Hawley is no "General." He is not even qualified to be a Private. He is eminently qualified to be Kim Gardner's bitch.
@Sticknstones4 @Joe_Cool_1 
#moleg #mogov #greitens #GreitensIndictment #KimShady #IStandWithGreitens</t>
  </si>
  <si>
    <t>RT @JW1057: @JamesMNHarris @HawleyMO I support the impeachment of @HawleyMO @AGJoshHawley  who appears to not understand the presumption of…</t>
  </si>
  <si>
    <t>@JamesMNHarris @HawleyMO I support the impeachment of @HawleyMO @AGJoshHawley  who appears to not understand the presumption of innocence, the burden of proof, rules of evidence, professional responsibility, and proper investigative methods. Who does Hawley think he is Kim Gardner?</t>
  </si>
  <si>
    <t>RT @melody_grover: If the case against #mogov is dismissed or results in acquittal, @HawleyMO must immediately resign as AG and depart the…</t>
  </si>
  <si>
    <t>RT @DeplorableGoldn: RT 🚨
Greitens will never resign. Ever. This is the 2nd time @AGJoshHawley has called for the resignation of a Republic…</t>
  </si>
  <si>
    <t>RT @melody_grover: I might be missing something, but I think it's @HawleyMO who is up for election in 2018, not the Governor. He is the one…</t>
  </si>
  <si>
    <t>RT @NeilStruharik: Traitor @HawleyMO prematurely threw @EricGreitens under the bus. Inappropriate for AG. What opportunism! Sad! Politicizi…</t>
  </si>
  <si>
    <t>RT @JCunninghamMO: One of the best, fairest and most reasonable statements I have seen. @curtisdtrent https://t.co/X6lPZAW3iU</t>
  </si>
  <si>
    <t>RT @Hope4Hopeless1: @HawleyMO @clairecmc .@Hawley will you stop being a cuck, calling for the resignation of  ELECTED Gov #Greitens BEFORE…</t>
  </si>
  <si>
    <t>RT @EdBigCon: War of words between St. Louis police chief and circuit attorney #KimShady  https://t.co/KtpofSy6UN</t>
  </si>
  <si>
    <t>RT @melody_grover: Reading the attacks against #mogov by @HawleyMO supporters is like viewing a running marquee of washed-up, disgraced MO…</t>
  </si>
  <si>
    <t>RT @melody_grover: @MikeMitchNH @HawleyMO I'll call for the Governor's resignation if and when it is proven beyond a reasonable doubt that…</t>
  </si>
  <si>
    <t>RT @JW1057: @melody_grover @MikeMitchNH @HawleyMO No one disputes Tisaby perjured himself multiple times (e.g. no notes). We know that Gard…</t>
  </si>
  <si>
    <t>@melody_grover @MikeMitchNH @HawleyMO No one disputes Tisaby perjured himself multiple times (e.g. no notes). We know that Gardner suborned that perjury in a subsequent deposition. We know Kitty confirmed that lie. Kitty's creditability is highly suspect.</t>
  </si>
  <si>
    <t>@BigJShoota @Sticknstones4 @VisioDeiFromLA @EdBigCon @ChiefJohnHayden Hey, with a memory like Tisaby's who needs notes!</t>
  </si>
  <si>
    <t>RT @JW1057: @melody_grover @HawleyMO I support the impeachment of @HawleyMO @AGJoshHawley  who appears to not understand the presumption of…</t>
  </si>
  <si>
    <t>@melody_grover @HawleyMO I support the impeachment of @HawleyMO @AGJoshHawley  who appears to not understand the presumption of innocence, the burden of proof, rules of evidence, professional responsibility, and proper investigative methods. Who does Hawley think he is Kim Gardner?</t>
  </si>
  <si>
    <t>RT @JW1057: @realDonaldTrump there's a traitor in your mist. His name is @HawleyMO and he isn't interested in MAGA. Josh Hawley is Missouri…</t>
  </si>
  <si>
    <t>@realDonaldTrump there's a traitor in your mist. His name is @HawleyMO and he isn't interested in MAGA. Josh Hawley is Missouri's Robert Mueller. You should withdrawal your support for Hawley immediately.
#moleg #mogov #greitens #GreitensIndictment #KimShady #IStandWithGreitens</t>
  </si>
  <si>
    <t>RT @JW1057: @ksdknews That is like calling the Titanic a bad cruise!
#moleg #mogov #greitens #GreitensIndictment #KimShady #IStandWithGrei…</t>
  </si>
  <si>
    <t>RT @JW1057: Just Say No to @HawleyMO on Election Day!
@VisioDeiFromLA @CStamper_ @Sticknstones4 
#moleg #mogov #greitens #GreitensIndictm…</t>
  </si>
  <si>
    <t>@ksdknews That is like calling the Titanic a bad cruise!
#moleg #mogov #greitens #GreitensIndictment #KimShady #IStandWithGreitens</t>
  </si>
  <si>
    <t>Just Say No to @HawleyMO on Election Day!
@VisioDeiFromLA @CStamper_ @Sticknstones4 
#moleg #mogov #greitens #GreitensIndictment #KimShady #IStandWithGreitens</t>
  </si>
  <si>
    <t>RT @DeplorableGoldn: RT
If innocence is brought 2 bar &amp;amp; condemned, perhaps 2 die, then citizens will say, “whether I do good or evil is imm…</t>
  </si>
  <si>
    <t>RT @JW1057: @Avenge_mypeople @HawleyMO I support the impeachment of @HawleyMO @AGJoshHawley  who appears to not understand the presumption…</t>
  </si>
  <si>
    <t>RT @JW1057: @Avenge_mypeople @HawleyMO Hey, leave Josh's dirty underwear out of this!</t>
  </si>
  <si>
    <t>RT @Avenge_mypeople: @JW1057 @MissouriTimes @thisweekinmopol @sdieckhaus @HawleyMO @spire_energy @AGJoshHawley #KimHawley...sounds like a m…</t>
  </si>
  <si>
    <t>@Avenge_mypeople @HawleyMO I support the impeachment of @HawleyMO @AGJoshHawley  who appears to not understand the presumption of innocence, the burden of proof, rules of evidence, professional responsibility, and proper investigative methods. Who does Hawley think he is Kim Gardner?</t>
  </si>
  <si>
    <t>@Avenge_mypeople @HawleyMO Hey, leave Josh's dirty underwear out of this!</t>
  </si>
  <si>
    <t>RT @JW1057: @MissouriTimes @thisweekinmopol @sdieckhaus @HawleyMO @spire_energy I support the impeachment of @HawleyMO @AGJoshHawley  who a…</t>
  </si>
  <si>
    <t>RT @Avenge_mypeople: @HawleyMO , the fake #MAGA candidate is out snooping for Democrats to see if he can find anything on #Greitens  since…</t>
  </si>
  <si>
    <t>@MissouriTimes @thisweekinmopol @sdieckhaus @HawleyMO @spire_energy I support the impeachment of @HawleyMO @AGJoshHawley  who appears to not understand the presumption of innocence, the burden of proof, rules of evidence, professional responsibility, and proper investigative methods. Who does Hawley think he is Kim Gardner?</t>
  </si>
  <si>
    <t>RT @SentinelKSMO: Greitens' Prosecutors Admit "Egregious Mistakes," Face Dismissal of Case - https://t.co/ROewkVC6c9</t>
  </si>
  <si>
    <t>@YearOfZero @HawleyMO @Monetti4Senate @SykesforSenate @AP4Liberty @EricGreitens @MSTLGA @Sticknstones4 @JohnLamping @AvrilMai91 @ChanelRion @SKOLBLUE1 @DaynaGould @Hope4Hopeless1 Correction Greitens doesn't need his day in court to prove his innocence. He is innocent until the prosecution can prove his guilt. As matter of law, Greitens is an innocent man.</t>
  </si>
  <si>
    <t>RT @KurtEricksonPD: Similar comments from Redmon and Christofanelli https://t.co/424xEcxtsw</t>
  </si>
  <si>
    <t>RT @ws_missouri: Rep. Curtis Trent, R-Springfield, is purportedly too busy for an interview but has released this statement re the governor…</t>
  </si>
  <si>
    <t>RT @KMOV: Greitens attorney asks Hawley to recuse himself https://t.co/ISa3zSA8tL</t>
  </si>
  <si>
    <t>RT @cfsho444: @Joe_Cool_1 @amyinthelou Seems like anyone who thinks the Governor should be impeached after a supposed 'investigation' that…</t>
  </si>
  <si>
    <t>RT @NewsTribune: Gov. @EricGreitens attorney asks @AGJoshHawley to recuse himself from The Mission Continues investigation https://t.co/7d8…</t>
  </si>
  <si>
    <t>RT @KurtEricksonPD: Greitens' attorney says attorney general should drop probe of governor https://t.co/9jMiPj8npJ via @stltoday #moleg</t>
  </si>
  <si>
    <t>RT @JW1057: @Birdwatcher291 @CStamper_ Kim Gardner is beyond being a disgrace!</t>
  </si>
  <si>
    <t>@Birdwatcher291 @CStamper_ Kim Gardner is beyond being a disgrace!</t>
  </si>
  <si>
    <t>RT @MizzouPatriot: To those calling for Governor Greitens to resign before he’s had a chance to defend himself in court: that most American…</t>
  </si>
  <si>
    <t>@stevenwaite2 @Joe_Cool_1 @VisioDeiFromLA @Sticknstones4 @magathemaga1 Without proper cross-examination you can't determine creditability of Kitty or her friend. See previous tweet https://t.co/zeIfkyTMXl.</t>
  </si>
  <si>
    <t>RT @JW1057: @ws_missouri A corrupt prosecutor is deeply troubling. A committee that take testimony and evidence from one side is deeply tro…</t>
  </si>
  <si>
    <t>@ws_missouri A corrupt prosecutor is deeply troubling. A committee that take testimony and evidence from one side is deeply troubling. A committee that doesn't cross-examine witnesses in a meaningful way is deeply troubling. A denial of due process is deeply troubling. @clairecmc</t>
  </si>
  <si>
    <t>RT @JW1057: @mikeparson No one cares Parson - you are just obnoxious. 
#moleg #mogov #greitens #GreitensIndictment #KimShady #IStandWithGr…</t>
  </si>
  <si>
    <t>RT @JW1057: @KCMikeMahoney He is right - the legislature really screwed up. Moreover, Gardner appears to have been coordinating with the in…</t>
  </si>
  <si>
    <t>@KCMikeMahoney He is right - the legislature really screwed up. Moreover, Gardner appears to have been coordinating with the investigative committee.</t>
  </si>
  <si>
    <t>@mikeparson No one cares Parson - you are just obnoxious. 
#moleg #mogov #greitens #GreitensIndictment #KimShady #IStandWithGreitens</t>
  </si>
  <si>
    <t>RT @JW1057: @RealTravisCook Philip Sneed and Katrina "Kitty" Sneed. Say it loud and proud.</t>
  </si>
  <si>
    <t>@RealTravisCook Philip Sneed and Katrina "Kitty" Sneed. Say it loud and proud.</t>
  </si>
  <si>
    <t>RT @sigi_hill: Stop Missouri-Swamp witch-hunt to unseat conservative Governor Greitens as precursor to unseat President Trump
#ProsecuteKim…</t>
  </si>
  <si>
    <t>RT @JW1057: @Arch_Hawk @RiverfrontTimes @EricGreitens Imagine that two people have civil conversation on Internet and manage to come to a m…</t>
  </si>
  <si>
    <t>@Arch_Hawk @RiverfrontTimes @EricGreitens Imagine that two people have civil conversation on Internet and manage to come to a mutual understanding, even if there remain differences.</t>
  </si>
  <si>
    <t>RT @SykesforSenate: Greitens will never resign. Ever. This is the 2nd time @AGJoshHawley has called for the resignation of a Republican ove…</t>
  </si>
  <si>
    <t>@stevenwaite2 @Joe_Cool_1 @VisioDeiFromLA @Sticknstones4 @magathemaga1 I said that she was either lying or not telling the full story. I don't know which of the two it is because the committee didn't do its job questioning witnesses. That is the point!</t>
  </si>
  <si>
    <t>RT @EdBigCon: Lawyers for @EricGreitens will find out Thursday if the case gets tossed! #Moleg https://t.co/q185UhnbBk</t>
  </si>
  <si>
    <t>RT @SykesforSenate: The Missouri State Senate republicans are either being played for fools or personally benefiting by attacking Greitens.…</t>
  </si>
  <si>
    <t>RT @juckniess_linda: @EricGreitens Keep fighting the swamp Govenor 🇺🇸🇺🇸🇺🇸</t>
  </si>
  <si>
    <t>RT @JW1057: @AbbyLlorico @stlcao @StLouisCityCA made her bed and now she has to lie in it. She chose not to use the @SLMPD and that choice…</t>
  </si>
  <si>
    <t>@AbbyLlorico @stlcao @StLouisCityCA made her bed and now she has to lie in it. She chose not to use the @SLMPD and that choice has consequences. Even minimal due diligence would have show Tisaby to be deficient. Of course, the fact Gardner perjured herself to cover for Tisaby does not help.</t>
  </si>
  <si>
    <t>RT @TracyMcCreery: Missouri lawmakers told they'll lose donors unless they support embattled governor https://t.co/WK4Zmt0a1G via @thinkpro…</t>
  </si>
  <si>
    <t>RT @EricGreitens: Great weekend with Republicans in Platte and Buchanan counties! These crowds were fired up, because conservative reforms…</t>
  </si>
  <si>
    <t>RT @JW1057: @KMOXKilleen Seriously? She is responsible for her agents misconduct and/or incompetence. Did this woman ever graduate law scho…</t>
  </si>
  <si>
    <t>@KMOXKilleen Seriously? She is responsible for her agents misconduct and/or incompetence. Did this woman ever graduate law school?</t>
  </si>
  <si>
    <t>RT @JW1057: @Arch_Hawk @RiverfrontTimes @EricGreitens I agree. Greitens attys. told the Committee he would testify under oath and provide a…</t>
  </si>
  <si>
    <t>@Arch_Hawk @RiverfrontTimes @EricGreitens I agree. Greitens attys. told the Committee he would testify under oath and provide any tangible evidence once the criminal trial concluded. Also keep in mind some of the discovery in the criminal case the defense couldn't release if the wanted to because of a court order.</t>
  </si>
  <si>
    <t>@jrosenbaum @EricGreitens Will cameras be allowed in court on Thursday?</t>
  </si>
  <si>
    <t>RT @jrosenbaum: Judge Burlison says he’ll rule in open court on Thursday about whether to dismiss the case re: @EricGreitens</t>
  </si>
  <si>
    <t>RT @Sticknstones4: @Hope4Hopeless1 @JW1057 @Joe_Cool_1 @VisioDeiFromLA @magathemaga1 This sounds like quickie consensual Foreplay b4 work…</t>
  </si>
  <si>
    <t>RT @Avenge_mypeople: @EdBigCon This whole thing stinks to high heaven. The question we should all be asking is "who benefits?" Could all of…</t>
  </si>
  <si>
    <t>@Sticknstones4 @Hope4Hopeless1 @Joe_Cool_1 @VisioDeiFromLA @magathemaga1 Phil's testimony (whatever that is worth) says Kitty told him that she gave a blowjob to Eric in the kitchen in second encounter.</t>
  </si>
  <si>
    <t>@Hope4Hopeless1 @Joe_Cool_1 @VisioDeiFromLA @Sticknstones4 @magathemaga1 Kitty's testimony is clearly contradictory. Why are men expected to know what is on a woman's mind in circumstance where a woman doesn't know what she wants? If we're to believe Kitty she wasn't threatened or assaulted, but felt an obligation to give him oral sex - that's on her.</t>
  </si>
  <si>
    <t>RT @ws_missouri: The #MoLeg is still out of town today (fallout from House report). 
In the criminal case, defense has accused prosecution…</t>
  </si>
  <si>
    <t>@Arch_Hawk @RiverfrontTimes @EricGreitens I was referring to the Committee in the house. They failed to cross-examine witnesses in any meaningful way. The list is an example of question from KS's statements of questions that should have been asked.</t>
  </si>
  <si>
    <t>@Arch_Hawk @magathemaga1 @RealBigRedBeard @RiverfrontTimes @EricGreitens OK. Misunderstood your point. For me the only person who has right to make judgment regarding affair is Sheena. She has forgiven him and that is the end of it for me.</t>
  </si>
  <si>
    <t>RT @magathemaga1: 🚨 JUSTICE WARRIOR UPDATE 🚨 
MUST READ NOW 
OMG
This just goes to show how much #GreitensIndictment is complete and TOT…</t>
  </si>
  <si>
    <t>RT @VisioDeiFromLA: #moleg READ THIS NOW!!!!!!
#mogov @MOHouseGOP @MissouriGOP https://t.co/45qmOGGRcd</t>
  </si>
  <si>
    <t>RT @VisioDeiFromLA: ⚠️BREAKING⚠️
Dirty Soros-Backed St. Louis Circuit Attorney Withheld Major Evidence in Governor Greitens' Case - Must R…</t>
  </si>
  <si>
    <t>RT @Sticknstones4: @JW1057 I thought that description was off when  I 1st Read too</t>
  </si>
  <si>
    <t>@Arch_Hawk @RiverfrontTimes @EricGreitens I'm an attorney. The Committee wasn't truth-seeking. Evidence and testimony from one-side. Have you looked at any transcripts? The Committee's cross-examination doesn't even pass for awful. Here is a list of questions that I had based on KS's statement to Committee. https://t.co/XdLHIKO9CM</t>
  </si>
  <si>
    <t>RT @JW1057: @Arch_Hawk @RiverfrontTimes We all enjoy the presumption of innocence. No one deserves to be railroaded. I have no doubt a cour…</t>
  </si>
  <si>
    <t>RT @1_Chris_Gibson: @EricGreitens Eric and the whole Greitens family wishing you the best in the tough time!! You will get pass this!!!</t>
  </si>
  <si>
    <t>@Arch_Hawk @RiverfrontTimes We all enjoy the presumption of innocence. No one deserves to be railroaded. I have no doubt a court of law will clear @EricGreitens of these malicious accusations.</t>
  </si>
  <si>
    <t>RT @sigi_hill: @Norasmith1000 @Sticknstones4 @JW1057 @magathemaga1 @Joe_Cool_1 @VisioDeiFromLA @jaybarnes5 @KevinLAustin1 @gcmitts @jeaniel…</t>
  </si>
  <si>
    <t>RT @JW1057: https://t.co/CxVNchypYD</t>
  </si>
  <si>
    <t>RT @JW1057: Cross-examination trivia! 
Can anyone spot the hole in Kitty's testimony? The committee members sure did not.
Answer below!…</t>
  </si>
  <si>
    <t>https://t.co/CxVNchypYD</t>
  </si>
  <si>
    <t>Cross-examination trivia! 
Can anyone spot the hole in Kitty's testimony? The committee members sure did not.
Answer below!
@Joe_Cool_1 @VisioDeiFromLA @Sticknstones4 @magathemaga1 
#moleg #mogov #greitens #GreitensIndictment #KimShady #IStandWithGreitens https://t.co/f5HzHJD7sH</t>
  </si>
  <si>
    <t>RT @magathemaga1: @EricGreitens Help me understand this! https://t.co/OqD3NaWNzH</t>
  </si>
  <si>
    <t>RT @SykesforSenate: Remember the first time you saw a politician sell out? Here's a front row seat. WATCH HERE: https://t.co/hc694RrBV4
#MO…</t>
  </si>
  <si>
    <t>RT @grcfay: @Avenge_mypeople Truer words never spoken.🤥</t>
  </si>
  <si>
    <t>RT @Avenge_mypeople: Sometimes, those who tell lies end up being the ones in jail. I'd tread lightly #kimshadey with all the lies and decei…</t>
  </si>
  <si>
    <t>RT @EdBigCon: @VisioDeiFromLA @KathieConway @ohsynesthesia @YearOfZero @TommyLeeAllman @EricGreitens They are rushing this so the establish…</t>
  </si>
  <si>
    <t>@SorosInSTL Soros you damn well know you are a “social justice warrior” aka fascist.</t>
  </si>
  <si>
    <t>RT @JW1057: #moleg #mogov #greitens #GreitensIndictment #KimShady #mopns
Why did Philip remain silent about alleged forced "oral sex?" Rea…</t>
  </si>
  <si>
    <t>#moleg #mogov #greitens #GreitensIndictment #KimShady #mopns
Why did Philip remain silent about alleged forced "oral sex?" Read attached.
@Sticknstones4 @magathemaga1 @Joe_Cool_1 @CStamper_ @VisioDeiFromLA https://t.co/5yRUT8oaWs</t>
  </si>
  <si>
    <t>RT @JW1057: @parscale If @realDonaldTrump ask @EricGreitens to resign, then you may tell the President has lost at least one vote in Ohio.…</t>
  </si>
  <si>
    <t>@parscale If @realDonaldTrump ask @EricGreitens to resign, then you may tell the President has lost at least one vote in Ohio. Robert Mueller will gain a new best friend.</t>
  </si>
  <si>
    <t>RT @JW1057: @realDonaldTrump There is a rumor that you may call on @EricGreitens to resign. Please note that if you do, you will lose my su…</t>
  </si>
  <si>
    <t>@realDonaldTrump There is a rumor that you may call on @EricGreitens to resign. Please note that if you do, you will lose my support. I will back Robert Mueller 100%, even though he is out-of-control. @VisioDeiFromLA #MAGA</t>
  </si>
  <si>
    <t>RT @memoriadei: Shaming is now a #MOLEG norm by some.  I do not vote for bullies.  #Greitens needs to stand his ground</t>
  </si>
  <si>
    <t>RT @JW1057: @YearOfZero @blackwidow07 @Sticknstones4 @HawleyMO @EricGreitens @SykesforSenate @AP4Liberty @Monetti4Senate Why the rush? The…</t>
  </si>
  <si>
    <t>@YearOfZero @blackwidow07 @Sticknstones4 @HawleyMO @EricGreitens @SykesforSenate @AP4Liberty @Monetti4Senate Why the rush? The longer people look at this the more people see the injustice against @EricGreitens.</t>
  </si>
  <si>
    <t>@ScottCharton @aaron_hedlund I think there maybe something in the US Constitution about not having to testify under oath.</t>
  </si>
  <si>
    <t>@SorosInSTL Well, George had your check cleared I would happily assist you.</t>
  </si>
  <si>
    <t>RT @YearOfZero: I will be casting my vote for somebody else since you want to trample on @EricGreitens right to prove innocence. Consensual…</t>
  </si>
  <si>
    <t>RT @DeplorableGoldn: RT-ing 🚨
Before judgement is cast on @EricGreitens,  the prosecutorial malfeasance conducted by the @stlcao is a great…</t>
  </si>
  <si>
    <t>RT @kendylei: Lawyers keep leaving St. Louis Circuit Attorney's office https://t.co/LNXQHBaLMl via @stltoday</t>
  </si>
  <si>
    <t>RT @grcfay: EXCLUSIVE – Hantler: If The Democrats Remove Governor Eric Greitens, Their Witch Hunt of Donald Trump Will Be Emboldened https:…</t>
  </si>
  <si>
    <t>RT @VisioDeiFromLA: Precisely why I am against the witch hunt against @EricGreitens 
Forget that the case and allegations are total garbag…</t>
  </si>
  <si>
    <t>RT @magathemaga1: Painting 4 #GreitensIndictment to commemorate witch hunt
Trying 2 include all players in saga. With Hawley turning #Turn…</t>
  </si>
  <si>
    <t>RT @blackwidow07: @scottfaughn if we are going to cleanse the state then @AGJoshHawley &amp;amp; @jaybarnes5 should do the same to the #moleg that…</t>
  </si>
  <si>
    <t>RT @SentinelKSMO: Breaking: Greitens' Prosecutors Produce Missing Video Hours After Release of House Report - https://t.co/y6W1M5hsoc</t>
  </si>
  <si>
    <t>RT @JW1057: @Monetti4Senate @YearOfZero @HawleyMO @EricGreitens @SykesforSenate @AP4Liberty Now, there is standing on principle!</t>
  </si>
  <si>
    <t>@Monetti4Senate @YearOfZero @HawleyMO @EricGreitens @SykesforSenate @AP4Liberty Now, there is standing on principle!</t>
  </si>
  <si>
    <t>RT @JW1057: @RiverfrontTimes @HawleyMO, thank you for letting us know that you are an unprincipled coward. We shall take note on election d…</t>
  </si>
  <si>
    <t>@RiverfrontTimes @HawleyMO, thank you for letting us know that you are an unprincipled coward. We shall take note on election day. 
#moleg #mogov #greitens #GreitensIndictment #KimShady #mopns</t>
  </si>
  <si>
    <t>RT @JW1057: @VisioDeiFromLA @FOX2now Email sent to committee members and Speaker Richardson.
@sarahfenske @KMOV @MOHOUSECOMM @MOGOP_Chairm…</t>
  </si>
  <si>
    <t>@VisioDeiFromLA @FOX2now Email sent to committee members and Speaker Richardson.
@sarahfenske @KMOV @MOHOUSECOMM @MOGOP_Chairman @Joe_Cool_1 
#moleg #mogov #greitens #GreitensIndictment #KimShady #mopns https://t.co/QQGzbESq58</t>
  </si>
  <si>
    <t>@KCStar The Kansas City Star doesn’t have a journalist does it matter?                                                        @Sticknstones4 @VisioDeiFromLA     @CStamper_  @magathemaga1 @Joe_Cool_1</t>
  </si>
  <si>
    <t>@PlatteCountyGOP @PlatteLib @EricGreitens @parkvillemo So proud to see you standing up for truth and justice. MO is lucky to have @EricGreitens as Governor.</t>
  </si>
  <si>
    <t>RT @Ptsbrian: #mogov @EricGreitens cheered in GOP gathering in deeply GOP county. First appearance I’ve seen since #greitensreport. https:/…</t>
  </si>
  <si>
    <t>RT @PlatteCountyGOP: Gov. @EricGreitens got a standing ovation from the @PlatteCountyGOP at #SpringToVictory in @parkvillemo. https://t.co/…</t>
  </si>
  <si>
    <t>@PlatteCountyGOP @EricGreitens @parkvillemo Way to go! We must all stand behind @EricGreitens and not allow false charges bring him down. We have your back!</t>
  </si>
  <si>
    <t>RT @ivanfoley: Gov. @EricGreitens now getting ready to speak at a Platte County Republican event in Parkville. https://t.co/ByStFsaBYJ</t>
  </si>
  <si>
    <t>RT @HotPokerPrinces: @MissouriTimes @JaneDueker @thisweekinmopol Clearly none of them prepared by reading the motion
It’s hard to get real…</t>
  </si>
  <si>
    <t>RT @JW1057: @MissouriTimes @JaneDueker @thisweekinmopol Absolutely disgusting! The report failed to cross-examine witnesses. There are nume…</t>
  </si>
  <si>
    <t>@mkwntrs @FOX2now @CNN "Unwitting" must have a new definition!</t>
  </si>
  <si>
    <t>@MissouriTimes @JaneDueker @thisweekinmopol Absolutely disgusting! The report failed to cross-examine witnesses. There are numerous holes in story. Gov. hasn't had opportunity to present his side of story. Prosecutorial misconduct on record pace.</t>
  </si>
  <si>
    <t>@KelseyProud @stlpublicradio @jrosenbaum @rlippmann @MarshallGReport Because the report has no creditability, there is nothing to come to terms with. The people who signed that report sacrificed their own creditability. 
https://t.co/i094tBL2a4
https://t.co/aOWOFShAo4</t>
  </si>
  <si>
    <t>RT @magathemaga1: @RealBigRedBeard @robschaaf @EricGreitens The allegations are fraudelent!
I'm sorry but this is America. What he does in…</t>
  </si>
  <si>
    <t>RT @VisioDeiFromLA: Want your blood to boil #Missouri and #StLouis ?
Read entire transcript of Thursday’s raucous #Greitens court proceedi…</t>
  </si>
  <si>
    <t>RT @JW1057: @HawleyMO No one cares about you Josh. You abandoned @EricGreitens and we've abandoned you. By the way, you are disgrace at an…</t>
  </si>
  <si>
    <t>@HawleyMO No one cares about you Josh. You abandoned @EricGreitens and we've abandoned you. By the way, you are disgrace at an attorney.</t>
  </si>
  <si>
    <t>RT @Norasmith1000: @Sticknstones4 @JW1057 @magathemaga1 @Joe_Cool_1 @VisioDeiFromLA @jaybarnes5 @KevinLAustin1 @gcmitts @jeanielauer @Tommi…</t>
  </si>
  <si>
    <t>RT @Sticknstones4: @Norasmith1000 @JW1057 @magathemaga1 @Joe_Cool_1 @VisioDeiFromLA @jaybarnes5 @KevinLAustin1 @gcmitts @jeanielauer @Tommi…</t>
  </si>
  <si>
    <t>@mikeparson Traitor!</t>
  </si>
  <si>
    <t>https://t.co/i094tBL2a4
https://t.co/xnGPWHPemA
https://t.co/BLhcGO9vR4
https://t.co/u9BScRbpLx
https://t.co/KIWfZKtjId
https://t.co/zOObEQc7f9
https://t.co/BB5hQRKfMs
No benefit of doubt to alleged victims - the presumption of innocence is sacred.</t>
  </si>
  <si>
    <t>@JayBreneman You're wrong not standing by @EricGreitens. I don't know him but I'm an atty. and have never seen such gross prosecutorial misconduct. The investigative committee "report" a complete and total farce. I'm linking to some of my tweets re this matter.</t>
  </si>
  <si>
    <t>@KMOV @Sticknstones4 @MOGOP_Chairman @MOHOUSECOMM @TeamGreitens @Str8DonLemon @StLCountyRepub</t>
  </si>
  <si>
    <t>RT @JW1057: This is that moment you realize that you have screwed up, but you are not smart enough to self-correct before going over the cl…</t>
  </si>
  <si>
    <t>This is that moment you realize that you have screwed up, but you are not smart enough to self-correct before going over the cliff. 
By the way they extended the deadline!
@magathemaga1 @Joe_Cool_1 @VisioDeiFromLA
#moleg #mogov #greitens #GreitensIndictment #KimShady #mopns https://t.co/xmXWOO4SSA</t>
  </si>
  <si>
    <t>@jaybarnes5
@KevinLAustin1
@jeanielauer
@gcmitts
@TommiePierson
@shawnrhoads154
@Rep_TRichardson</t>
  </si>
  <si>
    <t>@Joe_Cool_1 @greekfire @greekfirefamily @HereLiesMoon @1057thePoint @RizzShow What is your source for this wonderful news?</t>
  </si>
  <si>
    <t>#maga #STLCards #StLouis @KMOV @FOX2now @1057thePoint @MissouriTimes @KCStar</t>
  </si>
  <si>
    <t>RT @MactavishShawn: @Sticknstones4 @JW1057 @POTUS @PressSec @DougLibla25 Agreed! Everyone will see what a cluster @KimGardnerSTL has caused…</t>
  </si>
  <si>
    <t>RT @JW1057: @CStamper_ @TeamGreitens @VisioDeiFromLA @rossgarber 
For that to be said to Kim Gardner, an officer of the court, is just abs…</t>
  </si>
  <si>
    <t>RT @KPLR11: War of words between St. Louis police chief and circuit attorney https://t.co/tWHtfjsJ86 https://t.co/hPBdoe8JHJ</t>
  </si>
  <si>
    <t>@FOX2now Kim Gardner lies! NOT breaking news.</t>
  </si>
  <si>
    <t>RT @FOX2now: War of words between St. Louis police chief and circuit attorney https://t.co/Fbx3VK5pzj https://t.co/jJWiQAUDPB</t>
  </si>
  <si>
    <t>RT @JW1057: @gcmitts Looking stupider than ever with your committee "report." Remember that I warned you it would end your career - why do…</t>
  </si>
  <si>
    <t>@gcmitts Looking stupider than ever with your committee "report." Remember that I warned you it would end your career - why do people not listen to me?</t>
  </si>
  <si>
    <t>@CDTCivilWar @mikeparson @GovGreitensMO @BooneCoMOGOP No conflict of interest there!</t>
  </si>
  <si>
    <t>@Joe_Cool_1 How do you know she swallowed?</t>
  </si>
  <si>
    <t>@CStamper_ @TeamGreitens @VisioDeiFromLA @rossgarber 
For that to be said to Kim Gardner, an officer of the court, is just absolutely devastating. That tells everyone exactly what the Judge thinks of her honesty.
#moleg #mogov #greitens #GreitensIndictment #KimShady #mopns https://t.co/WM2B6eB2XU</t>
  </si>
  <si>
    <t>RT @HotPokerPrinces: Defense attorney Scott Rosenblum said in court Thursday that Gardner “is either guilty of gross incompetence or perjur…</t>
  </si>
  <si>
    <t>RT @KMOXKilleen: Lawyers for @EricGreitens accuse Circuit Attorney Kim Gardner of lying to hide evidence that affair was consensual. They w…</t>
  </si>
  <si>
    <t>RT @JW1057: @KMOV How ironic Kim Gardner taken down by a picture!
#moleg #mogov #greitens #GreitensIndictment #KimShady #mopns</t>
  </si>
  <si>
    <t>@KMOV How ironic Kim Gardner taken down by a picture!
#moleg #mogov #greitens #GreitensIndictment #KimShady #mopns</t>
  </si>
  <si>
    <t>RT @JW1057: @VisioDeiFromLA @Sticknstones4 @magathemaga1 @Joe_Cool_1 @CStamper_ @TeamGreitens @MOHOUSECOMM @StLCountyRepub</t>
  </si>
  <si>
    <t>@VisioDeiFromLA @Sticknstones4 @magathemaga1 @Joe_Cool_1 @CStamper_ @TeamGreitens @MOHOUSECOMM @StLCountyRepub</t>
  </si>
  <si>
    <t>@RuskSamantha @KCStar No reason to resign. There is no creditable evidence that he did anything wrong.</t>
  </si>
  <si>
    <t>@KCStar She is not Greitens' victim! Evidence?</t>
  </si>
  <si>
    <t>RT @RightSideUp313: @JW1057 Yeah, ok Schaaf....</t>
  </si>
  <si>
    <t>RT @JW1057: Rob Schaff accuses KS of committing perjury before committee!
Schaff says there were no consensual acts between KS and EG afte…</t>
  </si>
  <si>
    <t>Rob Schaff accuses KS of committing perjury before committee!
Schaff says there were no consensual acts between KS and EG after alleged photo taken. KS testified there were consensual acts after alleged photo taken. 
#moleg #mogov #greitens #GreitensIndictment #KimShady #mopns https://t.co/kmUFapdWNK</t>
  </si>
  <si>
    <t>RT @JW1057: @jrosenbaum How about you report all the flaws in committee report and procedure?</t>
  </si>
  <si>
    <t>RT @JW1057: @shesova @robschaaf @EricGreitens @magathemaga1 Should report to ACLU may pursue legal action against Schaff.</t>
  </si>
  <si>
    <t>@jrosenbaum How about you report all the flaws in committee report and procedure?</t>
  </si>
  <si>
    <t>@shesova @robschaaf @EricGreitens @magathemaga1 Should report to ACLU may pursue legal action against Schaff.</t>
  </si>
  <si>
    <t>RT @SentinelKSMO: Wow! Greitens’ Prosecutors Fail To Defend Own PI From Perjury Accusation - https://t.co/MiMDwHHA2O</t>
  </si>
  <si>
    <t>RT @JW1057: @joelcurrier @EricGreitens Eric Greitens to Katrina "Kitty" Sneed. Just helping get the facts out.</t>
  </si>
  <si>
    <t>@joelcurrier @EricGreitens Eric Greitens to Katrina "Kitty" Sneed. Just helping get the facts out.</t>
  </si>
  <si>
    <t>RT @JW1057: @ssnich No. Kim Gardner, Todd Richardson, Donald Phillips, JayBarnes, Kevin Austin, Jeanie Lauer, Gina Mitten, Tommie Pierson,…</t>
  </si>
  <si>
    <t>@ssnich No. Kim Gardner, Todd Richardson, Donald Phillips, JayBarnes, Kevin Austin, Jeanie Lauer, Gina Mitten, Tommie Pierson, and Shawn Rhoads should all resign. 
Their "investigation" has no credibility. 
#moleg #mogov #greitens #GreitensIndictment #KimShady #mopns</t>
  </si>
  <si>
    <t>@VisioDeiFromLA It wasn't even a "relationship." It was a few encounters over several months.
#moleg #mogov #greitens #GreitensIndictment #KimShady #mopns</t>
  </si>
  <si>
    <t>RT @joelcurrier: Judge: No ruling Friday or this weekend in motion to dismiss @EricGreitens indictment https://t.co/Y6p2wf2rT9 via @stltoday</t>
  </si>
  <si>
    <t>@Sticknstones4 @RiverfrontTimes @sarahfenske Sex itself is a workout. The only fun workout.</t>
  </si>
  <si>
    <t>RT @Sticknstones4: Me thinks the House Committee FAILED to Cross Examine 
The witness 🤔
Why did they not cross examine that salacious test…</t>
  </si>
  <si>
    <t>#moleg #mogov #greitens #GreitensIndictment #KimShady #mopns</t>
  </si>
  <si>
    <t>Failure to Cross-Examine!!!
There will probably be a series of post like this: I haven't even scratched the surface, but this is all I have time for at the moment. https://t.co/1XcLrh9DxM</t>
  </si>
  <si>
    <t>@joelcurrier Her name: Katrina "Kitty" Sneed. https://t.co/BbPgJmm63e</t>
  </si>
  <si>
    <t>RT @JW1057: @Webb_for_Rep It's truly said a woman made a choice that she appears to have been conflicted about at that time. Her ex-husband…</t>
  </si>
  <si>
    <t>@Webb_for_Rep It's truly said a woman made a choice that she appears to have been conflicted about at that time. Her ex-husband secretly recorded her and released the tape. And now, she is playing the victim.</t>
  </si>
  <si>
    <t>RT @toadtws: @sarahfelts Maybe..., or we could wait for the evidence to be offered in a trial and we could let a jury decide the facts.  Bu…</t>
  </si>
  <si>
    <t>RT @PERTZFOX: St. Louis Circuit Attorney refutes misconduct allegations, says 'I did not commit a crime'. So many Questions remain about ti…</t>
  </si>
  <si>
    <t>RT @lindabluff: @staceynewman @clairecmc How disrespectful and unprofessional calling our Governor "Creepy"!  And you are a State Represent…</t>
  </si>
  <si>
    <t>RT @gocrazy4cards: @ksdknews Don't resign @EricGreitens</t>
  </si>
  <si>
    <t>RT @VisioDeiFromLA: WTF DISBAR #KIMSHADY
#Greitens #MoLeg #MoGov #GreitensReport https://t.co/Y0JoTa6Tke</t>
  </si>
  <si>
    <t>RT @JohnLamping: Because today's report is the biggest political hit job of all.  It will be a transcript of one's person's perspective of…</t>
  </si>
  <si>
    <t>RT @JW1057: @Brianontheair @Rep_TRichardson Investigative committee broke own rules. Failed to conduct proper cross-examination. Even witho…</t>
  </si>
  <si>
    <t>@Brianontheair @Rep_TRichardson Investigative committee broke own rules. Failed to conduct proper cross-examination. Even without cross-examination glaring holes in story. Gardner hide tape that proves exculpatory. Your embarrassing yourselves.</t>
  </si>
  <si>
    <t>RT @JW1057: @EricGreitens We have your back! A corrupt prosecutor. An incomplete one-sided investigative committee report. Glaring question…</t>
  </si>
  <si>
    <t>@EricGreitens We have your back! A corrupt prosecutor. An incomplete one-sided investigative committee report. Glaring questions not asked to verify KS story.</t>
  </si>
  <si>
    <t>RT @JW1057: @TeamGreitens @EricGreitens @SheenaGreitens @rossgarber @StLCountyRepub @CStamper
Tip: If you're prosecuting a case and have t…</t>
  </si>
  <si>
    <t>@TeamGreitens @EricGreitens @SheenaGreitens @rossgarber @StLCountyRepub @CStamper
Tip: If you're prosecuting a case and have to stand up in court and say "I didn't commit a crime," things aren't going well for you. 
#moleg #mogov #greitens #GreitensIndictment #KimShady</t>
  </si>
  <si>
    <t>@luiserodriguez @KCStar Proof?</t>
  </si>
  <si>
    <t>RT @wheelsoh1: @EricGreitens Hang in there Eric. We have your back!</t>
  </si>
  <si>
    <t>RT @ChrisHayesTV: The Governor’s defense asked for sanctions &amp;amp; that the case be dismissed for “gross misconduct.” They say the evidence, wh…</t>
  </si>
  <si>
    <t>RT @JW1057: @Justinalf Invest. committee broke own rules. Issued one-sided report that contains glaring holes in Kitty's testimony. Prosecu…</t>
  </si>
  <si>
    <t>@Justinalf No way should @EricGreitens resign. Investigative committee members &amp;amp; Speaker should seriously consider resigning. 2/2</t>
  </si>
  <si>
    <t>@Justinalf Invest. committee broke own rules. Issued one-sided report that contains glaring holes in Kitty's testimony. Prosecutorial misconduct of extraordinary degree. 1/2
#moleg #mogov #greitens #GreitensIndictment #KimShady #mopns</t>
  </si>
  <si>
    <t>RT @MactavishShawn: When the dust settles and the smoke clears, It will be shown that @EricGreitens is the victim of a political witch hunt…</t>
  </si>
  <si>
    <t>RT @soylentgs: @ChrisHayesTV @FOX2now Katrina “Kitty” Sneed https://t.co/KjEHrCbKHn</t>
  </si>
  <si>
    <t>RT @JW1057: @ksdknews Why should he? Committee failed cross-examination 101. There are holes to fly a 747 through.
#moleg #mogov #greitens…</t>
  </si>
  <si>
    <t>@ksdknews Why should he? Committee failed cross-examination 101. There are holes to fly a 747 through.
#moleg #mogov #greitens #GreitensIndictment #KimShady #mopns</t>
  </si>
  <si>
    <t>RT @JW1057: @KCStar All you need to make the claim Kitty is a victim is evidence? Her testimony was not cross-examined and as many holes in…</t>
  </si>
  <si>
    <t>@KCStar All you need to make the claim Kitty is a victim is evidence? Her testimony was not cross-examined and as many holes in that you fly a 747 though.
#moleg #mogov #greitens #GreitensIndictment #KimShady #mopns</t>
  </si>
  <si>
    <t>RT @AP4Liberty: On February 27, @HawleyMO said that the criminal justice system needs to be allowed to proceed without partisanship... 2 mo…</t>
  </si>
  <si>
    <t>RT @philip_saulter: Further evidence of the political hit job that Kim Gardner is attempting to pull on our Governor.  Attention Mo. GOP, t…</t>
  </si>
  <si>
    <t>@BigJShoota Kim, can you help us with the Nixon tape?</t>
  </si>
  <si>
    <t>RT @EricGreitens: Circuit Attorney Kim Gardner hid a video that she knew directly contradicted allegations in the House report, and she all…</t>
  </si>
  <si>
    <t>@KCStar Proof?</t>
  </si>
  <si>
    <t>@Joeysweettooth @EricGreitens He has said that he regrets affair.</t>
  </si>
  <si>
    <t>@CillizzaCNN One-sided report. Glaring holes would have been exposed with cross-examination.</t>
  </si>
  <si>
    <t>@LindaDono @ws_missouri Many holes in report need answered. No reason to resign. Prosecutorial misconduct abounds.</t>
  </si>
  <si>
    <t>RT @LindaDono: Not all Missouri politicians say Gov. Eric Greitens should resign after revelations in legislators' report, https://t.co/fQW…</t>
  </si>
  <si>
    <t>RT @Sticknstones4: PERJURY ALERT 
Liar Liar 🤥Case on Fire 🔥 
#teamgreitens #greitens #kimshady #stlboa #stl
#Moleg #Greitens #missouri ht…</t>
  </si>
  <si>
    <t>RT @JennSullivanTV: Greitens’ team accuses the state of criminal perjury because they claim the state lied about a video tape interview</t>
  </si>
  <si>
    <t>@KCStarOpinion @KCStar No he is respecting judicial system. Glaring holes in Kitty testimony. Real investigators would have exposed.</t>
  </si>
  <si>
    <t>RT @JW1057: @toadtws @Sticknstones4 What grandstanding!</t>
  </si>
  <si>
    <t>@toadtws @Sticknstones4 What grandstanding!</t>
  </si>
  <si>
    <t>RT @JW1057: @CStamper_ @kendylei Yet, Phil is so terrified of Eric! Phil needs to keep his lies straight.</t>
  </si>
  <si>
    <t>RT @wgriffith11: @fox4kc Kim Gardner needs to resign she is tainted by the Politics of the Swamp and maybe George Soros’s Money!!!  It star…</t>
  </si>
  <si>
    <t>@CStamper_ @kendylei Yet, Phil is so terrified of Eric! Phil needs to keep his lies straight.</t>
  </si>
  <si>
    <t>RT @AP4Liberty: .@HawleyMO you should follow your own advice and resign from the Attorney General position. You're collecting a paycheck fr…</t>
  </si>
  <si>
    <t>RT @JoeBReporter: Today's dispatch from St. Louis on the #GreitensIndictment #moleg #greitens #greitenscase https://t.co/1F8YRqcu25</t>
  </si>
  <si>
    <t>@mopns Nothing strange about that!</t>
  </si>
  <si>
    <t>RT @ChrisHayesTV: A Gov Greitens related hearing just ended. The Judge said the former mistresses ex-husband can answer questions about a p…</t>
  </si>
  <si>
    <t>RT @kodacohen: Man who exposed #Greitens' affair hasn't explained who paid his $15k legal bill https://t.co/E6zK3D7Iss via @stltoday</t>
  </si>
  <si>
    <t>RT @KMOXKilleen: @EricGreitens lead attorney Ed Dowd hoping judge throws out case, accuses prosecutor of gross misconduct, hiding evidence.…</t>
  </si>
  <si>
    <t>RT @KMOXKilleen: @EricGreitens attorney Scott Rosenblum says never in his 35 year career has he accused a prosecutor of misconduct, now he…</t>
  </si>
  <si>
    <t>RT @JW1057: What kind of "sexy workout" does not involve sexual contact?
#moleg #mogov #greitens #GreitensIndictment #KimShady #mopns #Fir…</t>
  </si>
  <si>
    <t>What kind of "sexy workout" does not involve sexual contact?
#moleg #mogov #greitens #GreitensIndictment #KimShady #mopns #FireLaurenTager</t>
  </si>
  <si>
    <t>RT @JW1057: @KMOV fire @LaurenTrager she is no journalist. 
#FireLaurenTragerNew #moleg #mogov #greitens #GreitensIndictment #KimShady #mo…</t>
  </si>
  <si>
    <t>@KMOV fire @LaurenTrager she is no journalist. 
#FireLaurenTragerNew #moleg #mogov #greitens #GreitensIndictment #KimShady #mopns</t>
  </si>
  <si>
    <t>New hashtag #FireLaurenTrager</t>
  </si>
  <si>
    <t>RT @JW1057: @LaurenTrager Did you at least pay Kitty for the time where she could have had an actual client?
#moleg #mogov #greitens #Grei…</t>
  </si>
  <si>
    <t>@LaurenTrager Did you at least pay Kitty for the time where she could have had an actual client?
#moleg #mogov #greitens #GreitensIndictment #KimShady #mopns #FireLaurenTrager</t>
  </si>
  <si>
    <t>@jrosenbaum @SenatorNasheed @JillSchupp @EricGreitens Did you think these two were objective?</t>
  </si>
  <si>
    <t>@blackwidow07 @joelcurrier @EricGreitens @StLouisCityCA @stltoday Disbarred? We talking prison!</t>
  </si>
  <si>
    <t>RT @joelcurrier: .@EricGreitens defense team accuses @StLouisCityCA of suborning perjury by investigator she hired to investigate governor.…</t>
  </si>
  <si>
    <t>@RockneMiller @KurtEricksonPD @EricGreitens Can't have any confidence in house committee. With prosecutor misconduct to risky for @EricGreitens to testify under oath. Perhaps, call fo an actual special prosecutor to take over investigation and we can get to truth.</t>
  </si>
  <si>
    <t>RT @JW1057: @RockneMiller @KurtEricksonPD @EricGreitens https://t.co/PqQI82akuO</t>
  </si>
  <si>
    <t>@RockneMiller @KurtEricksonPD @EricGreitens https://t.co/PqQI82akuO</t>
  </si>
  <si>
    <t>RT @JW1057: @ws_missouri @EricGreitens didn't refuse to testify. Only said had to wait until after criminal trial for obvious reasons. And,…</t>
  </si>
  <si>
    <t>@ws_missouri @EricGreitens didn't refuse to testify. Only said had to wait until after criminal trial for obvious reasons. And, some evidence defense couldn't provide to committee by court order. Why provide committee incomplete picture?</t>
  </si>
  <si>
    <t>RT @JW1057: @Dogan4Rep @Rep_TRichardson Why did committee violate its enabling resolution? Who issues a one-sided report? Committee interfe…</t>
  </si>
  <si>
    <t>@Dogan4Rep @Rep_TRichardson Why did committee violate its enabling resolution? Who issues a one-sided report? Committee interfered with a judicial process - comprising ability to seat impartial jury. Whatever the truth is, the committee screwed up. Even now reading through transcripts glaring issues. https://t.co/Zzof9CWPiW</t>
  </si>
  <si>
    <t>RT @JW1057: @sarahfenske I'll judge @KMOV @LaurenTrager guilty because they don't deny their misconduct. Phil's own statements show that he…</t>
  </si>
  <si>
    <t>RT @JW1057: @sarahfenske @EricGreitens has not admitted any wrongdoing. Investigative committee engaged misconduct and issued one side repo…</t>
  </si>
  <si>
    <t>@sarahfenske @Sticknstones4 I am very suspicious of this whole thing. Why didn't KMOV run with the alleged forced/coerced oral sex by far the most damning allegation?</t>
  </si>
  <si>
    <t>@sarahfenske @EricGreitens has not admitted any wrongdoing. Investigative committee engaged misconduct and issued one side report. Failed to apply proper investigative methods. Glaring question regarding testimony. 2/2
#moleg #mogov #greitens #GreitensIndictment #KimShady #mopns</t>
  </si>
  <si>
    <t>@sarahfenske I'll judge @KMOV @LaurenTrager guilty because they don't deny their misconduct. Phil's own statements show that he is a total dirt bag (inadequate word). 1/2</t>
  </si>
  <si>
    <t>RT @JW1057: Affair was open secret. Anyone hear that part of the affair was non-consensual? 
Why did @LaurenTrager not run that part of th…</t>
  </si>
  <si>
    <t>Affair was open secret. Anyone hear that part of the affair was non-consensual? 
Why did @LaurenTrager not run that part of the story about forced oral sex? That is much more important than any alleged photo/blackail
#moleg #mogov #greitens #GreitensIndictment #KimShady #mopns</t>
  </si>
  <si>
    <t>@KurtEricksonPD @EricGreitens He only says that @GovGreitensMO should resign if he fails to state under oath that the allegations are false. 
#moleg #mogov #greitens #GreitensIndictment #KimShady #mopns</t>
  </si>
  <si>
    <t>RT @JW1057: @gcmitts You violated your own rules and issued a one-sided report. You are unethical. 
#moleg #mogov #greitens #GreitensIndict…</t>
  </si>
  <si>
    <t>@gcmitts You violated your own rules and issued a one-sided report. You are unethical. 
#moleg #mogov #greitens #GreitensIndictment #KimShady #mopns #IStandWithEricGreitens https://t.co/2Yu6vwy0gd</t>
  </si>
  <si>
    <t>@SuchHate 
You ever hear rumors sexual activity was not consensual?
You ever hear Greitens have a form of open marriage?</t>
  </si>
  <si>
    <t>@Decaco1 @Speedy62269 @ksdknews He’s an outsider - not a part of the club. He is a danger to the status quo.</t>
  </si>
  <si>
    <t>RT @JW1057: @ksdknews #moleg can run out and impeach @GovGreitensMO based on political grandstanding, but senate has to elect real judges t…</t>
  </si>
  <si>
    <t>@ksdknews #moleg can run out and impeach @GovGreitensMO based on political grandstanding, but senate has to elect real judges to try him. You know those who understand rules of evidence and cross-examination.</t>
  </si>
  <si>
    <t>@ksdknews I have @EricGreitens back!</t>
  </si>
  <si>
    <t>RT @JW1057: @wrap02 @USATODAY The presumption of innocence and burden of proof placed upon the government the greatest invention in human h…</t>
  </si>
  <si>
    <t>RT @RiverfrontTimes: Missouri Governor Eric Greitens goes full Trump, comparing the investigation against him to the "witch hunts in Washin…</t>
  </si>
  <si>
    <t>@wrap02 @USATODAY The presumption of innocence and burden of proof placed upon the government the greatest invention in human history.</t>
  </si>
  <si>
    <t>RT @colinjef: From Senator Roy Blunt on today's report: “The allegations in the report are very concerning. As I said previously, both the…</t>
  </si>
  <si>
    <t>RT @JCunninghamMO: No @JohnLamping is not the only one. That “report” felt voyeuristic.  The specific details of a private affair seem inap…</t>
  </si>
  <si>
    <t>RT @Sticknstones4: @SebMistretta @Str8DonLemon @Adj_Hinson @mariahcjones25 @EricGreitens @SheenaGreitens @KMOV @LaurenTrager This woman mus…</t>
  </si>
  <si>
    <t>@USATODAY There are glaring holes in her testimony that will easily be exposed on cross-examination. Cross-examination is fundamental to truth-seeking.</t>
  </si>
  <si>
    <t>RT @KCTV5: "This was an entirely consensual relationship, and any allegation of violence or sexual assault is false. This was a months-long…</t>
  </si>
  <si>
    <t>@ZavalaA So you stalked his wife?</t>
  </si>
  <si>
    <t>@ws_missouri @EricGreitens So you stalked his wife?</t>
  </si>
  <si>
    <t>RT @JW1057: @lindsaywise I thought Hawley was an attorney. Perhaps, he has not heard of cross-examination and due process.</t>
  </si>
  <si>
    <t>@lindsaywise I thought Hawley was an attorney. Perhaps, he has not heard of cross-examination and due process.</t>
  </si>
  <si>
    <t>RT @JW1057: @MOLegDems @gcmitts @tlpjr247 You didn't follow your own rules. There was no cross-examination, as John H. Wigmore called it "b…</t>
  </si>
  <si>
    <t>@MOLegDems @gcmitts @tlpjr247 You didn't follow your own rules. There was no cross-examination, as John H. Wigmore called it "beyond any doubt the greatest legal engine ever invented for the discovery of truth."</t>
  </si>
  <si>
    <t>@EvilHasAFace @JohnLamping Yes, we should lock up Philip Sneed and Al Watkins!</t>
  </si>
  <si>
    <t>@fredwessels Yet, he couldn't follow the rules. https://t.co/LXJ5npaBhB</t>
  </si>
  <si>
    <t>RT @JW1057: @brucefranksjr "The very nature of a trial is [the] search for truth.” Nix v. Whiteside, 374 U.S. 157, 158 (1986).“Cross-examin…</t>
  </si>
  <si>
    <t>@brucefranksjr Where was the cross-examination?</t>
  </si>
  <si>
    <t>@brucefranksjr "The very nature of a trial is [the] search for truth.” Nix v. Whiteside, 374 U.S. 157, 158 (1986).“Cross-examination is the greatest legal engine ever invented for the discovery of truth.” John H. Wigmore, quoted in Lilly v. Virginia, 527 U.S. 116 (1999)."</t>
  </si>
  <si>
    <t>RT @JW1057: @MarkReardonKMOX @EricGreitens Probably wanted legal process to play out. House committee should have not issued report until a…</t>
  </si>
  <si>
    <t>RT @JW1057: @jmannies Yes. Because free people don't issue one side report or ignore their own rules. https://t.co/xuIomd9AKo</t>
  </si>
  <si>
    <t>@jmannies Yes. Because free people don't issue one side report or ignore their own rules. https://t.co/xuIomd9AKo</t>
  </si>
  <si>
    <t>@MarkReardonKMOX @EricGreitens Probably wanted legal process to play out. House committee should have not issued report until after trial.</t>
  </si>
  <si>
    <t>RT @JW1057: @TeamGreitens @SheenaGreitens @CStamper_ @StLCountyRepub
GO @EricGreitens!!! WE GOT YOUR BACK. 
One mistake - you don't have…</t>
  </si>
  <si>
    <t>@TeamGreitens @SheenaGreitens @CStamper_ @StLCountyRepub
GO @EricGreitens!!! WE GOT YOUR BACK. 
One mistake - you don't have to prove your innocence the law presumes your innocence. 
#moleg #mogov #greitens #GreitensIndictment #KimShady #mopns</t>
  </si>
  <si>
    <t>RT @JW1057: @PeterforMO Okay, resign no one is stopping you!</t>
  </si>
  <si>
    <t>@ChrisDavisMMJ Yes. We can agree you should stay out people's personal lives. You should now return to the people's business under the leadership of @GovGreitensMO .</t>
  </si>
  <si>
    <t>@KMOV @GailBeatty @GovGreitensMO Yes. We can agree you should stay out people's personal lives. You should now return to the people's business under the leadership of @GovGreitensMO .</t>
  </si>
  <si>
    <t>@PeterforMO Okay, resign no one is stopping you!</t>
  </si>
  <si>
    <t>@GregHolmanNL @EricGreitens @springfieldNL @ws_missouri Yes. We can agree you should stay out people's personal lives. You should now return to the people's business under the leadership of @GovGreitensMO .</t>
  </si>
  <si>
    <t>RT @BryanLowry3: Missouri House Dems have released a statement calling on Greitens to resign ahead of his 4 pm presser and the 5 pm release…</t>
  </si>
  <si>
    <t>@BryanLowry3 Yes. We can agree you should stay out people's personal lives. You should now return to the people's business under the leadership of @GovGreitensMO .</t>
  </si>
  <si>
    <t>RT @JW1057: @jrosenbaum @GailBeatty Yes. We can agree you should stay out people's personal lives. You should now return to the people's bu…</t>
  </si>
  <si>
    <t>@jrosenbaum @GailBeatty Yes. We can agree you should stay out people's personal lives. You should now return to the people's business under the leadership of @GovGreitensMO .</t>
  </si>
  <si>
    <t>@amyinthelou @KurtEricksonPD @stltoday @EricGreitens Over consensual sexual relationship? Is Katrina Sneed now barred from public office as well?
#moleg #mogov #greitens #GreitensIndictment #KimShady #mopns</t>
  </si>
  <si>
    <t>@EricGreitens You have forgiveness from the only person who matters @SheenaGreitens. Everyone else is sticking their nose where it doesn't belong.
#moleg #mogov #greitens #GreitensIndictment #KimShady #mopns</t>
  </si>
  <si>
    <t>RT @dsm012: The latest The Missouri Senate (#MOSen) Daily! https://t.co/uPk3fzoBwb Thanks to @champ4autism @McCaskill4MO @BrookeGoren #mose…</t>
  </si>
  <si>
    <t>RT @JW1057: @EricGreitens @TeamGreitens @SheenaGreitens @MOHOUSECOMM @sarahfenske @KMOV @KMOVMatt @MarkReardonKMOX
#moleg #mogov #greitens…</t>
  </si>
  <si>
    <t>@EricGreitens @TeamGreitens @SheenaGreitens @MOHOUSECOMM @sarahfenske @KMOV @KMOVMatt @MarkReardonKMOX
#moleg #mogov #greitens #GreitensIndictment #KimShady #mopns #molegsex https://t.co/8uyCMB6Iex</t>
  </si>
  <si>
    <t>RT @JW1057: @robschaaf We will need a list of all sexual acts you have ever participated in to determine whether you are fit to continue in…</t>
  </si>
  <si>
    <t>@robschaaf We will need a list of all sexual acts you have ever participated in to determine whether you are fit to continue in office. Please provide ASAP.
@Sticknstones4 
#molegsex</t>
  </si>
  <si>
    <t>RT @JackSuntrup: Lawmakers being briefed on Greitens report. Reax from @SenatorNasheed:  "His conduct is just deplorable ... I think the be…</t>
  </si>
  <si>
    <t>@EricGreitens @SheenaGreitens @TeamGreitens 
We have your backs all the way!
#moleg #mogov #greitens #GreitensIndictment #KimShady #mopns</t>
  </si>
  <si>
    <t>@philip_saulter @Str8DonLemon @EricGreitens where is my check?</t>
  </si>
  <si>
    <t>@Str8DonLemon Not sure. How much has Kim Gardner spent?</t>
  </si>
  <si>
    <t>RT @JW1057: @russellkinsaul @GovGreitensMO @KMOV @EricGreitens should just go about his duties. He has done nothing wrong.</t>
  </si>
  <si>
    <t>@Str8DonLemon @LaurenTrager @EricGreitens @KMOV She was dropping her panties for Philip Sneed! @Sticknstones4</t>
  </si>
  <si>
    <t>@russellkinsaul @GovGreitensMO @KMOV @EricGreitens should just go about his duties. He has done nothing wrong.</t>
  </si>
  <si>
    <t>@RepLaurenArthur Not sure. How much has Kim Gardner spent?</t>
  </si>
  <si>
    <t>RT @JW1057: @BigJShoota Rule 10 prohibits release of any information until the investigation has "concluded." They have extended the invest…</t>
  </si>
  <si>
    <t>@MissouriTimes I had not realized that I was a bot. Thank you.</t>
  </si>
  <si>
    <t>@Blackboxhalo I know that is the time you ask her out of guilt to find another woman for that threesome you have wanted.</t>
  </si>
  <si>
    <t>RT @JW1057: @ws_missouri Perhaps, if you "journalist" started asking real questions about this farce his approval ratings would go back up?</t>
  </si>
  <si>
    <t>@ws_missouri Perhaps, if you "journalist" started asking real questions about this farce his approval ratings would go back up?</t>
  </si>
  <si>
    <t>RT @somethingldsay: Dear god, this is turning into #Missouri's own version of Mueller &amp;amp; the Trump / Russia fiasco. He's charged with actual…</t>
  </si>
  <si>
    <t>@BigJShoota Rule 10 prohibits release of any information until the investigation has "concluded." They have extended the investigation until 5/18 and plan to release a report today. How does that note violate Rule 10?</t>
  </si>
  <si>
    <t>RT @AllenTruitt1: This is an article, by a prosecutor, on the injustice and corruption in the Eric Greitens indictment. #GreitensIndictment…</t>
  </si>
  <si>
    <t>@KurtEricksonPD @stltoday Spread lies for months and guy's approval rating goes down. Hmm!</t>
  </si>
  <si>
    <t>RT @StLCountyRepub: #leadright #DefendtheMOjority #LeadingonAllFronts @realdonaldtrump #mosen #fireclaire #firenicolegalloway #winning @STL…</t>
  </si>
  <si>
    <t>RT @StLCountyRepub: @MikeParsonforMO @LuetkemeyerB @bernskoettermo @travisfitzwater @Mikelkehoe @paulcurtman @smcdesq @coryjmc 
@saraformis…</t>
  </si>
  <si>
    <t>@sarahfenske https://t.co/sClAmBAFAj
Watkins was lying to you and he has lied throughout this farce. Perhaps, you should ask why. 3/3</t>
  </si>
  <si>
    <t>@sarahfenske Even if the transcript was complete to that point - no attorney would turn it over to the opposing side before the deposition was complete, so that the deponent could rehearse the remainder of his testimony.
2/3</t>
  </si>
  <si>
    <t>@sarahfenske You posted the story referenced in the subject line at 11:28 on 4/10. You said that it was updated 30 minutes later with a statement from Watkins regarding him being denied transcript of Phil's deposition. Phil's deposition isn't complete. 1/3</t>
  </si>
  <si>
    <t>@SpeakerTimJones 
https://t.co/J5DmcdwV8T</t>
  </si>
  <si>
    <t>RT @JW1057: @blackwidow07 @CStamper_ @Sticknstones4 @Str8DonLemon @sigi_hill @Joe_Cool_1</t>
  </si>
  <si>
    <t>@blackwidow07 @CStamper_ @Sticknstones4 @Str8DonLemon @sigi_hill @Joe_Cool_1</t>
  </si>
  <si>
    <t>RT @JW1057: MO House Investigative Committee engaged in misconduct. 
@EricGreitens @SheenaGreitens @TeamGreitens @StLCountyRepub 
@Sentine…</t>
  </si>
  <si>
    <t>MO House Investigative Committee engaged in misconduct. 
@EricGreitens @SheenaGreitens @TeamGreitens @StLCountyRepub 
@SentinelKSMO
#moleg #mogov #greitens #GreitensIndictment #KimShady #mopns #MAGA #stlcardinals #STLtraffic https://t.co/gzPiVOkVJc</t>
  </si>
  <si>
    <t>@SuchHate @Margare03880660 @Sticknstones4 @NSFMill @VisioDeiFromLA @jaybarnes5 @SpeakerTimJones @KevinLAustin1 @jeanielauer @gcmitts @shawnrhoads154 Modeling shot vs not.</t>
  </si>
  <si>
    <t>@SuchHate @Margare03880660 @Sticknstones4 @NSFMill @VisioDeiFromLA @jaybarnes5 @SpeakerTimJones @KevinLAustin1 @jeanielauer @gcmitts @shawnrhoads154 You referring to cross fit shot and Stacey shot? Or the two pics with Stacey?</t>
  </si>
  <si>
    <t>RT @JW1057: @ksdknews Simpson smeared Kitty: He called me a whore and then I went back that afternoon for more sex. They were just into kin…</t>
  </si>
  <si>
    <t>@ksdknews Simpson smeared Kitty: He called me a whore and then I went back that afternoon for more sex. They were just into kinky sex. Phil is real smear merchant.</t>
  </si>
  <si>
    <t>@JoeTweetsItReal It doesn’t but she shouldn’t be able to hide.</t>
  </si>
  <si>
    <t>#STLCards #maga</t>
  </si>
  <si>
    <t>#STLCards #MAGA</t>
  </si>
  <si>
    <t>RT @JW1057: #MAGA</t>
  </si>
  <si>
    <t>#MAGA</t>
  </si>
  <si>
    <t>RT @JW1057: @MarkReardonKMOX @sarahfenske @FOX2now @stltoday @ElliottDavisTV
#STLCards</t>
  </si>
  <si>
    <t>@MarkReardonKMOX @sarahfenske @FOX2now @stltoday @ElliottDavisTV
#STLCards</t>
  </si>
  <si>
    <t>MO House Investigative Committee engaged in misconduct. 
@EricGreitens @SheenaGreitens @TeamGreitens @StLCountyRepub 
@SentinelKSMO
#moleg #mogov #greitens #GreitensIndictment #KimShady #mopns https://t.co/e5UEZjMQvf</t>
  </si>
  <si>
    <t>RT @DeplorableGoldn: RT 🚨
#BREAKING: Hairdresser-mistress who accused disgraced Missouri governor of taking racy photo to blackmail her now…</t>
  </si>
  <si>
    <t>RT @DeplorableGoldn: Sheena #Greitens claims ex-husband of governor's mistress stalked her
#mogov
#moleg
#GreitensIndictment 
https://t.c…</t>
  </si>
  <si>
    <t>RT @JW1057: @Joe_Cool_1 He called me a whore and I came back that afternoon for more sex!</t>
  </si>
  <si>
    <t>@Joe_Cool_1 He called me a whore and I came back that afternoon for more sex!</t>
  </si>
  <si>
    <t>RT @JW1057: @joelcurrier @EricGreitens Had Judge Burlison had brains the trial would have been no 4/3 and there would not be these issues.</t>
  </si>
  <si>
    <t>@joelcurrier @EricGreitens Had Judge Burlison had brains the trial would have been no 4/3 and there would not be these issues.</t>
  </si>
  <si>
    <t>@Joe_Cool_1 @HereLiesMoon @1057thePoint @RizzShow @EricGreitens @SheenaGreitens eyes of a psycho!</t>
  </si>
  <si>
    <t>RT @JW1057: Katrina "Kitty" Sneed and Eric Greitens had an affair. We all know who Eric is and what he looks like. This is his lover. 
#mo…</t>
  </si>
  <si>
    <t>Katrina "Kitty" Sneed and Eric Greitens had an affair. We all know who Eric is and what he looks like. This is his lover. 
#moleg #mogov #greitens #GreitensIndictment #KimShady https://t.co/ZU37mvFsJ9</t>
  </si>
  <si>
    <t>RT @KMOV: Woman's attorney accuses governor's team of 'smear campaign' https://t.co/cju0ny7qmd</t>
  </si>
  <si>
    <t>@KMOV Katrina "Kitty" Sneed.</t>
  </si>
  <si>
    <t>RT @JW1057: @Sticknstones4 @FOX2now Do you really want to see another picture of Al?</t>
  </si>
  <si>
    <t>@Sticknstones4 @FOX2now Do you really want to see another picture of Al?</t>
  </si>
  <si>
    <t>@StewartGSOT @RiverfrontTimes @EricGreitens No evidence of any photo. She returned same day for another sexual encounter. She sent him nude photos.</t>
  </si>
  <si>
    <t>RT @JW1057: Greitens Judge Implies House Would Be “Reckless” If They Release Report https://t.co/X9oCTt3gpz via @SentinelKSMO</t>
  </si>
  <si>
    <t>Greitens Judge Implies House Would Be “Reckless” If They Release Report https://t.co/X9oCTt3gpz via @SentinelKSMO</t>
  </si>
  <si>
    <t>@Sticknstones4 @FOX2now Disbarment flow chart.
https://t.co/3cfQObH6xH</t>
  </si>
  <si>
    <t>@MactavishShawn @637KatRo @RiverfrontTimes She is not anymore of a whore than Eric.</t>
  </si>
  <si>
    <t>RT @SentinelKSMO: Greitens Judge Implies House Would Be "Reckless" If They Release Report - https://t.co/9pLhmbbMH3</t>
  </si>
  <si>
    <t>@SuchHate @Sticknstones4 @VisioDeiFromLA @jaybarnes5 @SpeakerTimJones @KevinLAustin1 @jeanielauer @gcmitts @shawnrhoads154 They both were wrong.</t>
  </si>
  <si>
    <t>RT @JW1057: @SuchHate @Sticknstones4 @VisioDeiFromLA @jaybarnes5 @SpeakerTimJones @KevinLAustin1 @jeanielauer @gcmitts @shawnrhoads154 Let'…</t>
  </si>
  <si>
    <t>@MactavishShawn @637KatRo @RiverfrontTimes I think that is Kitty being upset by Greitens lawyers making her seem crazy. In reality, calling her "whore" was part of their kinky sex.</t>
  </si>
  <si>
    <t>RT @JW1057: @SuchHate @Sticknstones4 @VisioDeiFromLA @jaybarnes5 @SpeakerTimJones @KevinLAustin1 @jeanielauer @gcmitts @shawnrhoads154 I st…</t>
  </si>
  <si>
    <t>@SuchHate @Sticknstones4 @VisioDeiFromLA @jaybarnes5 @SpeakerTimJones @KevinLAustin1 @jeanielauer @gcmitts @shawnrhoads154 Let's be honest. I can understand why Eric banged her.</t>
  </si>
  <si>
    <t>@SuchHate @Sticknstones4 @VisioDeiFromLA @jaybarnes5 @SpeakerTimJones @KevinLAustin1 @jeanielauer @gcmitts @shawnrhoads154 I still feel bad for Kitty, even if you don't. Greitens atty's should have been more strategic in their motion.</t>
  </si>
  <si>
    <t>RT @JW1057: @637KatRo @RiverfrontTimes And Kitty is such a pussy! I see the irony in that statement.</t>
  </si>
  <si>
    <t>@637KatRo @RiverfrontTimes And Kitty is such a pussy! I see the irony in that statement.</t>
  </si>
  <si>
    <t>@HotPokerPrinces @RiverfrontTimes @HotPokerPrinces do you suppose committee members were so turned on by these stories - they had an orgy? I would love (and not love) to see the video of that.</t>
  </si>
  <si>
    <t>@HotPokerPrinces @RiverfrontTimes Hey that same day. And sent him nude pictures. Incidentally Philip Sneed did hire a self-proclaimed "whore."</t>
  </si>
  <si>
    <t>RT @JW1057: @HotPokerPrinces @RiverfrontTimes Hey it kinky consensual sex. A little name calling in good sex - nothing unusual about that.…</t>
  </si>
  <si>
    <t>@HotPokerPrinces @RiverfrontTimes Hey it kinky consensual sex. A little name calling in good sex - nothing unusual about that. Simpson just trying to embarrass Eric in retaliation for embarrassing Kitty.</t>
  </si>
  <si>
    <t>RT @JW1057: @russellkinsaul @GovGreitensMO @KMOV Do you suppose this committee members were so turned on by the great sex Kitty and Eric ha…</t>
  </si>
  <si>
    <t>@russellkinsaul @GovGreitensMO @KMOV Do you suppose this committee members were so turned on by the great sex Kitty and Eric had they had an orgy themselves?</t>
  </si>
  <si>
    <t>RT @Markknight45: @russellkinsaul @GovGreitensMO @KMOV Boy the media hates Grietens, he wasn’t my first choice but he was elected and he’s…</t>
  </si>
  <si>
    <t>@Joe_Cool_1 They had consensual kinky sex. Wow!</t>
  </si>
  <si>
    <t>RT @Sticknstones4: @GovGreitensMO Happy Birthday Governor Greitens</t>
  </si>
  <si>
    <t>RT @JW1057: @RiverfrontTimes So they had kinky sex and Simpson is trying to embarrass @EricGreitens. Remember Governor did not bring this i…</t>
  </si>
  <si>
    <t>RT @RiverfrontTimes: "He then rips her shirt open, pulls her pants down to her ankles, takes a step back and takes her picture." https://t.…</t>
  </si>
  <si>
    <t>@RiverfrontTimes So they had kinky sex and Simpson is trying to embarrass @EricGreitens. Remember Governor did not bring this into public either. Eric and Kitty should be jointly attacking Philip Sneed, Al Watkins, and Kim Gardner. 
#moleg #mogov #greitens #GreitensIndictment #KimShady</t>
  </si>
  <si>
    <t>RT @JW1057: @lindsaywise @J_Hancock @BryanLowry3 This mess is the Judge's own fault. Trial should have been on 4/3 and would have been over…</t>
  </si>
  <si>
    <t>@lindsaywise @J_Hancock @BryanLowry3 This mess is the Judge's own fault. Trial should have been on 4/3 and would have been over before House report. 
Is Gardner coordinating with the House to smear Greitens?
#moleg #mogov #greitens #GreitensIndictment #KimShady</t>
  </si>
  <si>
    <t>#monps</t>
  </si>
  <si>
    <t>RT @Sticknstones4: 🚨RT  and wish @EricGreitens  a
Happy Birthday today 
 H A P P Y   B I R T H D A Y 
 Governor Greitens 
#missouri #grei…</t>
  </si>
  <si>
    <t>RT @GoVols37872: @CStamper_ Are you trying to emply that a Soros funded Democrat Prosecutor would lie in an attempt to bring down and destr…</t>
  </si>
  <si>
    <t>The people have a right to know who the Governor's accuser is.</t>
  </si>
  <si>
    <t>RT @JW1057: This is Katrina "Kitty" Sneed. 
@Sticknstones4 @SuchHate @VisioDeiFromLA 
#moleg #mogov #greitens #GreitensIndictment #KimSha…</t>
  </si>
  <si>
    <t>This is Katrina "Kitty" Sneed. 
@Sticknstones4 @SuchHate @VisioDeiFromLA 
#moleg #mogov #greitens #GreitensIndictment #KimShady https://t.co/l5q0jrWtPj</t>
  </si>
  <si>
    <t>RT @JW1057: Katrina "Kitty" Sneed is confused. She through Scott Simpson referred to Phil's claims as "allegations." What victim says alleg…</t>
  </si>
  <si>
    <t>Katrina "Kitty" Sneed is confused. She through Scott Simpson referred to Phil's claims as "allegations." What victim says allegations about their victimization?
#moleg #mogov #greitens #GreitensIndictment #KimShady https://t.co/d4BXisRFOz</t>
  </si>
  <si>
    <t>RT @tseidenstricker: Happy 44th Birthday Governor @EricGreitens! We got your six! @GovGreitensMO @TeamGreitens #MoGov https://t.co/A8QNjfhg…</t>
  </si>
  <si>
    <t>RT @MarkReardonKMOX: Because she doesn't really have any evidence??? https://t.co/PuNo38iGrK</t>
  </si>
  <si>
    <t>@BigJShoota I've some great friends.</t>
  </si>
  <si>
    <t>@ChelseaKMerta @jrosenbaum @StLouisCityCA @LaurenTrager @victorjfaust @EricGreitens I assume Apple because Kitty heard the sound of an iPhone camera. That should be hilarious testimony!</t>
  </si>
  <si>
    <t>@jrosenbaum @StLouisCityCA @LaurenTrager @victorjfaust @EricGreitens Kim Gardner has to use time in the state's "case." Its not like she has evidence to introduce.</t>
  </si>
  <si>
    <t>@StevenDialTV @41actionnews Here is an idea Greg Razer you resign and go to hell!
#moleg #mogov #greitens #GreitensIndictment #KimShady</t>
  </si>
  <si>
    <t>RT @Str8DonLemon: There is a gag order on the criminal case. 
But the judge said it would be “reckless of the state house to put out infor…</t>
  </si>
  <si>
    <t>RT @StevenDialTV: This is a big development. There is a gag order on the criminal case. But the judge said it would be “reckless of the sta…</t>
  </si>
  <si>
    <t>RT @JW1057: Friend just sent this!
#moleg #mogov #greitens #GreitensIndictment #KimShady https://t.co/NXaNi2LBv5</t>
  </si>
  <si>
    <t>RT @ErgoStreetNurse: @JohnLamping Since the "victim" didn't press charges from the beginning, perusing a motive seems to be a reasonable re…</t>
  </si>
  <si>
    <t>RT @AngelaLily0501: @EricGreitens #MAGA #FBI
#Sessions #QAnon #Missouri
#GOP #TrumpRussia
The hairdresser admits she cannot testify under…</t>
  </si>
  <si>
    <t>@moo_jam1 @Blackboxhalo @lindsaywise Me? No. Kitty? Apparently.</t>
  </si>
  <si>
    <t>RT @JW1057: @LaurenTrager @VisioDeiFromLA @Sticknstones4 @SpeakerTimJones @KurtEricksonPD 
#GreitensIndictment #greitens #moleg #kimshady…</t>
  </si>
  <si>
    <t>RT @JW1057: https://t.co/N9FaqaJi5W</t>
  </si>
  <si>
    <t>RT @JW1057: https://t.co/GxVeWPkQgd</t>
  </si>
  <si>
    <t>RT @JW1057: https://t.co/NQjel39NnP</t>
  </si>
  <si>
    <t>RT @JW1057: https://t.co/zPwpnxw8DD</t>
  </si>
  <si>
    <t>RT @JW1057: https://t.co/yhfju2GSCn</t>
  </si>
  <si>
    <t>RT @JW1057: Watkins reprimanded for concurrent conflict of interest violation and ironically enough improper disclosure of client informati…</t>
  </si>
  <si>
    <t>RT @JW1057: See the date in the footer of the indictment. Kim Gardner is a fraud.  @StLouisCityCA @stlcao @RyanAFournier @SCRyanSTL 
#mole…</t>
  </si>
  <si>
    <t>RT @JW1057: @StLouisCityCA @stlcao @RyanAFournier @SCRyanSTL 
Read full report on the Eric Greitens, Katrina Sneed, and Philip Sneed. http…</t>
  </si>
  <si>
    <t>RT @JW1057: @Blackboxhalo @lindsaywise He took nude photo of me to blackmail me and called me a "whore." I returned that afternoon to have…</t>
  </si>
  <si>
    <t>@zoubisou62 @lindsaywise @KCStar Wasn't Greitens requesting the order. It was incompetent Kim Gardner.</t>
  </si>
  <si>
    <t>@Blackboxhalo @lindsaywise He took nude photo of me to blackmail me and called me a "whore." I returned that afternoon to have sex with him again and over the following months. I also sent him nude photos. Why? I have no clue. 
#moleg #mogov #greitens #GreitensIndictment #KimShady #mopns</t>
  </si>
  <si>
    <t>@SheenaGreitens @Joe_Cool_1 @esqonfire https://t.co/ZstGIN7AGx</t>
  </si>
  <si>
    <t>#mopns</t>
  </si>
  <si>
    <t>RT @JW1057: https://t.co/zO1s9YilO9</t>
  </si>
  <si>
    <t>https://t.co/zO1s9YilO9</t>
  </si>
  <si>
    <t>Friend just sent this!
#moleg #mogov #greitens #GreitensIndictment #KimShady https://t.co/NXaNi2LBv5</t>
  </si>
  <si>
    <t>@EricGreitens Happy Birthday! I hope you and @SheenaGreitens have a wonderful day together with your sons. I can appreciate this must be a very difficult time for all of you. Stay strong! @JohnLamping #mogov</t>
  </si>
  <si>
    <t>@Sticknstones4 @joelcurrier No they were talking about Kitty interview. This is not it.</t>
  </si>
  <si>
    <t>@joelcurrier @StLouisCityCA @EricGreitens Katrina "Kitty" Sneed. @VisioDeiFrom @Sticknstones4 @SCRyanSTL</t>
  </si>
  <si>
    <t>@joelcurrier @StLouisCityCA @EricGreitens @stltoday @StLouisCityCA is afraid! @Sticknstones4</t>
  </si>
  <si>
    <t>@cody19s @KCStar People should not be able to make allegations in a legal proceeding and hide in anonymity. 
@Sticknstones4 
#moleg #mogov #greitens #GreitensIndictment #KimShady</t>
  </si>
  <si>
    <t>@J_Hancock @EricGreitens How about the media start reporting Katrina "Kitty" Sneed?</t>
  </si>
  <si>
    <t>@cody19s @KCStar What relevance is Greitens' mug shot?</t>
  </si>
  <si>
    <t>@KMOV Yes the mean man took a nude photo of me to blackmail me so I decided to send him more nude photos!</t>
  </si>
  <si>
    <t>@NSFMill @sarahfenske I was so offended by being called a "whore" I returned later that day for more sex. I kept having sex with this man and sent him nude photos of myself. Name calling is often a part of good sex!</t>
  </si>
  <si>
    <t>@cody19s @KCStar It is public now. The people have a right to know who the players are in this mess. I don't take pride in it but the truth is a must.</t>
  </si>
  <si>
    <t>@sarahfenske How did Kitty go work with ripped clothes?</t>
  </si>
  <si>
    <t>@SuchHate @EricGreitens @KMOV Ok. Now I know what you mean.</t>
  </si>
  <si>
    <t>@SuchHate @EricGreitens @KMOV What tape referring to?</t>
  </si>
  <si>
    <t>@KCStar Kitty's atty is delusional. We know who she is Katrina "Kitty" Sneed. https://t.co/dIlJCvQCwT</t>
  </si>
  <si>
    <t>@SuchHate @EricGreitens @KMOV What do you make of statement last night by Kitty's atty?</t>
  </si>
  <si>
    <t>@SuchHate @EricGreitens @KMOV When did Kitty get her new Lexus?</t>
  </si>
  <si>
    <t>@Sticknstones4 @jaybarnes5 @AGJoshHawley @chrisregniertv HR 5565 created the investigative committee and gives it authority. One of the rules governing the committee is that it can't discuss any evidence or testimony until it has "concluded" its investigation. By releasing an interim report the committee would be engaging in misconduct</t>
  </si>
  <si>
    <t>@KPLR11 In Kitty's reality or in her dreams?</t>
  </si>
  <si>
    <t>@Sticknstones4 @mopns So did Richard Nixon!</t>
  </si>
  <si>
    <t>@JohnLamping I have some info re @EricGreitens investigation you may be interested in. If you DM I will provide it to you. It could effect legislature's actions.
@Sticknstones4</t>
  </si>
  <si>
    <t>@stlpublicradio Isn't there a gag order on deposition testimony (not applicable to motions)? If so, do we expect a motion for contempt against Simpson and Kitty? @
#moleg #mogov #greitens #GreitensIndictment #KimShady</t>
  </si>
  <si>
    <t>@stlpublicradio Was this in Kitty's dream or reality? Kitty was so considerate to send more nude photos that Gov. could blackmail her with. Please she is embarrassed by people making her sound crazy. Unfortunately, Simpson also makes her sound crazy.</t>
  </si>
  <si>
    <t>@kmoxnews Was Kitty dreaming of the "admissions" or awake?</t>
  </si>
  <si>
    <t>@CStamper_ https://t.co/IQK391Lh2b</t>
  </si>
  <si>
    <t>@FOX2now Having trouble reporting full story? The man blurred is Philip Sneed. 
Note the eyes.
#moleg #mogov #greitens #GreitensIndictment #KimShady https://t.co/arJpW66XUF</t>
  </si>
  <si>
    <t>@chrisregniertv H.R. 5565, Rule 10. Barnes and committee are engaging in misconduct. Can't issue report and continue investigating.
#moleg #mogov #greitens #GreitensIndictment #KimShady https://t.co/7I4XJPLc8d</t>
  </si>
  <si>
    <t>@rossgarber @EricGreitens @SheenaGreitens @KurtEricksonPD @SpeakerTimJones @TeamGreitens @StLCountyRepub 
H.R. 5565, Rule 10. Barnes and committee are engaging in misconduct. Can't issue report and continue investigating.
#moleg #mogov #greitens #GreitensIndictment #KimShady https://t.co/dY96f0Swfc</t>
  </si>
  <si>
    <t>@jrosenbaum @jaybarnes5 Read H.R. 5565, Rule 10. Barnes and committee are engaging in misconduct. Can't issue report and continue investigating.
#moleg #mogov #greitens #GreitensIndictment #KimShady https://t.co/RhJ92ijDrn</t>
  </si>
  <si>
    <t>RT @KMOV: Court filing says woman in Greitens' affair unsure of memory https://t.co/Swwy4U5gzu</t>
  </si>
  <si>
    <t>@ws_missouri @EricGreitens Were those admissions in reality or Kitty’s dreams?</t>
  </si>
  <si>
    <t>@fox4kc Can't take responsibility for her dreams.</t>
  </si>
  <si>
    <t>@ScottCharton @EricGreitens Were these admissions in reality or in a dream?</t>
  </si>
  <si>
    <t>@jrosenbaum Was she dreaming about the admission?</t>
  </si>
  <si>
    <t>@T_N_B7 @ws_missouri A one sided report? You must be one hell of lawyer.</t>
  </si>
  <si>
    <t>@ws_missouri They don't know what the hell they are doing. You can't release a report with only one side of the story. They don't want to delay - they are confused.
#moleg #mogov #greitens #GreitensIndictment #KimShady</t>
  </si>
  <si>
    <t>@gcmitts You are corrupt! You can't release a legitimate report without all information. 
#moleg #mogov #greitens #GreitensIndictment #KimShady</t>
  </si>
  <si>
    <t>@ws_missouri What? @jaybarnes5 is dirty!</t>
  </si>
  <si>
    <t>@AllmanReport Right decision - great call !</t>
  </si>
  <si>
    <t>@Sticknstones4 @TomJEstes Ask Richard Nixon!</t>
  </si>
  <si>
    <t>RT @VisioDeiFromLA: When people begin to look at the #GreitensIndictment closer, they begin to realize even more that it is a complete...…</t>
  </si>
  <si>
    <t>@MMsharbono @DailyMail @womensmarch No. Katrina didn't make allegations her ex-husband Philip Sneed and his "whore" lawyer Al Watkins did. She is a victim here too of her Philip.</t>
  </si>
  <si>
    <t>@DailyMail No. Katrina didn't make allegations her ex-husband Philip Sneed and his "whore" lawyer Al Watkins did. She is a victim here too of her Philip.</t>
  </si>
  <si>
    <t>@CommonS10827401 @DailyMail No. Katrina didn't make allegations her ex-husband Philip Sneed and his "whore" lawyer Al Watkins did. She is a victim here too of her Philip.</t>
  </si>
  <si>
    <t>@magathemaga1 @philip_saulter @ES03784893 @EricGreitens @gagemitchusson @MissouriGOP @Hope4Hopeless1 @MOHouseGOP @Sticknstones4 @stlyrs @AllmanReport @Blackboxhalo @Thomas1774Paine @MSTLGA Yes. I was so offended by the alleged nude photo Eric took of me I decided to send him additional photos.</t>
  </si>
  <si>
    <t>@HawleyMO You are such a loser. Some call you "sanctimonious" you know that is another word for asshole.</t>
  </si>
  <si>
    <t>@magathemaga1 Kim Gardner is as corrupt and insane as I thought on day one.</t>
  </si>
  <si>
    <t>@SKOLBLUE1 @JaneDueker @EricGreitens @SorosInSTL @stlcao @StLouisCityCA She is technically correct. Katrina never said she was blackmailed that was Philip and Al. So her position has never changed.</t>
  </si>
  <si>
    <t>@Sticknstones4 @rxpatrick Well that would be smelly not "bumby."</t>
  </si>
  <si>
    <t>@SheenaGreitens You and @EricGreitens stay strong the light at the end of the tunnel grows ever brighter. I hate to think about all that you have been through. Eric is very blessed to have you for a wife. Stay strong!</t>
  </si>
  <si>
    <t>RT @JW1057: @rxpatrick Perjury usually does!</t>
  </si>
  <si>
    <t>@MissouriTimes @EricGreitens If he said, there was no photo that would be a lie because Kitty herself sent nude photos. That was no ones business. You still don't get what this is about. 2/2
#moleg #mogov #greitens #GreitensIndictment #KimShady</t>
  </si>
  <si>
    <t>@MissouriTimes @EricGreitens The thing is Eric never has to answer that question. That is the beauty of the presumption of innocence and the burden of proof being on the prosecutor. There is no reason for him to get into specifics: 1/2</t>
  </si>
  <si>
    <t>@rxpatrick Perjury usually does!</t>
  </si>
  <si>
    <t>@LydaKrewson Time to call on Kim Gardner to resign! She is costing St. Louis so much money with her incompetence and corruption. 
#moleg #mogov #greitens #GreitensIndictment #KimShady</t>
  </si>
  <si>
    <t>RT @Sticknstones4: @TrumpChess @StevenDialTV @41actionnews So many developments 
Whistleblower launches fbi public corruption to St. Louis…</t>
  </si>
  <si>
    <t>@SKOLBLUE1 @rxpatrick Well at least he is comfortable in that position. May need to get use to it!</t>
  </si>
  <si>
    <t>@SKOLBLUE1 @CStamper_ Phil's problems are just beginning. He already was kicked out of Story of the Year. I have a feeling more bad days are ahead for him.</t>
  </si>
  <si>
    <t>So much for listening to women! 
@VisioDeiFromLA @SuchHate @magathemaga1 @Sticknstones4 @HotPokerPrinces 
#moleg #mogov #greitens #GreitensIndictment #KimShady https://t.co/1296vjcK8N</t>
  </si>
  <si>
    <t>@Appyelf2Tracey @CStamper_ Hey! Lets be fair there are many awful prosecutors that are still better than Kim Gardner.</t>
  </si>
  <si>
    <t>@VisioDeiFromLA @christoferguson @EricGreitens Wrong! Eric, Sheena, and Kitty all deserve an apology. MO House should pass resolution of apology and make restitution to Kitty for any money she is out in legal fees and lost work etc.</t>
  </si>
  <si>
    <t>@gcmitts Save yourself. Don't release an incomplete report. Your career will be destroyed if you do.</t>
  </si>
  <si>
    <t>@Joe_Cool_1 @MissouriTimes @SheenaGreitens @EricGreitens @HereLiesMoon @1057thePoint @RizzShow Every picture of Philip - eyes of psycho. They eyes don't lie! @Sticknstones4 @HotPokerPrinces</t>
  </si>
  <si>
    <t>@rxpatrick Going to be very bad day for Philip Sneed!</t>
  </si>
  <si>
    <t>@FritzCarltonSTL @DavidMDrucker @achambersgop @scottfaughn @robschaaf @J_Hancock @jrosenbaumjr @staceynewman @LydaKrewson @PeterforMO @HawleyMO @AGJoshHawley @JayAshcroftMO @stltoday @FOX2now @kmoxnews @brucefranksjr @RepMikeButler @EricGreitens @willscharf This is last response. I can't defy an order that I'm not subject to. No one  asked me to do anything. I already told you this issue is why I'm on Twitter.  I have not attacked Kitty. In fact, if you actually look at my tweets I have defended her. Ex. https://t.co/u6PbnFR1Dm</t>
  </si>
  <si>
    <t>@J_Hancock @EricGreitens Perhaps, they can prepare a report on @StLouisCityCA actual misconduct!</t>
  </si>
  <si>
    <t>@FritzCarltonSTL @DavidMDrucker @achambersgop @scottfaughn @robschaaf @J_Hancock @jrosenbaumjr @staceynewman @LydaKrewson @PeterforMO @HawleyMO @AGJoshHawley @JayAshcroftMO @stltoday @FOX2now @kmoxnews @brucefranksjr @RepMikeButler @EricGreitens @willscharf If you look at my account, I am devoted to tweeting on this subject. I have also written letters on the matter to a great many people. Perhaps, he just agrees with my views. You will notice all of my followers have an active interest in this matter.</t>
  </si>
  <si>
    <t>@FritzCarltonSTL @DavidMDrucker @achambersgop @scottfaughn @robschaaf @J_Hancock @jrosenbaumjr @staceynewman @LydaKrewson @PeterforMO @HawleyMO @AGJoshHawley @JayAshcroftMO @stltoday @FOX2now @kmoxnews @brucefranksjr @RepMikeButler I don't work for anyone is this matter. Katrina isn't Eric's "victim." Katrina, Eric, and Sheena are the victims of Philip Sneed.</t>
  </si>
  <si>
    <t>@FritzCarltonSTL @DavidMDrucker Katrina's identity should be out in the public and so should Philip Sneeds. Philip injected himself in a matter of public concern. I regret Katrina has been forced to give up her privacy, but she is now a matter of public concern.</t>
  </si>
  <si>
    <t>@1057thePoint @RizzShow Fire Moon Valjean he is abusive!</t>
  </si>
  <si>
    <t>@blackwidow07 @CStamper_ @Sticknstones4 Nope!</t>
  </si>
  <si>
    <t>RT @christoferguson: The plot thicks: Greitens filing claims ex-lover testified to only seeing phone or camera in 'dream'. #Moleg #StL  htt…</t>
  </si>
  <si>
    <t>@BigJShoota In fairness Philip Sneed, Al Watkins, and Kim Gardner have invaded the privacy of Eric, Sheena, and Kitty. So there is that.
#moleg #mogov #greitens #GreitensIndictment #KimShady</t>
  </si>
  <si>
    <t>@ws_missouri Why are they trying to commit career suicide? They are aiding in domestic abuse by Phil Sneed.
#moleg #mogov #greitens #GreitensIndictment #KimShady</t>
  </si>
  <si>
    <t>You may think that last remark is sexist, but it is not. It is a very fair question as to what motivated you to abandon sound journalism. 
@Sticknstones4 @HotPokerPrinces @SuchHate</t>
  </si>
  <si>
    <t>You hurt Kitty by exposing her private sex life and you knew her ID would be exposed. You had no reliable info to base your report on. Just a psychotic ex-husband Philip Sneed. Are you one of "Moon Valjean's" groupies? Did you drop your panties for Moon?</t>
  </si>
  <si>
    <t>@LaurenTrager @KMOV How can anyone ever take you seriously as a "investigative reporter?" All you have done is helped waste taxpayer resource and cause turmoil in the life of Eric, Sheena, and Kitty. 
#moleg #mogov #greitens #GreitensIndictment #KimShady</t>
  </si>
  <si>
    <t>RT @StevenDialTV: Motion from Greitens lawyers: 
" K.S. (alleged victim) now admits that in June of 2015, she transmitted images via Faceti…</t>
  </si>
  <si>
    <t>@SuchHate @Sticknstones4 @magathemaga1 @EricGreitens The information about the dream and testimony comes from a motion for exculpatory (shows innocence) evidence filed last night by Greitens. It says Kitty send nude photos to Eric in June 2015 showing their relationship was ongoing and consensual.</t>
  </si>
  <si>
    <t>@StLouisCityCA today: 
Independence Day – Second Air Fight Battle Scene https://t.co/W1lNnOPal2 via @YouTube
#moleg #mogov #greitens #GreitensIndictment #KimShady</t>
  </si>
  <si>
    <t>@TeamGreitens Katrina's dream has just become @StLouisCityCA nightmare! Disbarment will be forthcoming. #moleg #mogov #greitens #GreitensIndictment #KimShady</t>
  </si>
  <si>
    <t>@DavidMDrucker Katrina never made any allegations to waver on. The accusers are Philip Sneed and Al Watkins.
#moleg #mogov #greitens #GreitensIndictment #KimShady</t>
  </si>
  <si>
    <t>@CStamper_ @dcexaminer Katrina isn't wavering she never made any allegations. The accuser's are Philip Sneed and Al Watkins.
#moleg #mogov #greitens #GreitensIndictment #KimShady</t>
  </si>
  <si>
    <t>@Ijames2018 @StLouisCityCA As an attorney, I'm personally offended by your continuation in the practice of law. I promise you that I'm going to do all in my power to see you disbarred. @EricGreitens @SheenaGreitens 
#moleg #mogov #greitens #GreitensIndictment #KimShady</t>
  </si>
  <si>
    <t>@SuchHate @Sticknstones4 @magathemaga1 @EricGreitens No court filing by Greitens lawyers from Katrina's depo.</t>
  </si>
  <si>
    <t>@SuchHate @EricGreitens @KMOV As I said, only Sheena had the right to judge Eric for the affair. It was also true only Philip had the right to judge Katrina for the affair. Sheena acted like an adult. Philip acted like a psychotic baby.</t>
  </si>
  <si>
    <t>#moleg #mogov #greitens #GreitensIndictment #KimShady
@Sticknstones4 @magathemaga1 @EricGreitens https://t.co/Qr6gYZ0iBH</t>
  </si>
  <si>
    <t>RT @KMOV: Greitens' attorneys cast doubt on accuser's recollections, saying 'she doesn't know if her belief that he had a phone was the res…</t>
  </si>
  <si>
    <t>@SuchHate @EricGreitens @KMOV Katrina doesn't seem to be very helpful to those going after @EricGreitens .</t>
  </si>
  <si>
    <t>@SuchHate @EricGreitens @KMOV Thoughts? https://t.co/9P3BGMenjQ</t>
  </si>
  <si>
    <t>@KenPrier @CStamper_ @philip_saulter Lets be clear, Katrina isn't the accuser. Philip and Al Watkins are the accusers. Katrina is a victim here of volatile Phil Sneed. Standing with @EricGreitens and Katrina can peacefully coexist. https://t.co/ChuQFXQNlN</t>
  </si>
  <si>
    <t>@SuchHate I have it. Ms. Newman: "I see no way to use your friend's carjacking to my political advantage. It would also make St. Louis look bad. Thank you."</t>
  </si>
  <si>
    <t>@KenPrier @CStamper_ @philip_saulter I guess it may be time to formally start preparing the grievance against @StLouisCityCA. I've so many notes and so many violations of Prof.Cond.R. Imagine when @EricGreitens file their own complaint with info we don't know.
#moleg #mogov #greitens #GreitensIndictment #KimShady</t>
  </si>
  <si>
    <t>Anyone have the full motion filed by @EricGreitens?
#moleg #mogov #greitens #GreitensIndictment #KimShady</t>
  </si>
  <si>
    <t>@Sticknstones4 @magathemaga1 @TeamGreitens @CStamper_ 
https://t.co/YLfeEOa2lX
#moleg #mogov #greitens #GreitensIndictment #KimShady https://t.co/OHrI9ftKsw</t>
  </si>
  <si>
    <t>@stlpublicradio @SenatorNasheed  @EricGreitens remains Gov. because affair is private matter. Philip Sneed the dangerous and you are aiding in domestic abuse. Your friend @StLouisCityCA career is over - disbarment coming.
@Sticknstones4 
#moleg #mogov #greitens #GreitensIndictment #KimShady</t>
  </si>
  <si>
    <t>RT @Sticknstones4: Greitens Attorney Ed Dowd letter  to @jaybarnes5 
https://t.co/WILDzao9XD
#Moleg #Greitens #Moleg</t>
  </si>
  <si>
    <t>@SuchHate @EricGreitens @KMOV How do you know?</t>
  </si>
  <si>
    <t>@MactavishShawn @for_congress Interesting that Ryan Phillips leads Story of the Year. Ryan is married to Ashley Phillips who is the sister of Kitty. 
#moleg #mogov #greitens #GreitensIndictment #KimShady</t>
  </si>
  <si>
    <t>@SuchHate I don't buy that Kitty is involved in any conspiracy. I believe she is the victim of a very dangerous ex-husband,  Philip Sneed. I believe supporting @EricGreitens and Katrina is the same.</t>
  </si>
  <si>
    <t>@StLCountyRepub @EricGreitens Philip Sneed must have abused Katrina in horrific ways. We must all remember Katrina is a victim like @EricGreitens @SheenaGreitens. 
Katrina is NOT the victim of @EricGreitens but of Philip Sneed.
#moleg #mogov #greitens #GreitensIndictment #KimShady</t>
  </si>
  <si>
    <t>@SuchHate @LaurenTrager  https://t.co/mL5njtQRXS</t>
  </si>
  <si>
    <t>@CStamper_ https://t.co/HcGqwoCeU9</t>
  </si>
  <si>
    <t>@RhynoPNW @EricGreitens @HereLiesMoon I hear there is a shortage on adult diapers in St. Louis. Do you suppose that has anything to do with Phil being deposed today?</t>
  </si>
  <si>
    <t>Not really. What do you expect from stalker Phil Sneed? https://t.co/2WO5APlZ31</t>
  </si>
  <si>
    <t>RT @for_congress: Missouri Gov's wife says she was cyberstalked by husband of Greitens's mistress https://t.co/SxcyLUBBSd Mr S is allegedly…</t>
  </si>
  <si>
    <t>@for_congress you may find my work of interest re @EricGreitens.</t>
  </si>
  <si>
    <t>@EricGreitens @SheenaGreitens @rossgarber @shawnrhoads154 @TommiePierson @jaybarnes5 @VisioDeiFromLA @Sticknstones4 
Never got much attention. Someone may want to subpoena Twitter. Looks like stalker Phil Sneed's work. 
#moleg #mogov #greitens #GreitensIndictment #KimShady https://t.co/LyuDs0qnUc</t>
  </si>
  <si>
    <t>@AllmanReport @VisioDeiFromLA @EricGreitens @SheenaGreitens @willscharf @MOHouseGOP @MOGOP_Chairman @BobRomanik @rossgarber 
https://t.co/Ig9TpXBWJe
#moleg #mogov #maga #stlouis #Greitens #Missouri #stl #wrestlemania #kimshady #STLCards https://t.co/bYFNPbqxKy</t>
  </si>
  <si>
    <t>RT @AuroraGustafson: Greitens Attorney to House Committee: “There Is No Photograph” https://t.co/79wpoGICAt via @SentinelKSMO</t>
  </si>
  <si>
    <t>@StLouisCityCA @stlcao @RyanAFournier @SCRyanSTL 
Read full report on the Eric Greitens, Katrina Sneed, and Philip Sneed. https://t.co/LNQD4Jbg0F
#moleg #mogov #maga #stlouis #Greitens #Missouri #stl #wrestlemania #kimshady #STLCards https://t.co/x0kijgwdCV</t>
  </si>
  <si>
    <t>See the date in the footer of the indictment. Kim Gardner is a fraud.  @StLouisCityCA @stlcao @RyanAFournier @SCRyanSTL 
#moleg #mogov #maga #stlouis #Greitens #Missouri #stl #wrestlemania #kimshady #STLCards https://t.co/fAEYkkyAmv</t>
  </si>
  <si>
    <t>RT @AllenTruitt1: Kim Gardner, the prosecutor who brought bogus charges by lying to the Grand Jury about #greitens has some shady associate…</t>
  </si>
  <si>
    <t>@SpeakerTimJones @AllmanReport @VisioDeiFromLA @Sticknstones4 @SuchHate 
Any truth to the report that Philip Sneed is planning to form a band called "Limp Dick?"
#moleg #mogov #greitens #GreitensIndictment #KimShady</t>
  </si>
  <si>
    <t>@KCStar Can you ask who is paying Al Watkins?</t>
  </si>
  <si>
    <t>@randycruse @KCStar No. He was elected by the people of MO and has done nothing wrong.</t>
  </si>
  <si>
    <t>@Sticknstones4 @SpeakerTimJones @paulcurtman @VisioDeiFromLA @AllmanReport @971FMTalk @KMOV @KCStar @TomJEstes @JohnLamping Sheena is intelligent, graceful, and beautiful. Stacey is - well none of those things. Jealousy is the issue.</t>
  </si>
  <si>
    <t>@Sticknstones4 @SpeakerTimJones @staceynewman @jallman971 @971FMTalk @SheenaGreitens Stacey Newman is not fit to lick clean Sheena's shoes!</t>
  </si>
  <si>
    <t>@HotPokerPrinces @Sticknstones4 @SpeakerTimJones @paulcurtman @VisioDeiFromLA @AllmanReport @971FMTalk @KMOV @KCStar @TomJEstes @JohnLamping Thanks. I found it. The little misogynist whiner blocked me.</t>
  </si>
  <si>
    <t>@Sticknstones4 @SpeakerTimJones @paulcurtman @VisioDeiFromLA @AllmanReport @971FMTalk @KMOV @KCStar @TomJEstes @JohnLamping Stacey Newman is a misogynist. She hates women!</t>
  </si>
  <si>
    <t>@Sticknstones4 @SpeakerTimJones @paulcurtman @VisioDeiFromLA @AllmanReport @971FMTalk @KMOV @KCStar @TomJEstes @JohnLamping Where did she lash out at Sheena?</t>
  </si>
  <si>
    <t>@TeamGreitens @KDNLABC30 @SpeakerTimJones @stltoday @VisioDeiFromLA @Sticknstones4 
Look at the date in the footer of the indictment (Highlighted). 
#moleg #mogov #greitens #GreitensIndictment #KimShady https://t.co/1tEwtOWBNL</t>
  </si>
  <si>
    <t>@EricGreitens @VisioDeiFromLA @Sticknstones4 @MOHouseGOP @MOGOP_Chairman @magathemaga1 
#moleg #mogov #greitens #GreitensIndictment #KimShady</t>
  </si>
  <si>
    <t>A so-called investigative panel wants to release their report before hearing the Gov.'s side. Time is of the essence; they may strike tomorrow. This is the Jefferson City Swamp attacking.</t>
  </si>
  <si>
    <t>@realDonaldTrump @GovGreitensMO is being railroaded. You must speak out for him. There is hugely corrupt prosecutor Kim Gardner who the FBI may already be investigating. https://t.co/82XIXfoxga</t>
  </si>
  <si>
    <t>RT @VisioDeiFromLA: From Dowd Letter that @EricGreitens team released 2 public:
KG avoided use of SLMPD in favor of Michigan based LLC, En…</t>
  </si>
  <si>
    <t>@Str8DonLemon @RandiNaughton @PERTZFOX @971FMTalk @MissouriTimes @chrisregniertv @stltoday @MarkReardonKMOX @LydaKrewson @AlissaReitmeier @emilyrau 
#moleg #mogov #greitens #GreitensIndictment #KimShady https://t.co/FmG7TneDeO</t>
  </si>
  <si>
    <t>RT @Sticknstones4: @NewsTribune @EricGreitens So Many developments coming to light in greitens
1-Stl circuit attorney has a mo bar complain…</t>
  </si>
  <si>
    <t>@SheenaGreitens @EricGreitens @TeamGreitens @SteveTempleton @willscharf @Arightside @rossgarber 
#moleg #mogov #greitens #GreitensIndictment #KimShady https://t.co/VqkXEOtAYA</t>
  </si>
  <si>
    <t>@SpeakerTimJones @KCStar @AllmanReport @1057thePoint @KMOV @LaurenTrager @sarahfenske @FOX2now @KurtEricksonPD @esqonfire @rxpatrick https://t.co/brDNU4Zw83</t>
  </si>
  <si>
    <t>@jeanielauer @Rep_TRichardson @TommiePierson @gcmitts @jaybarnes5 @shawnrhoads154 @KevinLAustin1 
#moleg #mogov #greitens #GreitensIndictment #KimShady https://t.co/RGFkULWXrg</t>
  </si>
  <si>
    <t>@JohnLamping It is a shame that there are no real journalist in MO. The reporter who blows open the conspiracy against @EricGreitens would stand a great shot at a Pulitzer Prize. @KMOV @LaurenTrager @sarahfenske @FOX2now @KurtEricksonPD @rxpatrick</t>
  </si>
  <si>
    <t>RT @JohnLamping: Greitens filing suggests accuser was paid.   No way!! No one thinks the husband was paid, no way...paid?? No way.  https:/…</t>
  </si>
  <si>
    <t>RT @Sticknstones4: Michigan Firm Hired By Kim Gardner Owes Back Taxes; Delinquent On Corporate Filings https://t.co/txJELWZDgs</t>
  </si>
  <si>
    <t>RT @Sticknstones4: Audio: Rep. Curtman Complaint Against Kim Gardner https://t.co/XZQCi09Mj9</t>
  </si>
  <si>
    <t>RT @Sticknstones4: EXCLUSIVE: Whistleblower Claims STL Circuit Attorney Under FBI Investigation https://t.co/0OxCQIyF6M</t>
  </si>
  <si>
    <t>RT @HotPokerPrinces: @AllenTruitt1 @EricGreitens @MOHouseGOP #MoLeg could use a hot poker to end the public corruption</t>
  </si>
  <si>
    <t>RT @AllenTruitt1: How can we, as Americans, allow this kind of misuse of our Justice system? Allowing political rivals to finance an invest…</t>
  </si>
  <si>
    <t>@ArcticFox_am_I @christoferguson Philip Sneed targets the woman who was also the victim of cheating spouse. Philip is a misogynist.</t>
  </si>
  <si>
    <t>RT @kendylei: @magathemaga1 @EricGreitens @DRUDGE @DailyCaller @TuckerCarlson @gatewaypundit Good question. @TuckerCarlson ,  please help u…</t>
  </si>
  <si>
    <t>RT @SorosInSTL: DOWD LETTER to Barnes is UNACCEPTABLE. 😡😡🤬🤬
How dare they question glaring holes &amp;amp; shadiness of the #greitensindictment !!…</t>
  </si>
  <si>
    <t>RT @magathemaga1: 🚨 #Greitens UPDATE 🚨 
Accuser of @EricGreitens STALKED SHEENA GREITENS
Jealous Ex Husband reportedly even went after Sh…</t>
  </si>
  <si>
    <t>RT @Sticknstones4: 🚨BREAKING  #Greitens Attorney Ed Dowd letter to Chairman Jay Barnes 
Well #moleg  what do you have to say ?
#kimshady…</t>
  </si>
  <si>
    <t>@_FlyUnderground @willscharf @EricGreitens Your probably thinking Fatal Attraction. Phil Sneed is playing role of psycho.</t>
  </si>
  <si>
    <t>@SpeakerTimJones https://t.co/RmtWEo334o</t>
  </si>
  <si>
    <t>Releasing the report would be timely but come at the expense of fairness and thoroughness. The report will never be legitimate. You will destroy your own credibility. 
#moleg #mogov #greitens #GreitensIndictment #KimShady</t>
  </si>
  <si>
    <t>@jaybarnes5 @KevinLAustin1 @jeanielauer @gcmitts @TommiePierson @shawnrhoads154 @Rep_TRichardson 
Barnes promised a “fair, thorough and timely" investigation. An incomplete investigation that does not hear both sides is not fair. An incomplete investigation is never thorough.</t>
  </si>
  <si>
    <t>@blackwidow07 @LaurenTrager @KMOV Do you have any of them?</t>
  </si>
  <si>
    <t>@Joe_Cool_1 Any that doesn't involve Phil Sneed!</t>
  </si>
  <si>
    <t>@ohsynesthesia One can only imagine what poor Kitty endured over the years with him.</t>
  </si>
  <si>
    <t>@alidreith @sarahfenske @SheenaGreitens is disclosing information so much for your NDA. This was never a news story. Many claims easily verifiably false, even for an incompetent journalist, such as the the slap during birth.</t>
  </si>
  <si>
    <t>@SpeakerTimJones @jallman971 @VisioDeiFromLA @magathemaga1 
Philip Sneed to be deposed Monday. Two pieces of advice Phil wear dark pants and adult diapers. 
#moleg #mogov #greitens #GreitensIndictment #KimShady</t>
  </si>
  <si>
    <t>@Sticknstones4 @VisioDeiFromLA @LaurenTrager @jallman971 @SheenaGreitens I hope @EricGreitens realizes how truly blessed he is to have a woman like @SheenaGreitens as his wife.</t>
  </si>
  <si>
    <t>@kendylei @LaurenTrager @EricGreitens @KMOV They just believe women are really children. They are the misogynist!</t>
  </si>
  <si>
    <t>@1057thePoint @Rizzshow @LUXonRadio  You must terminate Phillip Sneed (Moon Valjean.) He's a misogynist, abuser, voyeur, and stalker.
Failure to terminate Philip will confirm that you are anti-woman.
#moleg #mogov #greitens #GreitensIndictment #KimShady #1057thePoint</t>
  </si>
  <si>
    <t>@LaurenTrager @KMOV 
You sure do great work always knew was abusing Katrina. Now we now he was stalking Sheena and her parents. You are disgrace this should end your career.
#moleg #mogov #greitens #GreitensIndictment #KimShady</t>
  </si>
  <si>
    <t>@VisioDeiFromLA @Sticknstones4 @LaurenTrager @jallman971 
Philip Sneed stalked @SheenaGreitens. Put Phil in prison
https://t.co/Nd204emyRY …
#moleg #mogov #greitens #GreitensIndictment #KimShady</t>
  </si>
  <si>
    <t>@JenniferJoyceCA You should be more concerned about corrupt Kim Gardner.</t>
  </si>
  <si>
    <t>@kendylei I think Katrina is also a victim. She only ever asked for her privacy but was raped of it by Philip Sneed, Al Watkins, and Kim Garnder.
#moleg #mogov #greitens #GreitensIndictment #KimShady</t>
  </si>
  <si>
    <t>@LaurenTrager you say your an "investigative reporter." When do you start investigating?</t>
  </si>
  <si>
    <t>@SpeakerTimJones @KMOV @SuchHate @Sticknstones4 
If Philip Sneed believes Greitens "victimized" Katrina, why did he leave her? That would make a horrible person. 
#moleg #mogov #greitens #GreitensIndictment #KimShady</t>
  </si>
  <si>
    <t>@BonserBT @CStamper_ Can I move to Missouri just to vote for @EricGreitens?</t>
  </si>
  <si>
    <t>@Sticknstones4 Well, they do screw you but not in the fun way!</t>
  </si>
  <si>
    <t>Read all about it. 
https://t.co/wqcVlx8Kih</t>
  </si>
  <si>
    <t>Watkins reprimanded for concurrent conflict of interest violation and ironically enough improper disclosure of client information. I guess Watkins is not so big on privacy! Watkins also has failed to comply with reciprocal punishment in MN. https://t.co/l9sUWp0m7W</t>
  </si>
  <si>
    <t>@TeamGreitens @LaurenTrager @SpeakerTimJones @AllmanReport @rossgarber @Sticknstones4 @VisioDeiFromLA 
See following Tweets - Albert S. Watkins misconduct. Watkins violates sacred duty to hold client confidences.
#moleg #mogov #greitens #GreitensIndictment #KimShady #</t>
  </si>
  <si>
    <t>@RobertLChastain @Sticknstones4 @AllmanReport @paulcurtman @ksdk @KCStar @KMOV @stltoday @fox2 § 56.250 does not apply to St. Louis.</t>
  </si>
  <si>
    <t>@RobertLChastain @Sticknstones4 @AllmanReport @paulcurtman @ksdk @KCStar @KMOV @stltoday @fox2 There are a lot of "implies" in your agency theory. Contract says he is an "independent contractor." Repeatedly refers to Sullivan as a "consultant" which are almost never employees. He is using CJI resources.</t>
  </si>
  <si>
    <t>@Jeannine8Carol @EricGreitens Gardner is corrupt no doubt. Yet, her misconduct would only help Greitens and you seem to oppose him.</t>
  </si>
  <si>
    <t>@AllmanReport Can you blame @StLouisCityCA  she need to hire someone dirty? A real investigator would have laughed this out in 30 seconds. Tisaby is dirty that is why he was her man.</t>
  </si>
  <si>
    <t>@sarahfelts You know Katrina asked for her privacy. It was her misogynist ex Phil Sneed and his "whore" Atty Al Watkins that raped her of her privacy. Your anger should be directed at Phil, Al, and KMOV who published the story. FYI what they are interested in is money Phil and Al were paid.</t>
  </si>
  <si>
    <t>@Jonssonville @stltoday I feel bad for Katrina. It is ashame Philip and Al are such misogynist and Kim Gardner is corrupt.</t>
  </si>
  <si>
    <t>@Joe_Cool_1 @SheenaGreitens @isanet @ProfJStanton @CUP_PoliSci I admire your grace and strength, Sheena.</t>
  </si>
  <si>
    <t>@Jeannine8Carol @EricGreitens You do know that if your "wink wink" is correct that means the prosecution has engaged in illegal conduct and that case would be dismissed. And the prosecutor would face criminal charges and disbarment.</t>
  </si>
  <si>
    <t>@Joe_Cool_1 @greekfire @HereLiesMoon @EricGreitens If Phil really loved Kitty, he would accept the fact she need to go out and find the pleasure that he could not provide her.</t>
  </si>
  <si>
    <t>@shannysglasseye @FOX2now @EricGreitens @StLouisCityCA @stlcao Sorry it will be little Kimmy Gardner who is resigning!</t>
  </si>
  <si>
    <t>@kevinmcdermott @rxpatrick @joelcurrier Greitens's attorneys are really targeting Philip and Al Watkins with that question.</t>
  </si>
  <si>
    <t>Philip and Watkins lied again. Re Eric allegedly slapping KS while Sheena gave birth. Affair was in 15 and children were born in 14 and 16.</t>
  </si>
  <si>
    <t>https://t.co/yhfju2GSCn</t>
  </si>
  <si>
    <t>https://t.co/zPwpnxw8DD</t>
  </si>
  <si>
    <t>https://t.co/NQjel39NnP</t>
  </si>
  <si>
    <t>https://t.co/GxVeWPkQgd</t>
  </si>
  <si>
    <t>https://t.co/N9FaqaJi5W</t>
  </si>
  <si>
    <t>@LaurenTrager @VisioDeiFromLA @Sticknstones4 @SpeakerTimJones @KurtEricksonPD 
#GreitensIndictment #greitens #moleg #kimshady
Here are some question for the Philip Sneed and Al Watkins: https://t.co/pQkaRLYnxK</t>
  </si>
  <si>
    <t>@Sticknstones4 @NSFMill But not nearly as cool as Ray Donovan. Little Roy can't even handle a little Twitter push back.</t>
  </si>
  <si>
    <t>@BigJShoota Eric is the victim of a political witch hunt. Katrina is the victim of her controlling ex-husband Philip Sneed and Al Watkins.</t>
  </si>
  <si>
    <t>@KurtEricksonPD @stltoday I actually think it is more about Watkins and Phil being paid!</t>
  </si>
  <si>
    <t>@Joe_Cool_1 @stltoday @HereLiesMoon @1057thePoint @RizzShow @EricGreitens Phil can only do so much when having sex with him requires a magnifying glass and tweezers. If I were a woman, I choose the Navy Seal every time!</t>
  </si>
  <si>
    <t>@RobertLChastain @Sticknstones4 @AllmanReport @paulcurtman @ksdk @KCStar @KMOV @stltoday @fox2 Two quick points: First, contract names Sullivan as "independent contractor" and as such is not an agent. Second, the contract permits Sullivan to accept third-party funding for additional attorneys and the like, thus raising the risk of private prosecution.</t>
  </si>
  <si>
    <t>@stltoday "the woman" = Katrina Sneed.</t>
  </si>
  <si>
    <t>@magathemaga1 @jallman971 @SpeakerTimJones Probably about Temple being a sleazebag. 
Anyone know of relationship between Temple and Watkins?</t>
  </si>
  <si>
    <t>@Sticknstones4 @RuthsChris @CapitalGrille @Mortons @Flemings @801ChophouseSTL Me too! What a whinny little girl @staceynewman!</t>
  </si>
  <si>
    <t>@Sticknstones4 @SpeakerTimJones @staceynewman That would reflect poorly on her "leadership."</t>
  </si>
  <si>
    <t>@SpeakerTimJones @staceynewman enjoyed raping a woman of her privacy. Were you turned on?</t>
  </si>
  <si>
    <t>@SpeakerTimJones The problem with so-called feminist like @staceynewman is they only care about woman when she does as she is told. 
There are no #metoo because everyone knows it is a crock.</t>
  </si>
  <si>
    <t>@staceynewman How is your friend the misogynist Phil Sneed doing?
@SpeakerTimJones</t>
  </si>
  <si>
    <t>@staceynewman @ArrowheadBldg @971FMTalk @ProgWomen How is your friend Kitty?</t>
  </si>
  <si>
    <t>@Jeannine8Carol Your info re @EricGreitens is out of date. Prosecutor admit they have no photo, no witness who saw the photo, alleged victim did not see smartphone or camera on which photo could've been taken, and no evidence any photo was transmitted.</t>
  </si>
  <si>
    <t>I am looking at you @KMOV @LaurenTrager you started this mess by running a non-story. Now clean up your crap!</t>
  </si>
  <si>
    <t>@TeamGreitens @EricGreitens @KMOV @LaurenTrager Phil/Watkins team lied again. Re Eric allegedly slapping KS while Sheena gave birth. Affair was in 15 and children were born in 14 and 16.
Are there actual journalist in Missouri?
#GreitensIndictment #greitens #moleg #kimshady</t>
  </si>
  <si>
    <t>@KurtEricksonPD @stltoday Non-issue. Garber is hired to represent @EricGreitens in a matter directly related to his office - a legislative investigation. If it were a personal matter, the legislature would not be involved. Legislature can't have it both ways.</t>
  </si>
  <si>
    <t>@JCunninghamMO do you think Jay Barnes can be trusted? He seems like a weasel not waiting for all evidence? What about either committee members?</t>
  </si>
  <si>
    <t>@BigJShoota What moron thinks you should "press head" with an incomplete report? What were their grades in school? An incomplete.</t>
  </si>
  <si>
    <t>@SpeakerTimJones How much confidence can we've in the investigative committee to be fair? #moleg #mogov #greitens #GreitensIndictment #KimShady</t>
  </si>
  <si>
    <t>@russellkinsaul @LaurenTrager @GovGreitensMO @MoGov @KMOV @jaybarnes5 What are you hiding? #greitens #moleg #kimshady</t>
  </si>
  <si>
    <t>@stltoday @jaybarnes5 and his USSR style investigation will not railroad @EricGreitens !</t>
  </si>
  <si>
    <t>@jaybarnes5 is dirty! https://t.co/jSjVTdvYGP</t>
  </si>
  <si>
    <t>@mikeparson Any brief cases of money lately from your “friends?”</t>
  </si>
  <si>
    <t>@mikeparson You’re a loser!</t>
  </si>
  <si>
    <t>@J_Hancock @Rep_TRichardson Unusual to cancel press availability? Or is he in hiding regarding @EricGreitens?</t>
  </si>
  <si>
    <t>@Rep_TRichardson we will not let @jaybarnes5  railroad @EricGreitens with USSR style investigation and an incomplete report. Why is @jaybarnes5 afraid to get all the facts? 
@KMOV @Sticknstones4 @VisioDeiFromLA 
#moleg #mogov #greitens #GreitensIndictment #KimShady</t>
  </si>
  <si>
    <t>RT @Sticknstones4: @AllmanReport ran a great interview with Mo Rep @paulcurtman filing a bar complaint against #stl circuit attorney Kim Ga…</t>
  </si>
  <si>
    <t>@SuchHate You said that you had a friend who was a friend of Phil's. Do you have any other friends connected to Story of the Year? Think it is fascinating how Phil is out so unceremoniously. Think it is because of KS.</t>
  </si>
  <si>
    <t>@gocrazy4cards @rxpatrick Yep!</t>
  </si>
  <si>
    <t>@JaneDueker @EricGreitens You don't get to not have evidence and then claim the absence of evidence is the evidence. Has he admitted in writing that he took the photo? Is there proof of all elements of the offense? You obviously have a personal hatred for @EricGreitens but put your lawyer cap on.</t>
  </si>
  <si>
    <t>@JaneDueker @EricGreitens That would be the PHOTO that this whole charade is over! God, Jane, I hate to think what your malpractice rates are.</t>
  </si>
  <si>
    <t>@rxpatrick This is why you don't retain known perjurers to conduct investigations.</t>
  </si>
  <si>
    <t>@rxpatrick Is #KimShady trying to claim sex was not consensual?</t>
  </si>
  <si>
    <t>@rxpatrick Please post copy of filing as soon as possible.</t>
  </si>
  <si>
    <t>@stltoday @jaybarnes5 are you corrupt or is the report favorable to @EricGreitens and you know defense will be happy? 
Careful not to violate Prof.Cond.R 4-3.6. It would be ashame for you to be disbarred.</t>
  </si>
  <si>
    <t>@SpeakerTimJones @AllmanReport https://t.co/GeFvRtaUIr</t>
  </si>
  <si>
    <t>@StLouisCityCA @Sticknstones4 @stlcao @esqonfire @EricGreitens 
That Kim with her time travel is a cleaver one.
#moleg #mogov #greitens #GreitensIndictment #KimShady https://t.co/wzx1KqWypa</t>
  </si>
  <si>
    <t>@JCunninghamMO DM me would like to discuss some issues privately. #greitens</t>
  </si>
  <si>
    <t>@Sticknstones4 @stlcao @StLouisCityCA @shawnrhoads154 @TommiePierson @gcmitts @jeanielauer @Rep_TRichardson @jaybarnes5 @KevinLAustin1 
Read full report  https://t.co/PP89N7htxs
#moleg #mogov #greitens #GreitensIndictment #KimShady #MeToo https://t.co/nrxpfA2Fuj</t>
  </si>
  <si>
    <t>@Sticknstones4 @kmoxnews @SuchHate @stlcao @JenniferJoyceCA @VisioDeiFromLA 
Here are the highlights. 
Read the full report. https://t.co/PP89N7htxs
#moleg #mogov #greitens #GreitensIndictment #KimShady https://t.co/fuzwz7mUj3</t>
  </si>
  <si>
    <t>@midwestman9 @blackwidow07 @Sticknstones4 Yes. This is going to get very ugly. Defense attorney will be searching past cases for misconduct. It is going to cost @LydaKrewson millions.</t>
  </si>
  <si>
    <t>@Sticknstones4 @stltoday Kim Gardner the new Mike Nifong!</t>
  </si>
  <si>
    <t>@explorestlouis  I am truth and justice and #KimShady is a fraud!
Read all about #KimShady 
'https://t.co/PP89N7htxs
#KimShady to be disbarred! Phil Sneed trying to control ex-wife like a misogynist.
#moleg #mogov #greitens #GreitensIndictment</t>
  </si>
  <si>
    <t>@KurtEricksonPD 
Read all about #KimShady 
'https://t.co/PP89N7htxs
#KimShady to be disbarred! Ex-husband, Phil Sneed is a sick misogynist trying to control his ex-wife.
#moleg #mogov #greitens #GreitensIndictment</t>
  </si>
  <si>
    <t>@chica22761 @stltoday @EricGreitens How do you figure? It was the prosecutor who was afraid of trial. If @EricGreitens had his way the trial would have been yesterday. 
Remember the House is crafting a political document that is likely to contain information that is legally irrelevant.</t>
  </si>
  <si>
    <t>@JCunninghamMO Why ask simple questions? Kim Gardner is corrupt. You may find this an interesting read. https://t.co/PP89N7htxs</t>
  </si>
  <si>
    <t>@RoyBlunt @clairecmcz @magathemaga1 @EricGreitens 
I am truth and justice and #KimShady is a fraud!
Read all about #KimShady 
'https://t.co/PP89N7htxs
Kim Gardner helping woman's ex-husband control her life. Abusive!
#moleg #mogov #greitens #GreitensIndictment #Misogynist</t>
  </si>
  <si>
    <t>@VisioDeiFromLA @Sticknstones4 @SuchHate @AllmanReport @AllmanReport 
https://t.co/lB2yPPzzOd</t>
  </si>
  <si>
    <t>@VisioDeiFromLA @Sticknstones4 @magathemaga1 @1057thePoint @AllmanReport 
https://t.co/c6IRgcCK1v</t>
  </si>
  <si>
    <t>@shawnrhoads154 @TommiePierson @gcmitts @jeanielauer @Rep_TRichardson @jaybarnes5 @KevinLAustin1 
I am truth and justice and #KimShady is a fraud!
Read all about #KimShady 
'https://t.co/PP89N7htxs
#moleg #mogov #greitens #GreitensIndictment #KimShady</t>
  </si>
  <si>
    <t>@shawnrhoads154 @TommiePierson @gcmitts @jeanielauer @Rep_TRichardson @jaybarnes5 @KevinLAustin1 
Why are you helping Philip Sneed an unstable misogynist control his ex-wife? You were manipulated by @StLouisCityCA. 
#moleg #mogov #greitens #GreitensIndictment #KimShady</t>
  </si>
  <si>
    <t>@STLMetroBar I am truth and justice and #KimShady is a fraud!
Read all about #KimShady 
'https://t.co/PP89N7htxs
#KimShady to be disbarred!
#moleg #mogov #greitens #GreitensIndictment</t>
  </si>
  <si>
    <t>@1057thePoint @LUXonRadio @SCRyanSTL Read all about #kimshady and Phil Sneed. 
https://t.co/PP89N7htxs
I am truth and justice and #KimShady is a fraud!</t>
  </si>
  <si>
    <t>@LydaKrewson Read the full report on #kimshady. She is the most incompetent and corrupt attorney in history. Here is what every minimally competent attorney thinks about Kim @StLouisCityCA A Few Good Men (4/8) Movie CLIP - Kaffee Melts Down (1992) HD https://t.co/edkTiVRRY3 https://t.co/InixF1S6jf</t>
  </si>
  <si>
    <t>@Sticknstones4 I hope #kimshady knows that is a parody!</t>
  </si>
  <si>
    <t>Download the full #kimshady report. Here is a lighthearted teaser for you.
https://t.co/PP89N7htxs 
#moleg #mogov #greitens #GreitensIndictment 
https://t.co/PP89N7htxs https://t.co/O2nzlf7YuU</t>
  </si>
  <si>
    <t>@SpeakerTimJones DM if you are interested in my paper. I am ready to do more and assist however possible.</t>
  </si>
  <si>
    <t>@J_Hancock @EricGreitens READ IT JASON! THERE ARE QUESTIONS TO BE ASKED.
I am the person Kim Gardner fears most. I am truth and justice and she is a fraud. Learn all about #kimshady
https://t.co/PP89N7htxs 
#moleg #mogov #greitens #GreitensIndictment</t>
  </si>
  <si>
    <t>@Arightside @AllmanReport @GovJayNixon @MoDemParty @MOGOP_Chairman @MOrepublicans 
I am the person Kim Gardner fears most. I am truth and justice and she is a fraud. Learn all about #kimshady
https://t.co/PP89N7htxs 
#moleg #mogov #greitens #GreitensIndictment</t>
  </si>
  <si>
    <t>@Harvard_Law @ProfRonSullivan @baezlawfirm @MOSupremeCt @mobarnews 
I am the person Kim Gardner fears most. I am truth and justice and she is a fraud. Learn all about #kimshady
https://t.co/PP89N7htxs 
#moleg #mogov #greitens #GreitensIndictment</t>
  </si>
  <si>
    <t>@MOHOUSECOMM @kmoxnews @KCStar @stltoday 
I am the person Kim Gardner fears most. I am truth and justice and she is a fraud. Learn all about #kimshady
https://t.co/PP89N7htxs 
#moleg #mogov #greitens #GreitensIndictment #FBI</t>
  </si>
  <si>
    <t>@HawleyMO @SpeakerTimJones @TeamGreitens @SLMPD @esqonfire @JenniferJoyceCA 
I am the person Kim Gardner fears most. I am truth and justice and she is a fraud. Learn all about #kimshady
https://t.co/PP89N7htxs 
#moleg #mogov #greitens #GreitensIndictment #FBI</t>
  </si>
  <si>
    <t>@The_Home_Press @Sticknstones4 I wish he was my governor.</t>
  </si>
  <si>
    <t>@Cardinals 
I am the person Kim Gardner fears most. I am truth and justice and she is a fraud. Learn all about #kimshady
https://t.co/PP89N7htxs
#moleg #mogov #greitens #GreitensIndictment #FBI</t>
  </si>
  <si>
    <t>https://t.co/KwuXtGHIBf</t>
  </si>
  <si>
    <t>@EricGreitens @SheenaGreitens @ElliottDavisTV @KMOV @VisioDeiFromLA @StLouisCityCA @stlcao 
This is Kim Gardner's nightmare. 
DemandForJusticeEricGreitensKatrinaSneedVersion01
https://t.co/PP89N7htxs
#moleg #kimshady #MoLeg #MoGov #Greitens #Missouri #GreitensIndictment</t>
  </si>
  <si>
    <t>@paulcurtman I emailed your (subject line "Gov. Greitens - Kimberly Gardner") office at approximately 11 p.m. on April 2. Please look over the linked materials. You seem to be following my playbook.</t>
  </si>
  <si>
    <t>@christoferguson @SentinelKSMO I wasn’t going to say anything now, but I’ve filed a complaint with the Chief Disciplinary Counsel against Sullivan. I don’t think they’ll do anything with Gardner until after the case. Sullivan is a different story.</t>
  </si>
  <si>
    <t>@SuchHate @TeamGreitens @VisioDeiFromLA @gocrazy4cards @Sticknstones4 @SKOLBLUE1 I know. It was a joke on my part.</t>
  </si>
  <si>
    <t>@SuchHate @TeamGreitens @VisioDeiFromLA @gocrazy4cards @Sticknstones4 @SKOLBLUE1 Like in the bedroom with his wives?</t>
  </si>
  <si>
    <t>@Sticknstones4 @LydaKrewson hope you took into account the judgment St. Louis is going to have to pay @EricGreitens because of @StLouisCityCA @stlcao misconduct. Could be kind of awkward asking @GovGreitensMO to provide additional funds to pay for the judgment.</t>
  </si>
  <si>
    <t>@EricGreitens Stay strong! We got your back and @SheenaGreitens back. We know a persecution when we see it. We all know that this ends with @stlcao @KimGardnerSTL disbarment.</t>
  </si>
  <si>
    <t>@TeamGreitens @VisioDeiFromLA @gocrazy4cards @Sticknstones4 @SKOLBLUE1 @SuchHate Poor little moon so confused. His IQ is probably not much higher than the amount of child support he pays ($0). https://t.co/ySRVXLP5ji</t>
  </si>
  <si>
    <t>@StoryoftheYear Moon doesn’t pay child support for two of his children.@SheenaGreitens @EricGreitens #greitens #greitensindictment</t>
  </si>
  <si>
    <t>@Sticknstones4 @MactavishShawn @RightSideUp313 
https://t.co/s0BOMvvbrr</t>
  </si>
  <si>
    <t>@VisioDeiFromLA The Philip Sneed vendetta has its first casualty. To Phil's shock that casualty was Phil himself. Philip was canned! FYI another band member is married to KS' relative - there is the backstory. #Greitens #moleg #kimshady</t>
  </si>
  <si>
    <t>FYI Ryan Phillips is married to a relative of KS'. There is your "backstory."</t>
  </si>
  <si>
    <t>@StoryoftheYear Phil is the ex-husband of the woman involved in the #Greitens affair. Phil exposed his ex-wife's personal business - causing her great harm. Ryan Phillips is married to a relative of Phil's ex-wife. Phil's ex-wife was wrong to have an affair. What Phil did was far worse.</t>
  </si>
  <si>
    <t>FYI a band member is married to a relative of KS. Undoubtedly that is the "backstory."</t>
  </si>
  <si>
    <t>@Hope4Hopeless1 Not sure what we should call her, but I not what she will be -- disbarred!</t>
  </si>
  <si>
    <t>@MaryBenoist @SKOLBLUE1 @JaneDueker "1057" represents 105.7 the radio station where Phil works. I oppose the mistreatment of women. That is why, Phil had not business dragging his ex-wife into the public spotlight. Why are you not mad at Phil? Why won't you leave KS alone like she asked?</t>
  </si>
  <si>
    <t>@Jemsinger Kim Gardner!</t>
  </si>
  <si>
    <t>@MaryBenoist @SKOLBLUE1 @JaneDueker 61? Do you get your “facts” from KG? Not even close to correct. Eric hasn’t mistreated any woman. Please learn to respect women.</t>
  </si>
  <si>
    <t>@magathemaga1 @LydaKrewson @Sticknstones4 @gocrazy4cards @EricGreitens @LydaKrewson You know St. Louis is vulnerable to a huge judgment. Plus, people are going to dig through @StLouisCityCA old cases and who knows what additional misconduct will be found.</t>
  </si>
  <si>
    <t>@LydaKrewson @magathemaga1 @Sticknstones4 @gocrazy4cards Thank you for confirming what we already knew that @StLouisCityCA @stlcao is leading a witch hunt against @EricGreitens.</t>
  </si>
  <si>
    <t>@jake_Peak1 @EricGreitens What Eric should do when this is over is focus on criminal justice reform. 
Greater accountability for the prosecutor. Reform the grand jury so that is not a prosecutor dominated environment. And more.</t>
  </si>
  <si>
    <t>@jake_Peak1 @EricGreitens He likely would not be running until 2024. Most people never thought Trump would get elected with his baggage. The alternative Hillary had her own baggage. I think people will see through it.</t>
  </si>
  <si>
    <t>@SheenaGreitens I admire your strength and grace in what are clearly trying times. Take care of yourself and your boys.</t>
  </si>
  <si>
    <t>@SheenaGreitens @WallingfordMO Sheena, stay strong! We got your back and we got @EricGreitens back.</t>
  </si>
  <si>
    <t>Does anyone have Sullivans motion to appear pro hac vice filed on 3/5? If so, please post it. Thanks.
#MoLeg #Greitens</t>
  </si>
  <si>
    <t>@jake_Peak1 My thoughts exactly. However, I think @EricGreitens may emerge stronger as the sham case falls apart. People will see it for the persecution that it is.</t>
  </si>
  <si>
    <t>@JaneDueker Jane is not real. Jane says no one will speak to Visio Dei from LA until (s)he reveals self and Jane responded to (s)he so Jane is not real.</t>
  </si>
  <si>
    <t>@SheenaGreitens @Stimson_EAsia Sheena, stay strong. You and Eric are stronger than the evil that attacks your family.</t>
  </si>
  <si>
    <t>@Sticknstones4 @VisioDeiFromLA @JaneDueker @EricGreitens @stlcao Do you suppose she and Eric had a sexual relationship and he spurned her?</t>
  </si>
  <si>
    <t>@VisioDeiFromLA @JaneDueker @EricGreitens @stlcao Jane doesn't need not stinking evidence. She is like KG. I can't understand how a woman can have such hatred for women.</t>
  </si>
  <si>
    <t>@VisioDeiFromLA @JaneDueker @EricGreitens @stlcao Jane is incapable of analyzing the data. She hates Greitens and that is all to her that matters. She doesn't give a damn about KS.</t>
  </si>
  <si>
    <t>@JaneDueker @VisioDeiFromLA @EricGreitens @stlcao Tell your friend KG to DM me and I'll reveal myself to her and answer her questions? The source of an argument is not relevant; it is the merit or lack of that must be accessed. You repeatedly demonstrate that you are insecure in your views by name calling.</t>
  </si>
  <si>
    <t>@JaneDueker @VisioDeiFromLA @EricGreitens @stlcao If KG wants to know who I am tell her to DM proof of her identity and I will reciprocate, and I will explain to her why she is unethical, corrupt, and incompetent.</t>
  </si>
  <si>
    <t>@VisioDeiFromLA @EricGreitens @JaneDueker PS claims Eric "victimized" KS. However, KS kept choosing Eric over PS. What does that say about how PS treated KS?</t>
  </si>
  <si>
    <t>@VisioDeiFromLA @EricGreitens @JaneDueker PS threatened Eric. KS defended Eric to PS.</t>
  </si>
  <si>
    <t>@SKOLBLUE1 @JaneDueker Is Jane upset Eric wouldn't teach her how to do a pull-up? Or, is she upset that there are people who don't have sex with all the lights off and only in the missionary position? Like her?</t>
  </si>
  <si>
    <t>@Str8DonLemon @chadlybrown @EricGreitens Compared to Phil, Barney Fife is attractive!</t>
  </si>
  <si>
    <t>@SKOLBLUE1 @Str8DonLemon @SorosInSTL @iChrisSommers @GovGreitens6 @JaneDueker @roytemple Me too. Looks like @roytemple has something to hide.</t>
  </si>
  <si>
    <t>@K___Garner @RGreggKeller I am not being paid. I am doing this because it is the right thing to do. @StLouisCityCA is an incompetent and corrupt prosecutor. There is no case and there was no victim - until Phil, Kim, and Watkins assaulted her.</t>
  </si>
  <si>
    <t>@DennisPrager @StLouisCityCA is running to be the new Mike Nifong (Duke Lacrosse).</t>
  </si>
  <si>
    <t>@HawleyMO @marthamaccallum @FoxNews If you don't have @EricGreitens back, we don't got your back!</t>
  </si>
  <si>
    <t>@kmoxnews Why do you have a misogynist working there who actively promotes misogyny? @JaneDueker believes a woman isn't entitled to explore her sexuality. She also finds it acceptable to secretly record a woman in a private conversation and release it. 
#KMOX #Greitens #Moleg</t>
  </si>
  <si>
    <t>@JaneDueker I think a grown woman is capable of making her own decisions. Do you support Phil secretly recording her? Do you support Phil releasing the tape over Kitty's objections? Why are you okay with "slut-shaming" this poor woman?</t>
  </si>
  <si>
    <t>@MediumBuying @EricGreitens should talk about @StLouisCityCA corruption. Should also talk about criminal justice reform, Gardner shows how vulnerable we all her to a rogue prosecutor.</t>
  </si>
  <si>
    <t>Also ask yourself this, why does Kitty only single out Phil and the press for violating her?</t>
  </si>
  <si>
    <t>@JaneDueker Here is a problem for you: Phil believe Greitens "victimized" Kitty. Yet, Kitty kept choosing Greitens over Phil (assuming Greitens victimized her) what does that say about what Phil did her?</t>
  </si>
  <si>
    <t>@gocrazy4cards @SKOLBLUE1 @JaneDueker @JaneDueker and @roytemple (the coward) are victimizing Kitty. Get over yourselves. You are using her for your agenda and will discard her to leave her to pickup the pieces of her shattered life - you are evil.</t>
  </si>
  <si>
    <t>@gocrazy4cards @SKOLBLUE1 @JaneDueker Yes @JaneDueker, Kitty is a victim but not of Greitens. She is the victim of Phil, Watkins, and Gardner. I haven't seen you express any concern for Kitty whatsoever. Learn to respect women, please.</t>
  </si>
  <si>
    <t>@gocrazy4cards @SKOLBLUE1 @JaneDueker @JaneDueker admit it you just want Eric to do you!</t>
  </si>
  <si>
    <t>@gocrazy4cards @SKOLBLUE1 @JaneDueker @JaneDueker why are you okay with an unstable ex-husband violating his ex-wife's privacy? Do you not know how abusive that is? All Kitty has asked for is privacy regarding these "allegations." Oh, Kitty let a man who was not her husband tie her up.</t>
  </si>
  <si>
    <t>@gocrazy4cards @SKOLBLUE1 @JaneDueker @JaneDueker is a misogynist. She can't stand Kitty exploring her sexuality. Jane, even Kitty calls them "allegations." Why doesn't Greitens admit under oath the picture? 1st. No picture? Then he would be committing perjury. 2nd A real atty would not need to ask.</t>
  </si>
  <si>
    <t>@SuchHate No SCOTUS. This case will be famous at CLE (attorney continuing education) and in law school. Gardner is going to be famous, but for all the wrong reasons. Perhaps, she and Mike Nifong can get together.</t>
  </si>
  <si>
    <t>@SuchHate No. It is an attorneys duty to defend their client zealously. That is true even in case of murder and pedophilia. Political difference are nothing.</t>
  </si>
  <si>
    <t>@SuchHate @Sticknstones4 @flyoverland @RyanWrecker The dissolution was settled and not tried by court. What if Phil told Kitty he would release the tape if she didn't accept his terms, like no child support? That would also account for why Kitty had no attorney.</t>
  </si>
  <si>
    <t>@SuchHate @Sticknstones4 @flyoverland @RyanWrecker Blackmail!</t>
  </si>
  <si>
    <t>@SuchHate @Sticknstones4 @flyoverland @RyanWrecker More troubling Kitty had no attorney.</t>
  </si>
  <si>
    <t>@SuchHate @Sticknstones4 @flyoverland @RyanWrecker It seems clear Kitty didn't want the tape released because it is very private. Phil could have threatened to release the tape if she didn't go along with his terms. I come back to no child support for two children and it certainly can't have them 50% of time.</t>
  </si>
  <si>
    <t>@Sticknstones4 same for me to you</t>
  </si>
  <si>
    <t>@Sticknstones4 @SuchHate @flyoverland @RyanWrecker That has always been my belief. I would love to know why Philip is paying no child support for two children. Even though they have joint legal and physical custody, I can't believe he has them close to 50%.</t>
  </si>
  <si>
    <t>@Sticknstones4 @magathemaga1 @JaneDueker @CStamper_ Finds it perfectly acceptable that man subjugates his ex-wife to satisfy his personal issues. Endorses exposure of woman's private life. Mocks woman for exploring her sexuality. Some feminist!</t>
  </si>
  <si>
    <t>@Sticknstones4 Done</t>
  </si>
  <si>
    <t>@Sticknstones4 Saw your Dm request but was unable to message you. You should be able to dm me.</t>
  </si>
  <si>
    <t>@SuchHate @Sticknstones4 @flyoverland @RyanWrecker Affair continued after tape - tape was late March. Affair went until September.</t>
  </si>
  <si>
    <t>@Sticknstones4 @SuchHate @flyoverland @RyanWrecker How do you know that he coerced her? That has been my theory.</t>
  </si>
  <si>
    <t>@SuchHate @Sticknstones4 @flyoverland @RyanWrecker Do you have any connections to Kitty? Aside from the link to Phil.</t>
  </si>
  <si>
    <t>Formerly "bobross1974."</t>
  </si>
  <si>
    <t>@GovGreitens6 Are you connected directly or indirectly to @EricGreitens or other figures in this train wreck?</t>
  </si>
  <si>
    <t>@SuchHate Recently read a quote about relationships overcoming an affair. It said, the question is whether your love is great enough to overcome profound failure. For Eric and Sheena it appears so. For Katrina and Phil it was not.</t>
  </si>
  <si>
    <t>@SuchHate Eric's family values to me only Sheena can judge. She is obviously smart and independent so I don't see her as just a dutiful wife. In public pictures (unlike other politicians) of them, I see something in the way she looks at him real love. For me that is the end of the story.</t>
  </si>
  <si>
    <t>@SuchHate Would not surprise me if Phil was get side action on the road? That has been my sense about Katrina that she was lonely. Frankly, if I were a woman, and was married to man-child Phil and had the opportunity to have sex with a Navy Seal, I'd take it.</t>
  </si>
  <si>
    <t>@SuchHate I'm not familiar with Eric's politics. I do feel awful for Katrina, Sheena, and Eric. Philip seems like he was at least emotionally abusive to Katrina. He is still trying to control her life.</t>
  </si>
  <si>
    <t>You responded to me yesterday and indicated it was about money. Attorneys can be a funny bunch (more than one way to skin a cat). Was Watkins approach to a friend a way of avoiding blackmail by hoping to prompt an offer from Eric to buy silence?</t>
  </si>
  <si>
    <t>Do you know directly or indirectly Eric?
Do you know directly or indirectly Sheena?
Do you know directly or indirectly Katrina?
Do you know directly or indirectly Philip?
Do you know directly or indirectly JW?
Do you know directly or indirectly Watkins?</t>
  </si>
  <si>
    <t>@SuchHate you have my interest. Reading your feed I gather you are a woman, who had a partner that cheated on you and left you while pregnant, and for that reason alone you not a super big fan of Eric.
#greitens #moleg #mogov</t>
  </si>
  <si>
    <t>Can anyone explain why @JaneDueker @roytemple are okay with an ex-husband Philip Sneed subjugating his ex-wife to his will? They both appear to be very misogynistic. "We know what is better for the little lady." #Misogynist #greitens</t>
  </si>
  <si>
    <t>@JaneDueker Why are you so afraid of a woman's sexuality? That is very misogynistic. A woman has a consensual relationship and asks for privacy. You and others choose to expose it. It is kind of like rape - you know evil.</t>
  </si>
  <si>
    <t>@Irish1Brian @KMOXKilleen @StLouisCityCA @EricGreitens No.</t>
  </si>
  <si>
    <t>@LaurenTrager @EricGreitens @KMOV Judge is a coward. He is also illiterate as to the law.</t>
  </si>
  <si>
    <t>@esqonfire Let's be frank the Judge is a coward. He doesn't want to render a verdict. He still has a chance to do that right thing and dismiss the indictment.</t>
  </si>
  <si>
    <t>@kmoxnews Friendly tip @StLouisCityCA @stlcao. It is not only illegal to bribe a judge it is also illegal to bribe a jury (that includes threats).</t>
  </si>
  <si>
    <t>@Stargatelady99 @KMOXKilleen @kmoxnews No. It is called the law. You cannot indict someone for a nonexistent offense and have no evidence and hope to prevail. Consider if that is allowed to happen to a Governor what is there for people like you and me.</t>
  </si>
  <si>
    <t>@KMOXKilleen No winds shifting. @StLouisCityCA was always walking into the winds with her fraudulent indictment and no evidence case. It is only a question of when @EricGreitens prevails not when.</t>
  </si>
  <si>
    <t>@SuchHate @magathemaga1 Would this be what you are referring to: "Before the election, Watkins said, he reached out to a friend with connections to the Greitens family to deliver a message from the husband that as long as Greitens stayed out of his life, he would remain quiet." Indirect blackmail?</t>
  </si>
  <si>
    <t>@Markknight45 @AllmanReport Agreed. Sheena has already "handled" it. She and Eric are entitled to move on with their marriage and lives.</t>
  </si>
  <si>
    <t>@esqonfire The argument that there is no right to a bench trial has never made sense. The def. has right to a jury trial and its his right to waive. Its would be like saying def. can't waive right not to testify or can't consent to a search.</t>
  </si>
  <si>
    <t>@EricGreitens @UCMWBB Stay strong! The light at the end of the tunnel grows brighter. As twilight comes for @StLouisCityCA days as a lawyer.</t>
  </si>
  <si>
    <t>@Avidbluesfan @FOX2now Micky Mouse could still successfully defend @EricGreitens!</t>
  </si>
  <si>
    <t>@jdavidsonlawyer @ws_missouri Because you seem to take comfort in the idea that those who disagree are Russian Idiots, it only demonstrates that you are very insecure in your views. I will not engage with you again.</t>
  </si>
  <si>
    <t>@jdavidsonlawyer @ws_missouri Using a cell phone could be criminal, if you "subsequently" "transmitted" the photo via usb or other method the photo to another device. There is simply no evidence that happened here.</t>
  </si>
  <si>
    <t>@jdavidsonlawyer @ws_missouri Thank you for demonstrating your ignorance. I was born in and have lived in the United States my whole life. "Old Glory" as I sit here is flying proudly in my yard.</t>
  </si>
  <si>
    <t>@jdavidsonlawyer @ws_missouri "The photograph is automatically transmitted to the computer." also incorrect basic definition of transmission means from one place to another place. The computer-phone is one and the same so no transmission there.</t>
  </si>
  <si>
    <t>@jdavidsonlawyer @ws_missouri Plus no evidence of sync setting OR what files were synced.</t>
  </si>
  <si>
    <t>@jdavidsonlawyer @ws_missouri The statute requires that photo be "subsequently" transmitted." Your interpretation would read "subsequently" and "transmitted" out of the statute. As you should know, basic rule of statutory interpretation all words given effect.</t>
  </si>
  <si>
    <t>@JaneDueker The grievance that I am preparing against Gardner et. al. Difficult time keeping track of all the Prof.Cond.R. violations. Was thinking about just naming the rules she hasn't violated--much shorter, but not proper.</t>
  </si>
  <si>
    <t>@joelcurrier When attys write "on information and belief" it means no evidence only that someone said it, and I believe it. Like a child with St. Claus. Not unusual in civil complaint or warrant. Strange here. Trying to manufacture conflict. Prosecution can't win on "could have."</t>
  </si>
  <si>
    <t>@kbellpd @joelcurrier When attorneys write "on information and belief" it means no evidence only that someone said it, and I believe it. Like a child with St. Claus. Not unusual in civil complaint or warrant. Very strange here. Trying to manufacture conflict. Prosecution can't win on "could have."</t>
  </si>
  <si>
    <t>@KMOV It is done to protect against perjury and ethical violations.</t>
  </si>
  <si>
    <t>@KMOV When attorneys write "on information and belief" it means no evidence only that someone said it, and I believe it. Like a child with St. Claus. Not unusual in civil complaint or warrant. Very strange here. Trying to manufacture conflict. Saying no proof Confine was used.</t>
  </si>
  <si>
    <t>@KCStar @StLouisCityCA theory. Photo taken on phone no one saw present. Photo was for blackmail so it was sent by app to self-destruct. Presumably to another device for safe-keeping for blackmail thereby making the self-destruct futile. Oh, and no one has seen photo.</t>
  </si>
  <si>
    <t>@KCStar No. Idol speculation by the prosecution will get you nowhere.</t>
  </si>
  <si>
    <t>Has anyone found Philip Sneed's Twitter post to @EricGreitens without his handle censored? #greitens #PhillipTaylorSneed @HereLiesMoon #MoonValjean</t>
  </si>
  <si>
    <t>@Joe_Cool_1 @HereLiesMoon @EricGreitens Anyone have the motion itself?</t>
  </si>
  <si>
    <t>@Sticknstones4 Yes. I am beginning to wonder if @StLouisCityCA @stlcao suffers from some psychiatric delusional disorder.</t>
  </si>
  <si>
    <t>@esqonfire Based on MO practice, what are the chances #greitens gets bench trial?</t>
  </si>
  <si>
    <t>@Str8DonLemon @BryanLowry3 Yes, #PhilipSneed. Your ex-wife wanted to experience a real man as opposed to you a man-child. You know sex with a magnifying glass and tweezers was no good for her.</t>
  </si>
  <si>
    <t>@FOX2now Can we get @StLouisCityCA @stlcao a psychological assessment?</t>
  </si>
  <si>
    <t>@Jackthrripper17 @LaurenTrager @KMOV She’s not. I wonder how Philip got out of it? Tape used as leverage?</t>
  </si>
  <si>
    <t>@SheenaGreitens I hope you are doing well. The light at the end of tunnel is growing brighter. Stay strong! @EricGreitens</t>
  </si>
  <si>
    <t>@tonymess @HawleyMO @confide Call me when they write a similar letter about @StLouisCityCA!</t>
  </si>
  <si>
    <t>@christoferguson @StLouisCityCA @stlcao Give Tisaby a break the man lies under oath -- Gardner will probably argue that he can't be believed.</t>
  </si>
  <si>
    <t>@KMOV @stlcao @StLouisCityCA you are done. "The prosecutor ... shall:  (a) refrain from prosecuting a charge that the prosecutor knows is not supported by probable cause." Prof.Cond.R. 4-3.8(a). @GovGreitensMO @GovGreitens6 @EricGreitens @SheenaGreitens</t>
  </si>
  <si>
    <t>@T_N_B7 @GovGreitensMO doesn't have strong allies in Leg. and impeachment is about politics. After he is acquitted then it becomes more difficult for political impeachment. Why would he trust a jury pool of the political opposition?</t>
  </si>
  <si>
    <t>@T_N_B7 You are the perfect example of why @GovGreitensMO doesn't want a jury trial. Fools like you do not understand it is about the law and evidence - not a popularity or policy contest. And you claim to be an attorney! #moleg #mogov #Greitens</t>
  </si>
  <si>
    <t>@AllenTruitt1 This is case with basic legal issues and very simple factual allegations. Any attorney who can't try this case should surrender the license. In fairness no attorney can overcome the issue of no evidence. @StLouisCityCA #Greitens</t>
  </si>
  <si>
    <t>@SKOLBLUE1 @EricGreitens @stlcao @StLouisCityCA I feel so bad for K.S. being used and abused like this by @StLouisCityCA.</t>
  </si>
  <si>
    <t>@EricGreitens Stand strong! The house of cards built by @stlcao @StLouisCityCA is ready to collapse.</t>
  </si>
  <si>
    <t>@roytemple @GovGreitensMO does not have to worry about the criminal case. Impeachment only. @StLouisCityCA needs to worry about disbarment.</t>
  </si>
  <si>
    <t>@roytemple Horrible theory! Being convicted on Tue. guarantees impeachment on Mon. @GovGreitensMO doesn't have strong allies in Leg. and impeachment is about politics. After he is acquitted then it becomes more difficult for political impeachment.</t>
  </si>
  <si>
    <t>@JaneDueker @EricGreitens I always thought it was stupid to want a jury in this case. It is a heavily democratic area and @StLouisCityCA supporters have already thrown the race card.</t>
  </si>
  <si>
    <t>@JaneDueker @GovGreitensMO wants his day in court. He wants a  a speedy trial as guaranteed by the US and Missouri Constitutions. And you draw from that he "look[s] guilty." I guess you just play a lawyer on tv! I hear his also demanding @StLouisCityCA prove guilt beyond reasonable doubt.</t>
  </si>
  <si>
    <t>@lindsaywise @EricGreitens @StLouisCityCA Jury trials are not part of the attorney discipline process. May be if you ask for your trial before the disciplinary committee and subsequent disbarment they will create the Gardner Exception and permit a jury. (2/2)</t>
  </si>
  <si>
    <t>@lindsaywise @EricGreitens @StLouisCityCA @GovGreitensMO @stlcao @esqonfire @Str8DonLemon @SheenaGreiten @PeteS77252077 @KMOV In Missouri a bench trial requires the consent of the defendant AND the court. It will almost certainly be granted. (1/2)</t>
  </si>
  <si>
    <t>@SKOLBLUE1 @Str8DonLemon @EricGreitens @CStamper_ @jallman971 @JohnLamping @ElliottDavisTV @DRUDGE How do you expect him to satisfy any woman? Sex with him probably requires a magnifying glass and tweezers.</t>
  </si>
  <si>
    <t>@kendylei And the sky is purple!</t>
  </si>
  <si>
    <t>@magathemaga1 @PeteS77252077 @MobSquadRams @JaneDueker @EricGreitens @AGJoshHawley What press conference? Link?</t>
  </si>
  <si>
    <t>@stlcao So too is a competent and ethical prosecutor. When will you be replacing Kim Gardner with such a person?</t>
  </si>
  <si>
    <t>@CStamper_ I'm surprised. I figured the reason @stlcao had KS' headshot was to photoshop it onto a adult stars' body. 
Perhaps, just use a picture of Dakota Johnson?</t>
  </si>
  <si>
    <t>@ScottCharton @BradKetcher @jmannies @EricGreitens Sometime you just batten down the hatches and ride out the storm.</t>
  </si>
  <si>
    <t>@ScottCharton @BradKetcher @jmannies @EricGreitens The winning move is not to play the press' game. @GovGreitensMO does not need to concern himself with the criminal case. IF it gets to trial, he will still win. He should be more concerned with the @moleg but as @stlcao continues to disintegrate his odds there are better.</t>
  </si>
  <si>
    <t>@ScottCharton @BradKetcher @jmannies @EricGreitens @StLouisCityCA Have they reported on the date in the indictment. Frankly, as far as I know I am the first person to bring that information out? Do you know what I am talking about. Look at the indictment screenshot on my page.</t>
  </si>
  <si>
    <t>@ScottCharton @BradKetcher @jmannies @EricGreitens @StLouisCityCA I said that they are not knocking her door down for answers.</t>
  </si>
  <si>
    <t>@SenatorNasheed You do not get to manufacture complaints and @stlcao use a corrupt prosecutor (now persecutor) to overturn a democratic election. But thanks for playing. #moleg</t>
  </si>
  <si>
    <t>@ScottCharton @BradKetcher @jmannies @EricGreitens Nor, have they asked why the indictment was drafted in December before there was anything to “investigate.” I can go on. (3/3)</t>
  </si>
  <si>
    <t>@ScottCharton @BradKetcher @jmannies @EricGreitens That @StLouisCityCA claimed to hire Entrra because of its lack of connection to Missouri. Yet, the Tisaby has lied under oath, lied in his biography, and HAS lived in St. Louis. (2/3)</t>
  </si>
  <si>
    <t>@ScottCharton @BradKetcher @jmannies @EricGreitens Because the aren't pounding down @StLouisCityCA door asking why she is spending tens of thousand of dollars on out-of state investigator. That the taxpayers are on the hook for up to $120k for a prosecutor. In a case with basic legal issues and no evidentiary complexity. (1/3)</t>
  </si>
  <si>
    <t>@GovGreitensMO @EricGreitens @SheenaGreitens You have my support against the malicious prosecution being conducted by @stlcao @StLouisCityCA. As the saying goes, Kim Gardner must have been absent the day they taught law in law school. I was there every day.</t>
  </si>
  <si>
    <t>@ScottCharton @BradKetcher @jmannies @EricGreitens Why take questions from a partisan media?</t>
  </si>
  <si>
    <t>@CMReischman It is like the boy who murders his parents and then begs for mercy because he is an orphan. @GovGreitensMO opponents manufacture complaints and then say @GovGreitensMO can't do anything because of the manufactured complaints. #moleg</t>
  </si>
  <si>
    <t>@A_Tall_Turner @CStamper_ I am sorry that you are sexphobic.</t>
  </si>
  <si>
    <t>@Hope4Hopeless1 @stltoday Any chance one of the women was @KimGardnerSTL @StLouisCityCA?</t>
  </si>
  <si>
    <t>@PeteS77252077 As far as I know, he was married once before K.S. and had two children with his first wife. There was a paternity question as to the one child.</t>
  </si>
  <si>
    <t>@PeteS77252077 I am not local but I am an attorney. I have written a 17 page letter to the investigative committee with a copy to @EricGreitens and his attorneys. I believe you are correct. I am not big on social media and opened account just to defend @EricGreitens.</t>
  </si>
  <si>
    <t>@PeteS77252077 I don’t read much into this. KS appears to really value her privacy. If she were part of a conspiracy, she would be on tv crying her eyes about how Greitens abused her.</t>
  </si>
  <si>
    <t>According to Watkins, the guy paid to say nice things about P.S., he is emotionally unstable. Maybe that explains it. (3/3)
https://t.co/7l2Z689KaQ https://t.co/jOazKymrjB</t>
  </si>
  <si>
    <t>What did P.S. want the tape for? (2/3) Why did he demand explicit sexual details from K.S? (2/3)</t>
  </si>
  <si>
    <t>@KMOV @LaurenTrager What husband lies to his wife about keeping a conversation private by secretly recording and releasing the tape? #moleg #greitens #GreitensIndictment #PhillipTaylorSneed @HereLiesMoon #MoonValjean (1/3)</t>
  </si>
  <si>
    <t>@FOX2now @stlcao @StLouisCityCA searched so far and wide for impartial investigators only to hire a perjurer. Coincidence? #moleg #greitens #GreitensIndictment #PhillipTaylorSneed @HereLiesMoon #MoonValjean</t>
  </si>
  <si>
    <t>@LaurenTrager @EricGreitens @stlcao @KMOV @LaurenTrager how do you prepare an indictment before beginning an investigation? See right side of footer. #GreitensIndictment  #GreitensIndictment #HereLiesMoon @HereLiesMoon https://t.co/GwW6Gm1RCY</t>
  </si>
  <si>
    <t>@FOX2now This is going to be awkward. 
Defense Attorney: "Mr. Tisaby, have you ever lied under oath?"
Tisaby: "Ah......"</t>
  </si>
  <si>
    <t>@thisisjames @FOX2now The irony, of course, if he did invade her privacy by taking the photo it never went beyond his eyes. P.S. was far more intrusive in secretly recording and releasing the tape. Gardner with her investigation was far more intrusive.</t>
  </si>
  <si>
    <t>@FOX2now A friendly reminder to the young attorneys in @StLouisCityCA @stlcao office, under Prof.Cond.R. 4-5.2(a) "I was just following orders" is not a defense. #greitens #moleg</t>
  </si>
  <si>
    <t>@HereLiesMoon @esqonfire @Joe_Cool_1 P.S. trivia. He was married to another woman before K.S. Did you know in that divorce there was a paternity issue? Apparently, the women in P.S.'s life can't wait to get away from him. #moleg #greitens #PhillipTaylorSneed  #MoonValjean</t>
  </si>
  <si>
    <t>@StLouisCityCA @cao Corrupt Prosecutors
Bad prosecutors!
What'cha want? What'cha want?
What'cha gonna do
When the Office of Chief Disciplinary Counsel come for you 
Kim Gardner edition. #greitens #GreitensIndictment</t>
  </si>
  <si>
    <t>@Joe_Cool_1 @esqonfire @GovGreitensMO @SheenaGreitens @MOleg @kendylei @stlcao @EricGreitens @StLouisCityCA @Arightside @KMOV @AGJoshHawley @KimGardnerSTL @HereLiesMoon @1057thePoint @RizzShow Where do you get she “cooperating?” Even she is “cooperating” that does not mean it is voluntary. I’d be surprised if it is voluntary.</t>
  </si>
  <si>
    <t>@Joe_Cool_1 @esqonfire @GovGreitensMO @SheenaGreitens @MOleg @kendylei @stlcao @EricGreitens @StLouisCityCA @Arightside @KMOV @AGJoshHawley @KimGardnerSTL @HereLiesMoon @1057thePoint @RizzShow I feel bad for K.S. I believe she was and is a victim, but NOT of @GovGreitensMO. #moleg #greitens #GreitensIndictment</t>
  </si>
  <si>
    <t>FYI, look on the right side of the footer.</t>
  </si>
  <si>
    <t>Tell me! How does one prepare an indictment before beginning any investigation?  @esqonfire @GovGreitensMO @SheenaGreitens @moleg @kendylei @stlcao @EricGreitens @StLouisCityCA @Joe_Cool_1 @Arightside @kmov @AGJoshHawley #GreitensIndictment #greitens https://t.co/zyUFfeqNk2</t>
  </si>
  <si>
    <t>@joelcurrier @EricGreitens Does anyone know how to get in touch with Mr. Warren? I would like to discuss his article with him.</t>
  </si>
  <si>
    <t>@CStamper_ How can @stlcao @StLouisCityCA not have one competent prosecutor in her office to try a case with very basic legal issues and no evidentiary complexity? She admits she and her staff are incompetent. #GreitensIndictment #greitens #moleg</t>
  </si>
  <si>
    <t>When  @StLouisCityCA @stlcao opens an investigation or prosecutes a case because @GovGreitensMO is the accused Gardner ceased to be a prosecutor and became a persecutor. #greitens #GreitensIndictment #StLouisPersecutor</t>
  </si>
  <si>
    <t>*Plus expenses.</t>
  </si>
  <si>
    <t>Would @StLouisCityCA @stlcao have retained out-of-state to prosecute this case that involves basic legal questions and no evidentiary complexity if it did not involve @GovGreitensMO? Taxpayers are paying over $100k.  #greitens #GreitensIndictment #StLouisPersecutor (4/4)</t>
  </si>
  <si>
    <t>Would @StLouisCityCA @stlcao have retained out-of-state investigators if it did not involve @GovGreitensMO? Taxpayers are paying $250 pre hour per person.  #greitens #GreitensIndictment #StLouisPersecutor (3/4)</t>
  </si>
  <si>
    <t>Would @StLouisCityCA @stlcao  have opened an investigation without a victim complaint if it did not involve @GovGreitensMO?  #greitens #GreitensIndictment #StLouisPersecutor (2/4)</t>
  </si>
  <si>
    <t>Ask yourselves the following:
Would @StLouisCityCA @stlcao have opened an investigation based on the tape if it did not involve @GovGreitensMO? #greitens #GreitensIndictment #StLouisPersecutor (1/4)</t>
  </si>
  <si>
    <t>@stlcao @StLouisCityCA 
Corrupt Prosecutors
Bad prosecutors!
What'cha want? What'cha want?
What'cha gonna do
When the Office of Chief Disciplinary Counsel come for you 
Kim Gardner edition. #greitens #GreitensIndictment</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</si>
</sst>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2554"/>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HYPERLINK("http://www.twitter.com/NathanBLawrence/status/998952566821138433", "998952566821138433")</f>
        <v/>
      </c>
      <c r="B2" s="2" t="n">
        <v>43242.65539351852</v>
      </c>
      <c r="C2" t="n">
        <v>0</v>
      </c>
      <c r="D2" t="n">
        <v>4</v>
      </c>
      <c r="E2" t="s">
        <v>13</v>
      </c>
      <c r="F2" t="s"/>
      <c r="G2" t="s"/>
      <c r="H2" t="s"/>
      <c r="I2" t="s"/>
      <c r="J2" t="n">
        <v>-0.5994</v>
      </c>
      <c r="K2" t="n">
        <v>0.255</v>
      </c>
      <c r="L2" t="n">
        <v>0.608</v>
      </c>
      <c r="M2" t="n">
        <v>0.137</v>
      </c>
    </row>
    <row r="3" spans="1:13">
      <c r="A3" s="1">
        <f>HYPERLINK("http://www.twitter.com/NathanBLawrence/status/998952542611615744", "998952542611615744")</f>
        <v/>
      </c>
      <c r="B3" s="2" t="n">
        <v>43242.65532407408</v>
      </c>
      <c r="C3" t="n">
        <v>7</v>
      </c>
      <c r="D3" t="n">
        <v>4</v>
      </c>
      <c r="E3" t="s">
        <v>14</v>
      </c>
      <c r="F3" t="s"/>
      <c r="G3" t="s"/>
      <c r="H3" t="s"/>
      <c r="I3" t="s"/>
      <c r="J3" t="n">
        <v>-0.7717000000000001</v>
      </c>
      <c r="K3" t="n">
        <v>0.24</v>
      </c>
      <c r="L3" t="n">
        <v>0.664</v>
      </c>
      <c r="M3" t="n">
        <v>0.096</v>
      </c>
    </row>
    <row r="4" spans="1:13">
      <c r="A4" s="1">
        <f>HYPERLINK("http://www.twitter.com/NathanBLawrence/status/998951351563489281", "998951351563489281")</f>
        <v/>
      </c>
      <c r="B4" s="2" t="n">
        <v>43242.65203703703</v>
      </c>
      <c r="C4" t="n">
        <v>0</v>
      </c>
      <c r="D4" t="n">
        <v>1</v>
      </c>
      <c r="E4" t="s">
        <v>15</v>
      </c>
      <c r="F4" t="s"/>
      <c r="G4" t="s"/>
      <c r="H4" t="s"/>
      <c r="I4" t="s"/>
      <c r="J4" t="n">
        <v>-0.7579</v>
      </c>
      <c r="K4" t="n">
        <v>0.297</v>
      </c>
      <c r="L4" t="n">
        <v>0.636</v>
      </c>
      <c r="M4" t="n">
        <v>0.067</v>
      </c>
    </row>
    <row r="5" spans="1:13">
      <c r="A5" s="1">
        <f>HYPERLINK("http://www.twitter.com/NathanBLawrence/status/998951309930790913", "998951309930790913")</f>
        <v/>
      </c>
      <c r="B5" s="2" t="n">
        <v>43242.6519212963</v>
      </c>
      <c r="C5" t="n">
        <v>0</v>
      </c>
      <c r="D5" t="n">
        <v>1</v>
      </c>
      <c r="E5" t="s">
        <v>16</v>
      </c>
      <c r="F5" t="s"/>
      <c r="G5" t="s"/>
      <c r="H5" t="s"/>
      <c r="I5" t="s"/>
      <c r="J5" t="n">
        <v>-0.7579</v>
      </c>
      <c r="K5" t="n">
        <v>0.297</v>
      </c>
      <c r="L5" t="n">
        <v>0.636</v>
      </c>
      <c r="M5" t="n">
        <v>0.067</v>
      </c>
    </row>
    <row r="6" spans="1:13">
      <c r="A6" s="1">
        <f>HYPERLINK("http://www.twitter.com/NathanBLawrence/status/998951275264987137", "998951275264987137")</f>
        <v/>
      </c>
      <c r="B6" s="2" t="n">
        <v>43242.6518287037</v>
      </c>
      <c r="C6" t="n">
        <v>1</v>
      </c>
      <c r="D6" t="n">
        <v>1</v>
      </c>
      <c r="E6" t="s">
        <v>17</v>
      </c>
      <c r="F6" t="s"/>
      <c r="G6" t="s"/>
      <c r="H6" t="s"/>
      <c r="I6" t="s"/>
      <c r="J6" t="n">
        <v>-0.7579</v>
      </c>
      <c r="K6" t="n">
        <v>0.319</v>
      </c>
      <c r="L6" t="n">
        <v>0.608</v>
      </c>
      <c r="M6" t="n">
        <v>0.07199999999999999</v>
      </c>
    </row>
    <row r="7" spans="1:13">
      <c r="A7" s="1">
        <f>HYPERLINK("http://www.twitter.com/NathanBLawrence/status/998951226950680577", "998951226950680577")</f>
        <v/>
      </c>
      <c r="B7" s="2" t="n">
        <v>43242.65168981482</v>
      </c>
      <c r="C7" t="n">
        <v>1</v>
      </c>
      <c r="D7" t="n">
        <v>1</v>
      </c>
      <c r="E7" t="s">
        <v>18</v>
      </c>
      <c r="F7" t="s"/>
      <c r="G7" t="s"/>
      <c r="H7" t="s"/>
      <c r="I7" t="s"/>
      <c r="J7" t="n">
        <v>-0.7579</v>
      </c>
      <c r="K7" t="n">
        <v>0.319</v>
      </c>
      <c r="L7" t="n">
        <v>0.608</v>
      </c>
      <c r="M7" t="n">
        <v>0.07199999999999999</v>
      </c>
    </row>
    <row r="8" spans="1:13">
      <c r="A8" s="1">
        <f>HYPERLINK("http://www.twitter.com/NathanBLawrence/status/998948388950413312", "998948388950413312")</f>
        <v/>
      </c>
      <c r="B8" s="2" t="n">
        <v>43242.64386574074</v>
      </c>
      <c r="C8" t="n">
        <v>1</v>
      </c>
      <c r="D8" t="n">
        <v>1</v>
      </c>
      <c r="E8" t="s">
        <v>19</v>
      </c>
      <c r="F8" t="s"/>
      <c r="G8" t="s"/>
      <c r="H8" t="s"/>
      <c r="I8" t="s"/>
      <c r="J8" t="n">
        <v>0.6705</v>
      </c>
      <c r="K8" t="n">
        <v>0</v>
      </c>
      <c r="L8" t="n">
        <v>0.703</v>
      </c>
      <c r="M8" t="n">
        <v>0.297</v>
      </c>
    </row>
    <row r="9" spans="1:13">
      <c r="A9" s="1">
        <f>HYPERLINK("http://www.twitter.com/NathanBLawrence/status/998947876024745985", "998947876024745985")</f>
        <v/>
      </c>
      <c r="B9" s="2" t="n">
        <v>43242.64244212963</v>
      </c>
      <c r="C9" t="n">
        <v>0</v>
      </c>
      <c r="D9" t="n">
        <v>0</v>
      </c>
      <c r="E9" t="s">
        <v>20</v>
      </c>
      <c r="F9" t="s"/>
      <c r="G9" t="s"/>
      <c r="H9" t="s"/>
      <c r="I9" t="s"/>
      <c r="J9" t="n">
        <v>0.6705</v>
      </c>
      <c r="K9" t="n">
        <v>0</v>
      </c>
      <c r="L9" t="n">
        <v>0.703</v>
      </c>
      <c r="M9" t="n">
        <v>0.297</v>
      </c>
    </row>
    <row r="10" spans="1:13">
      <c r="A10" s="1">
        <f>HYPERLINK("http://www.twitter.com/NathanBLawrence/status/998947693073457152", "998947693073457152")</f>
        <v/>
      </c>
      <c r="B10" s="2" t="n">
        <v>43242.64194444445</v>
      </c>
      <c r="C10" t="n">
        <v>0</v>
      </c>
      <c r="D10" t="n">
        <v>0</v>
      </c>
      <c r="E10" t="s">
        <v>21</v>
      </c>
      <c r="F10" t="s"/>
      <c r="G10" t="s"/>
      <c r="H10" t="s"/>
      <c r="I10" t="s"/>
      <c r="J10" t="n">
        <v>0.1027</v>
      </c>
      <c r="K10" t="n">
        <v>0.124</v>
      </c>
      <c r="L10" t="n">
        <v>0.73</v>
      </c>
      <c r="M10" t="n">
        <v>0.146</v>
      </c>
    </row>
    <row r="11" spans="1:13">
      <c r="A11" s="1">
        <f>HYPERLINK("http://www.twitter.com/NathanBLawrence/status/998947480086736896", "998947480086736896")</f>
        <v/>
      </c>
      <c r="B11" s="2" t="n">
        <v>43242.64135416667</v>
      </c>
      <c r="C11" t="n">
        <v>0</v>
      </c>
      <c r="D11" t="n">
        <v>0</v>
      </c>
      <c r="E11" t="s">
        <v>22</v>
      </c>
      <c r="F11" t="s"/>
      <c r="G11" t="s"/>
      <c r="H11" t="s"/>
      <c r="I11" t="s"/>
      <c r="J11" t="n">
        <v>0.6705</v>
      </c>
      <c r="K11" t="n">
        <v>0</v>
      </c>
      <c r="L11" t="n">
        <v>0.703</v>
      </c>
      <c r="M11" t="n">
        <v>0.297</v>
      </c>
    </row>
    <row r="12" spans="1:13">
      <c r="A12" s="1">
        <f>HYPERLINK("http://www.twitter.com/NathanBLawrence/status/998933866453897216", "998933866453897216")</f>
        <v/>
      </c>
      <c r="B12" s="2" t="n">
        <v>43242.60378472223</v>
      </c>
      <c r="C12" t="n">
        <v>0</v>
      </c>
      <c r="D12" t="n">
        <v>5</v>
      </c>
      <c r="E12" t="s">
        <v>23</v>
      </c>
      <c r="F12" t="s"/>
      <c r="G12" t="s"/>
      <c r="H12" t="s"/>
      <c r="I12" t="s"/>
      <c r="J12" t="n">
        <v>-0.91</v>
      </c>
      <c r="K12" t="n">
        <v>0.459</v>
      </c>
      <c r="L12" t="n">
        <v>0.459</v>
      </c>
      <c r="M12" t="n">
        <v>0.082</v>
      </c>
    </row>
    <row r="13" spans="1:13">
      <c r="A13" s="1">
        <f>HYPERLINK("http://www.twitter.com/NathanBLawrence/status/998933104386506753", "998933104386506753")</f>
        <v/>
      </c>
      <c r="B13" s="2" t="n">
        <v>43242.60168981482</v>
      </c>
      <c r="C13" t="n">
        <v>0</v>
      </c>
      <c r="D13" t="n">
        <v>0</v>
      </c>
      <c r="E13" t="s">
        <v>24</v>
      </c>
      <c r="F13" t="s"/>
      <c r="G13" t="s"/>
      <c r="H13" t="s"/>
      <c r="I13" t="s"/>
      <c r="J13" t="n">
        <v>0</v>
      </c>
      <c r="K13" t="n">
        <v>0</v>
      </c>
      <c r="L13" t="n">
        <v>1</v>
      </c>
      <c r="M13" t="n">
        <v>0</v>
      </c>
    </row>
    <row r="14" spans="1:13">
      <c r="A14" s="1">
        <f>HYPERLINK("http://www.twitter.com/NathanBLawrence/status/998931539529486336", "998931539529486336")</f>
        <v/>
      </c>
      <c r="B14" s="2" t="n">
        <v>43242.59736111111</v>
      </c>
      <c r="C14" t="n">
        <v>0</v>
      </c>
      <c r="D14" t="n">
        <v>1</v>
      </c>
      <c r="E14" t="s">
        <v>25</v>
      </c>
      <c r="F14">
        <f>HYPERLINK("http://pbs.twimg.com/media/DdzqnqNVMAMVK2_.jpg", "http://pbs.twimg.com/media/DdzqnqNVMAMVK2_.jpg")</f>
        <v/>
      </c>
      <c r="G14" t="s"/>
      <c r="H14" t="s"/>
      <c r="I14" t="s"/>
      <c r="J14" t="n">
        <v>-0.0516</v>
      </c>
      <c r="K14" t="n">
        <v>0.107</v>
      </c>
      <c r="L14" t="n">
        <v>0.793</v>
      </c>
      <c r="M14" t="n">
        <v>0.1</v>
      </c>
    </row>
    <row r="15" spans="1:13">
      <c r="A15" s="1">
        <f>HYPERLINK("http://www.twitter.com/NathanBLawrence/status/998931499377455104", "998931499377455104")</f>
        <v/>
      </c>
      <c r="B15" s="2" t="n">
        <v>43242.59725694444</v>
      </c>
      <c r="C15" t="n">
        <v>1</v>
      </c>
      <c r="D15" t="n">
        <v>1</v>
      </c>
      <c r="E15" t="s">
        <v>26</v>
      </c>
      <c r="F15">
        <f>HYPERLINK("http://pbs.twimg.com/media/DdzqnqNVMAMVK2_.jpg", "http://pbs.twimg.com/media/DdzqnqNVMAMVK2_.jpg")</f>
        <v/>
      </c>
      <c r="G15" t="s"/>
      <c r="H15" t="s"/>
      <c r="I15" t="s"/>
      <c r="J15" t="n">
        <v>-0.0258</v>
      </c>
      <c r="K15" t="n">
        <v>0.059</v>
      </c>
      <c r="L15" t="n">
        <v>0.886</v>
      </c>
      <c r="M15" t="n">
        <v>0.056</v>
      </c>
    </row>
    <row r="16" spans="1:13">
      <c r="A16" s="1">
        <f>HYPERLINK("http://www.twitter.com/NathanBLawrence/status/998927955714805761", "998927955714805761")</f>
        <v/>
      </c>
      <c r="B16" s="2" t="n">
        <v>43242.58747685186</v>
      </c>
      <c r="C16" t="n">
        <v>0</v>
      </c>
      <c r="D16" t="n">
        <v>0</v>
      </c>
      <c r="E16" t="s">
        <v>27</v>
      </c>
      <c r="F16" t="s"/>
      <c r="G16" t="s"/>
      <c r="H16" t="s"/>
      <c r="I16" t="s"/>
      <c r="J16" t="n">
        <v>0.6705</v>
      </c>
      <c r="K16" t="n">
        <v>0</v>
      </c>
      <c r="L16" t="n">
        <v>0.756</v>
      </c>
      <c r="M16" t="n">
        <v>0.244</v>
      </c>
    </row>
    <row r="17" spans="1:13">
      <c r="A17" s="1">
        <f>HYPERLINK("http://www.twitter.com/NathanBLawrence/status/998926918530543616", "998926918530543616")</f>
        <v/>
      </c>
      <c r="B17" s="2" t="n">
        <v>43242.58461805555</v>
      </c>
      <c r="C17" t="n">
        <v>0</v>
      </c>
      <c r="D17" t="n">
        <v>3</v>
      </c>
      <c r="E17" t="s">
        <v>28</v>
      </c>
      <c r="F17" t="s"/>
      <c r="G17" t="s"/>
      <c r="H17" t="s"/>
      <c r="I17" t="s"/>
      <c r="J17" t="n">
        <v>-0.296</v>
      </c>
      <c r="K17" t="n">
        <v>0.095</v>
      </c>
      <c r="L17" t="n">
        <v>0.905</v>
      </c>
      <c r="M17" t="n">
        <v>0</v>
      </c>
    </row>
    <row r="18" spans="1:13">
      <c r="A18" s="1">
        <f>HYPERLINK("http://www.twitter.com/NathanBLawrence/status/998926897936560128", "998926897936560128")</f>
        <v/>
      </c>
      <c r="B18" s="2" t="n">
        <v>43242.58456018518</v>
      </c>
      <c r="C18" t="n">
        <v>3</v>
      </c>
      <c r="D18" t="n">
        <v>3</v>
      </c>
      <c r="E18" t="s">
        <v>29</v>
      </c>
      <c r="F18" t="s"/>
      <c r="G18" t="s"/>
      <c r="H18" t="s"/>
      <c r="I18" t="s"/>
      <c r="J18" t="n">
        <v>-0.296</v>
      </c>
      <c r="K18" t="n">
        <v>0.104</v>
      </c>
      <c r="L18" t="n">
        <v>0.896</v>
      </c>
      <c r="M18" t="n">
        <v>0</v>
      </c>
    </row>
    <row r="19" spans="1:13">
      <c r="A19" s="1">
        <f>HYPERLINK("http://www.twitter.com/NathanBLawrence/status/998926594721964032", "998926594721964032")</f>
        <v/>
      </c>
      <c r="B19" s="2" t="n">
        <v>43242.58371527777</v>
      </c>
      <c r="C19" t="n">
        <v>0</v>
      </c>
      <c r="D19" t="n">
        <v>3</v>
      </c>
      <c r="E19" t="s">
        <v>30</v>
      </c>
      <c r="F19" t="s"/>
      <c r="G19" t="s"/>
      <c r="H19" t="s"/>
      <c r="I19" t="s"/>
      <c r="J19" t="n">
        <v>0</v>
      </c>
      <c r="K19" t="n">
        <v>0</v>
      </c>
      <c r="L19" t="n">
        <v>1</v>
      </c>
      <c r="M19" t="n">
        <v>0</v>
      </c>
    </row>
    <row r="20" spans="1:13">
      <c r="A20" s="1">
        <f>HYPERLINK("http://www.twitter.com/NathanBLawrence/status/998926562979385344", "998926562979385344")</f>
        <v/>
      </c>
      <c r="B20" s="2" t="n">
        <v>43242.58363425926</v>
      </c>
      <c r="C20" t="n">
        <v>1</v>
      </c>
      <c r="D20" t="n">
        <v>3</v>
      </c>
      <c r="E20" t="s">
        <v>31</v>
      </c>
      <c r="F20" t="s"/>
      <c r="G20" t="s"/>
      <c r="H20" t="s"/>
      <c r="I20" t="s"/>
      <c r="J20" t="n">
        <v>0</v>
      </c>
      <c r="K20" t="n">
        <v>0</v>
      </c>
      <c r="L20" t="n">
        <v>1</v>
      </c>
      <c r="M20" t="n">
        <v>0</v>
      </c>
    </row>
    <row r="21" spans="1:13">
      <c r="A21" s="1">
        <f>HYPERLINK("http://www.twitter.com/NathanBLawrence/status/998925735971770369", "998925735971770369")</f>
        <v/>
      </c>
      <c r="B21" s="2" t="n">
        <v>43242.58135416666</v>
      </c>
      <c r="C21" t="n">
        <v>0</v>
      </c>
      <c r="D21" t="n">
        <v>2</v>
      </c>
      <c r="E21" t="s">
        <v>32</v>
      </c>
      <c r="F21" t="s"/>
      <c r="G21" t="s"/>
      <c r="H21" t="s"/>
      <c r="I21" t="s"/>
      <c r="J21" t="n">
        <v>-0.5994</v>
      </c>
      <c r="K21" t="n">
        <v>0.176</v>
      </c>
      <c r="L21" t="n">
        <v>0.824</v>
      </c>
      <c r="M21" t="n">
        <v>0</v>
      </c>
    </row>
    <row r="22" spans="1:13">
      <c r="A22" s="1">
        <f>HYPERLINK("http://www.twitter.com/NathanBLawrence/status/998902535900540928", "998902535900540928")</f>
        <v/>
      </c>
      <c r="B22" s="2" t="n">
        <v>43242.51732638889</v>
      </c>
      <c r="C22" t="n">
        <v>0</v>
      </c>
      <c r="D22" t="n">
        <v>2</v>
      </c>
      <c r="E22" t="s">
        <v>33</v>
      </c>
      <c r="F22" t="s"/>
      <c r="G22" t="s"/>
      <c r="H22" t="s"/>
      <c r="I22" t="s"/>
      <c r="J22" t="n">
        <v>-0.4939</v>
      </c>
      <c r="K22" t="n">
        <v>0.167</v>
      </c>
      <c r="L22" t="n">
        <v>0.833</v>
      </c>
      <c r="M22" t="n">
        <v>0</v>
      </c>
    </row>
    <row r="23" spans="1:13">
      <c r="A23" s="1">
        <f>HYPERLINK("http://www.twitter.com/NathanBLawrence/status/998902506091679744", "998902506091679744")</f>
        <v/>
      </c>
      <c r="B23" s="2" t="n">
        <v>43242.51724537037</v>
      </c>
      <c r="C23" t="n">
        <v>2</v>
      </c>
      <c r="D23" t="n">
        <v>2</v>
      </c>
      <c r="E23" t="s">
        <v>34</v>
      </c>
      <c r="F23" t="s"/>
      <c r="G23" t="s"/>
      <c r="H23" t="s"/>
      <c r="I23" t="s"/>
      <c r="J23" t="n">
        <v>0.7351</v>
      </c>
      <c r="K23" t="n">
        <v>0.111</v>
      </c>
      <c r="L23" t="n">
        <v>0.677</v>
      </c>
      <c r="M23" t="n">
        <v>0.213</v>
      </c>
    </row>
    <row r="24" spans="1:13">
      <c r="A24" s="1">
        <f>HYPERLINK("http://www.twitter.com/NathanBLawrence/status/998899464915079168", "998899464915079168")</f>
        <v/>
      </c>
      <c r="B24" s="2" t="n">
        <v>43242.50885416667</v>
      </c>
      <c r="C24" t="n">
        <v>0</v>
      </c>
      <c r="D24" t="n">
        <v>2</v>
      </c>
      <c r="E24" t="s">
        <v>35</v>
      </c>
      <c r="F24" t="s"/>
      <c r="G24" t="s"/>
      <c r="H24" t="s"/>
      <c r="I24" t="s"/>
      <c r="J24" t="n">
        <v>0</v>
      </c>
      <c r="K24" t="n">
        <v>0</v>
      </c>
      <c r="L24" t="n">
        <v>1</v>
      </c>
      <c r="M24" t="n">
        <v>0</v>
      </c>
    </row>
    <row r="25" spans="1:13">
      <c r="A25" s="1">
        <f>HYPERLINK("http://www.twitter.com/NathanBLawrence/status/998899374683033600", "998899374683033600")</f>
        <v/>
      </c>
      <c r="B25" s="2" t="n">
        <v>43242.50861111111</v>
      </c>
      <c r="C25" t="n">
        <v>0</v>
      </c>
      <c r="D25" t="n">
        <v>1</v>
      </c>
      <c r="E25" t="s">
        <v>36</v>
      </c>
      <c r="F25" t="s"/>
      <c r="G25" t="s"/>
      <c r="H25" t="s"/>
      <c r="I25" t="s"/>
      <c r="J25" t="n">
        <v>-0.4939</v>
      </c>
      <c r="K25" t="n">
        <v>0.174</v>
      </c>
      <c r="L25" t="n">
        <v>0.826</v>
      </c>
      <c r="M25" t="n">
        <v>0</v>
      </c>
    </row>
    <row r="26" spans="1:13">
      <c r="A26" s="1">
        <f>HYPERLINK("http://www.twitter.com/NathanBLawrence/status/998899175290007553", "998899175290007553")</f>
        <v/>
      </c>
      <c r="B26" s="2" t="n">
        <v>43242.50805555555</v>
      </c>
      <c r="C26" t="n">
        <v>0</v>
      </c>
      <c r="D26" t="n">
        <v>1</v>
      </c>
      <c r="E26" t="s">
        <v>37</v>
      </c>
      <c r="F26" t="s"/>
      <c r="G26" t="s"/>
      <c r="H26" t="s"/>
      <c r="I26" t="s"/>
      <c r="J26" t="n">
        <v>0.7351</v>
      </c>
      <c r="K26" t="n">
        <v>0.111</v>
      </c>
      <c r="L26" t="n">
        <v>0.677</v>
      </c>
      <c r="M26" t="n">
        <v>0.213</v>
      </c>
    </row>
    <row r="27" spans="1:13">
      <c r="A27" s="1">
        <f>HYPERLINK("http://www.twitter.com/NathanBLawrence/status/998899026371186688", "998899026371186688")</f>
        <v/>
      </c>
      <c r="B27" s="2" t="n">
        <v>43242.50765046296</v>
      </c>
      <c r="C27" t="n">
        <v>0</v>
      </c>
      <c r="D27" t="n">
        <v>8</v>
      </c>
      <c r="E27" t="s">
        <v>38</v>
      </c>
      <c r="F27" t="s"/>
      <c r="G27" t="s"/>
      <c r="H27" t="s"/>
      <c r="I27" t="s"/>
      <c r="J27" t="n">
        <v>-0.128</v>
      </c>
      <c r="K27" t="n">
        <v>0.061</v>
      </c>
      <c r="L27" t="n">
        <v>0.9389999999999999</v>
      </c>
      <c r="M27" t="n">
        <v>0</v>
      </c>
    </row>
    <row r="28" spans="1:13">
      <c r="A28" s="1">
        <f>HYPERLINK("http://www.twitter.com/NathanBLawrence/status/998898990606422016", "998898990606422016")</f>
        <v/>
      </c>
      <c r="B28" s="2" t="n">
        <v>43242.5075462963</v>
      </c>
      <c r="C28" t="n">
        <v>2</v>
      </c>
      <c r="D28" t="n">
        <v>0</v>
      </c>
      <c r="E28" t="s">
        <v>39</v>
      </c>
      <c r="F28" t="s"/>
      <c r="G28" t="s"/>
      <c r="H28" t="s"/>
      <c r="I28" t="s"/>
      <c r="J28" t="n">
        <v>0.7351</v>
      </c>
      <c r="K28" t="n">
        <v>0.109</v>
      </c>
      <c r="L28" t="n">
        <v>0.6820000000000001</v>
      </c>
      <c r="M28" t="n">
        <v>0.209</v>
      </c>
    </row>
    <row r="29" spans="1:13">
      <c r="A29" s="1">
        <f>HYPERLINK("http://www.twitter.com/NathanBLawrence/status/998890891778625536", "998890891778625536")</f>
        <v/>
      </c>
      <c r="B29" s="2" t="n">
        <v>43242.48519675926</v>
      </c>
      <c r="C29" t="n">
        <v>0</v>
      </c>
      <c r="D29" t="n">
        <v>4</v>
      </c>
      <c r="E29" t="s">
        <v>40</v>
      </c>
      <c r="F29" t="s"/>
      <c r="G29" t="s"/>
      <c r="H29" t="s"/>
      <c r="I29" t="s"/>
      <c r="J29" t="n">
        <v>0</v>
      </c>
      <c r="K29" t="n">
        <v>0</v>
      </c>
      <c r="L29" t="n">
        <v>1</v>
      </c>
      <c r="M29" t="n">
        <v>0</v>
      </c>
    </row>
    <row r="30" spans="1:13">
      <c r="A30" s="1">
        <f>HYPERLINK("http://www.twitter.com/NathanBLawrence/status/998890556049756160", "998890556049756160")</f>
        <v/>
      </c>
      <c r="B30" s="2" t="n">
        <v>43242.48427083333</v>
      </c>
      <c r="C30" t="n">
        <v>0</v>
      </c>
      <c r="D30" t="n">
        <v>4</v>
      </c>
      <c r="E30" t="s">
        <v>41</v>
      </c>
      <c r="F30" t="s"/>
      <c r="G30" t="s"/>
      <c r="H30" t="s"/>
      <c r="I30" t="s"/>
      <c r="J30" t="n">
        <v>0</v>
      </c>
      <c r="K30" t="n">
        <v>0</v>
      </c>
      <c r="L30" t="n">
        <v>1</v>
      </c>
      <c r="M30" t="n">
        <v>0</v>
      </c>
    </row>
    <row r="31" spans="1:13">
      <c r="A31" s="1">
        <f>HYPERLINK("http://www.twitter.com/NathanBLawrence/status/998887162010656768", "998887162010656768")</f>
        <v/>
      </c>
      <c r="B31" s="2" t="n">
        <v>43242.47490740741</v>
      </c>
      <c r="C31" t="n">
        <v>0</v>
      </c>
      <c r="D31" t="n">
        <v>1</v>
      </c>
      <c r="E31" t="s">
        <v>42</v>
      </c>
      <c r="F31" t="s"/>
      <c r="G31" t="s"/>
      <c r="H31" t="s"/>
      <c r="I31" t="s"/>
      <c r="J31" t="n">
        <v>-0.128</v>
      </c>
      <c r="K31" t="n">
        <v>0.162</v>
      </c>
      <c r="L31" t="n">
        <v>0.734</v>
      </c>
      <c r="M31" t="n">
        <v>0.104</v>
      </c>
    </row>
    <row r="32" spans="1:13">
      <c r="A32" s="1">
        <f>HYPERLINK("http://www.twitter.com/NathanBLawrence/status/998887112450732033", "998887112450732033")</f>
        <v/>
      </c>
      <c r="B32" s="2" t="n">
        <v>43242.47476851852</v>
      </c>
      <c r="C32" t="n">
        <v>0</v>
      </c>
      <c r="D32" t="n">
        <v>1</v>
      </c>
      <c r="E32" t="s">
        <v>43</v>
      </c>
      <c r="F32" t="s"/>
      <c r="G32" t="s"/>
      <c r="H32" t="s"/>
      <c r="I32" t="s"/>
      <c r="J32" t="n">
        <v>0.836</v>
      </c>
      <c r="K32" t="n">
        <v>0.106</v>
      </c>
      <c r="L32" t="n">
        <v>0.648</v>
      </c>
      <c r="M32" t="n">
        <v>0.246</v>
      </c>
    </row>
    <row r="33" spans="1:13">
      <c r="A33" s="1">
        <f>HYPERLINK("http://www.twitter.com/NathanBLawrence/status/998886893830930432", "998886893830930432")</f>
        <v/>
      </c>
      <c r="B33" s="2" t="n">
        <v>43242.47416666667</v>
      </c>
      <c r="C33" t="n">
        <v>0</v>
      </c>
      <c r="D33" t="n">
        <v>2</v>
      </c>
      <c r="E33" t="s">
        <v>44</v>
      </c>
      <c r="F33" t="s"/>
      <c r="G33" t="s"/>
      <c r="H33" t="s"/>
      <c r="I33" t="s"/>
      <c r="J33" t="n">
        <v>-0.6908</v>
      </c>
      <c r="K33" t="n">
        <v>0.242</v>
      </c>
      <c r="L33" t="n">
        <v>0.758</v>
      </c>
      <c r="M33" t="n">
        <v>0</v>
      </c>
    </row>
    <row r="34" spans="1:13">
      <c r="A34" s="1">
        <f>HYPERLINK("http://www.twitter.com/NathanBLawrence/status/998886880656666624", "998886880656666624")</f>
        <v/>
      </c>
      <c r="B34" s="2" t="n">
        <v>43242.47413194444</v>
      </c>
      <c r="C34" t="n">
        <v>6</v>
      </c>
      <c r="D34" t="n">
        <v>2</v>
      </c>
      <c r="E34" t="s">
        <v>45</v>
      </c>
      <c r="F34" t="s"/>
      <c r="G34" t="s"/>
      <c r="H34" t="s"/>
      <c r="I34" t="s"/>
      <c r="J34" t="n">
        <v>0.7351</v>
      </c>
      <c r="K34" t="n">
        <v>0.112</v>
      </c>
      <c r="L34" t="n">
        <v>0.671</v>
      </c>
      <c r="M34" t="n">
        <v>0.216</v>
      </c>
    </row>
    <row r="35" spans="1:13">
      <c r="A35" s="1">
        <f>HYPERLINK("http://www.twitter.com/NathanBLawrence/status/998885525208686592", "998885525208686592")</f>
        <v/>
      </c>
      <c r="B35" s="2" t="n">
        <v>43242.47039351852</v>
      </c>
      <c r="C35" t="n">
        <v>0</v>
      </c>
      <c r="D35" t="n">
        <v>2</v>
      </c>
      <c r="E35" t="s">
        <v>46</v>
      </c>
      <c r="F35">
        <f>HYPERLINK("http://pbs.twimg.com/media/DdzA-8RUQAAMzbO.jpg", "http://pbs.twimg.com/media/DdzA-8RUQAAMzbO.jpg")</f>
        <v/>
      </c>
      <c r="G35" t="s"/>
      <c r="H35" t="s"/>
      <c r="I35" t="s"/>
      <c r="J35" t="n">
        <v>-0.5719</v>
      </c>
      <c r="K35" t="n">
        <v>0.363</v>
      </c>
      <c r="L35" t="n">
        <v>0.637</v>
      </c>
      <c r="M35" t="n">
        <v>0</v>
      </c>
    </row>
    <row r="36" spans="1:13">
      <c r="A36" s="1">
        <f>HYPERLINK("http://www.twitter.com/NathanBLawrence/status/998885472255528961", "998885472255528961")</f>
        <v/>
      </c>
      <c r="B36" s="2" t="n">
        <v>43242.47024305556</v>
      </c>
      <c r="C36" t="n">
        <v>0</v>
      </c>
      <c r="D36" t="n">
        <v>2</v>
      </c>
      <c r="E36" t="s">
        <v>47</v>
      </c>
      <c r="F36">
        <f>HYPERLINK("http://pbs.twimg.com/media/DdzA-8RUQAAMzbO.jpg", "http://pbs.twimg.com/media/DdzA-8RUQAAMzbO.jpg")</f>
        <v/>
      </c>
      <c r="G36" t="s"/>
      <c r="H36" t="s"/>
      <c r="I36" t="s"/>
      <c r="J36" t="n">
        <v>-0.5719</v>
      </c>
      <c r="K36" t="n">
        <v>0.416</v>
      </c>
      <c r="L36" t="n">
        <v>0.584</v>
      </c>
      <c r="M36" t="n">
        <v>0</v>
      </c>
    </row>
    <row r="37" spans="1:13">
      <c r="A37" s="1">
        <f>HYPERLINK("http://www.twitter.com/NathanBLawrence/status/998882964510576640", "998882964510576640")</f>
        <v/>
      </c>
      <c r="B37" s="2" t="n">
        <v>43242.46332175926</v>
      </c>
      <c r="C37" t="n">
        <v>0</v>
      </c>
      <c r="D37" t="n">
        <v>1</v>
      </c>
      <c r="E37" t="s">
        <v>48</v>
      </c>
      <c r="F37">
        <f>HYPERLINK("http://pbs.twimg.com/media/Ddy-uBUVwAIPvJI.jpg", "http://pbs.twimg.com/media/Ddy-uBUVwAIPvJI.jpg")</f>
        <v/>
      </c>
      <c r="G37" t="s"/>
      <c r="H37" t="s"/>
      <c r="I37" t="s"/>
      <c r="J37" t="n">
        <v>-0.1027</v>
      </c>
      <c r="K37" t="n">
        <v>0.091</v>
      </c>
      <c r="L37" t="n">
        <v>0.909</v>
      </c>
      <c r="M37" t="n">
        <v>0</v>
      </c>
    </row>
    <row r="38" spans="1:13">
      <c r="A38" s="1">
        <f>HYPERLINK("http://www.twitter.com/NathanBLawrence/status/998882923028893697", "998882923028893697")</f>
        <v/>
      </c>
      <c r="B38" s="2" t="n">
        <v>43242.46320601852</v>
      </c>
      <c r="C38" t="n">
        <v>0</v>
      </c>
      <c r="D38" t="n">
        <v>1</v>
      </c>
      <c r="E38" t="s">
        <v>49</v>
      </c>
      <c r="F38">
        <f>HYPERLINK("http://pbs.twimg.com/media/Ddy-uBUVwAIPvJI.jpg", "http://pbs.twimg.com/media/Ddy-uBUVwAIPvJI.jpg")</f>
        <v/>
      </c>
      <c r="G38" t="s"/>
      <c r="H38" t="s"/>
      <c r="I38" t="s"/>
      <c r="J38" t="n">
        <v>-0.1027</v>
      </c>
      <c r="K38" t="n">
        <v>0.104</v>
      </c>
      <c r="L38" t="n">
        <v>0.896</v>
      </c>
      <c r="M38" t="n">
        <v>0</v>
      </c>
    </row>
    <row r="39" spans="1:13">
      <c r="A39" s="1">
        <f>HYPERLINK("http://www.twitter.com/NathanBLawrence/status/998879097169293312", "998879097169293312")</f>
        <v/>
      </c>
      <c r="B39" s="2" t="n">
        <v>43242.45265046296</v>
      </c>
      <c r="C39" t="n">
        <v>0</v>
      </c>
      <c r="D39" t="n">
        <v>7</v>
      </c>
      <c r="E39" t="s">
        <v>50</v>
      </c>
      <c r="F39" t="s"/>
      <c r="G39" t="s"/>
      <c r="H39" t="s"/>
      <c r="I39" t="s"/>
      <c r="J39" t="n">
        <v>-0.4404</v>
      </c>
      <c r="K39" t="n">
        <v>0.127</v>
      </c>
      <c r="L39" t="n">
        <v>0.873</v>
      </c>
      <c r="M39" t="n">
        <v>0</v>
      </c>
    </row>
    <row r="40" spans="1:13">
      <c r="A40" s="1">
        <f>HYPERLINK("http://www.twitter.com/NathanBLawrence/status/998879038591651841", "998879038591651841")</f>
        <v/>
      </c>
      <c r="B40" s="2" t="n">
        <v>43242.45248842592</v>
      </c>
      <c r="C40" t="n">
        <v>5</v>
      </c>
      <c r="D40" t="n">
        <v>7</v>
      </c>
      <c r="E40" t="s">
        <v>51</v>
      </c>
      <c r="F40" t="s"/>
      <c r="G40" t="s"/>
      <c r="H40" t="s"/>
      <c r="I40" t="s"/>
      <c r="J40" t="n">
        <v>-0.4404</v>
      </c>
      <c r="K40" t="n">
        <v>0.127</v>
      </c>
      <c r="L40" t="n">
        <v>0.873</v>
      </c>
      <c r="M40" t="n">
        <v>0</v>
      </c>
    </row>
    <row r="41" spans="1:13">
      <c r="A41" s="1">
        <f>HYPERLINK("http://www.twitter.com/NathanBLawrence/status/998878577537011712", "998878577537011712")</f>
        <v/>
      </c>
      <c r="B41" s="2" t="n">
        <v>43242.45121527778</v>
      </c>
      <c r="C41" t="n">
        <v>0</v>
      </c>
      <c r="D41" t="n">
        <v>0</v>
      </c>
      <c r="E41" t="s">
        <v>52</v>
      </c>
      <c r="F41" t="s"/>
      <c r="G41" t="s"/>
      <c r="H41" t="s"/>
      <c r="I41" t="s"/>
      <c r="J41" t="n">
        <v>0.6705</v>
      </c>
      <c r="K41" t="n">
        <v>0</v>
      </c>
      <c r="L41" t="n">
        <v>0.703</v>
      </c>
      <c r="M41" t="n">
        <v>0.297</v>
      </c>
    </row>
    <row r="42" spans="1:13">
      <c r="A42" s="1">
        <f>HYPERLINK("http://www.twitter.com/NathanBLawrence/status/998878520020520960", "998878520020520960")</f>
        <v/>
      </c>
      <c r="B42" s="2" t="n">
        <v>43242.45106481481</v>
      </c>
      <c r="C42" t="n">
        <v>0</v>
      </c>
      <c r="D42" t="n">
        <v>0</v>
      </c>
      <c r="E42" t="s">
        <v>53</v>
      </c>
      <c r="F42" t="s"/>
      <c r="G42" t="s"/>
      <c r="H42" t="s"/>
      <c r="I42" t="s"/>
      <c r="J42" t="n">
        <v>0.6705</v>
      </c>
      <c r="K42" t="n">
        <v>0</v>
      </c>
      <c r="L42" t="n">
        <v>0.718</v>
      </c>
      <c r="M42" t="n">
        <v>0.282</v>
      </c>
    </row>
    <row r="43" spans="1:13">
      <c r="A43" s="1">
        <f>HYPERLINK("http://www.twitter.com/NathanBLawrence/status/998877512112525313", "998877512112525313")</f>
        <v/>
      </c>
      <c r="B43" s="2" t="n">
        <v>43242.44827546296</v>
      </c>
      <c r="C43" t="n">
        <v>0</v>
      </c>
      <c r="D43" t="n">
        <v>0</v>
      </c>
      <c r="E43" t="s">
        <v>54</v>
      </c>
      <c r="F43" t="s"/>
      <c r="G43" t="s"/>
      <c r="H43" t="s"/>
      <c r="I43" t="s"/>
      <c r="J43" t="n">
        <v>0</v>
      </c>
      <c r="K43" t="n">
        <v>0</v>
      </c>
      <c r="L43" t="n">
        <v>1</v>
      </c>
      <c r="M43" t="n">
        <v>0</v>
      </c>
    </row>
    <row r="44" spans="1:13">
      <c r="A44" s="1">
        <f>HYPERLINK("http://www.twitter.com/NathanBLawrence/status/998783886460096513", "998783886460096513")</f>
        <v/>
      </c>
      <c r="B44" s="2" t="n">
        <v>43242.18991898148</v>
      </c>
      <c r="C44" t="n">
        <v>0</v>
      </c>
      <c r="D44" t="n">
        <v>4</v>
      </c>
      <c r="E44" t="s">
        <v>55</v>
      </c>
      <c r="F44" t="s"/>
      <c r="G44" t="s"/>
      <c r="H44" t="s"/>
      <c r="I44" t="s"/>
      <c r="J44" t="n">
        <v>-0.4577</v>
      </c>
      <c r="K44" t="n">
        <v>0.125</v>
      </c>
      <c r="L44" t="n">
        <v>0.875</v>
      </c>
      <c r="M44" t="n">
        <v>0</v>
      </c>
    </row>
    <row r="45" spans="1:13">
      <c r="A45" s="1">
        <f>HYPERLINK("http://www.twitter.com/NathanBLawrence/status/998777619305975808", "998777619305975808")</f>
        <v/>
      </c>
      <c r="B45" s="2" t="n">
        <v>43242.17262731482</v>
      </c>
      <c r="C45" t="n">
        <v>0</v>
      </c>
      <c r="D45" t="n">
        <v>14</v>
      </c>
      <c r="E45" t="s">
        <v>56</v>
      </c>
      <c r="F45" t="s"/>
      <c r="G45" t="s"/>
      <c r="H45" t="s"/>
      <c r="I45" t="s"/>
      <c r="J45" t="n">
        <v>0</v>
      </c>
      <c r="K45" t="n">
        <v>0</v>
      </c>
      <c r="L45" t="n">
        <v>1</v>
      </c>
      <c r="M45" t="n">
        <v>0</v>
      </c>
    </row>
    <row r="46" spans="1:13">
      <c r="A46" s="1">
        <f>HYPERLINK("http://www.twitter.com/NathanBLawrence/status/998775966402011136", "998775966402011136")</f>
        <v/>
      </c>
      <c r="B46" s="2" t="n">
        <v>43242.16806712963</v>
      </c>
      <c r="C46" t="n">
        <v>21</v>
      </c>
      <c r="D46" t="n">
        <v>14</v>
      </c>
      <c r="E46" t="s">
        <v>57</v>
      </c>
      <c r="F46" t="s"/>
      <c r="G46" t="s"/>
      <c r="H46" t="s"/>
      <c r="I46" t="s"/>
      <c r="J46" t="n">
        <v>0.3749</v>
      </c>
      <c r="K46" t="n">
        <v>0</v>
      </c>
      <c r="L46" t="n">
        <v>0.923</v>
      </c>
      <c r="M46" t="n">
        <v>0.077</v>
      </c>
    </row>
    <row r="47" spans="1:13">
      <c r="A47" s="1">
        <f>HYPERLINK("http://www.twitter.com/NathanBLawrence/status/998774712372203520", "998774712372203520")</f>
        <v/>
      </c>
      <c r="B47" s="2" t="n">
        <v>43242.16460648148</v>
      </c>
      <c r="C47" t="n">
        <v>0</v>
      </c>
      <c r="D47" t="n">
        <v>1</v>
      </c>
      <c r="E47" t="s">
        <v>58</v>
      </c>
      <c r="F47" t="s"/>
      <c r="G47" t="s"/>
      <c r="H47" t="s"/>
      <c r="I47" t="s"/>
      <c r="J47" t="n">
        <v>-0.3802</v>
      </c>
      <c r="K47" t="n">
        <v>0.115</v>
      </c>
      <c r="L47" t="n">
        <v>0.885</v>
      </c>
      <c r="M47" t="n">
        <v>0</v>
      </c>
    </row>
    <row r="48" spans="1:13">
      <c r="A48" s="1">
        <f>HYPERLINK("http://www.twitter.com/NathanBLawrence/status/998769019153940481", "998769019153940481")</f>
        <v/>
      </c>
      <c r="B48" s="2" t="n">
        <v>43242.14890046296</v>
      </c>
      <c r="C48" t="n">
        <v>1</v>
      </c>
      <c r="D48" t="n">
        <v>0</v>
      </c>
      <c r="E48" t="s">
        <v>59</v>
      </c>
      <c r="F48" t="s"/>
      <c r="G48" t="s"/>
      <c r="H48" t="s"/>
      <c r="I48" t="s"/>
      <c r="J48" t="n">
        <v>0</v>
      </c>
      <c r="K48" t="n">
        <v>0</v>
      </c>
      <c r="L48" t="n">
        <v>1</v>
      </c>
      <c r="M48" t="n">
        <v>0</v>
      </c>
    </row>
    <row r="49" spans="1:13">
      <c r="A49" s="1">
        <f>HYPERLINK("http://www.twitter.com/NathanBLawrence/status/998764013730385920", "998764013730385920")</f>
        <v/>
      </c>
      <c r="B49" s="2" t="n">
        <v>43242.13508101852</v>
      </c>
      <c r="C49" t="n">
        <v>0</v>
      </c>
      <c r="D49" t="n">
        <v>1</v>
      </c>
      <c r="E49" t="s">
        <v>60</v>
      </c>
      <c r="F49" t="s"/>
      <c r="G49" t="s"/>
      <c r="H49" t="s"/>
      <c r="I49" t="s"/>
      <c r="J49" t="n">
        <v>0</v>
      </c>
      <c r="K49" t="n">
        <v>0</v>
      </c>
      <c r="L49" t="n">
        <v>1</v>
      </c>
      <c r="M49" t="n">
        <v>0</v>
      </c>
    </row>
    <row r="50" spans="1:13">
      <c r="A50" s="1">
        <f>HYPERLINK("http://www.twitter.com/NathanBLawrence/status/998763960068444160", "998763960068444160")</f>
        <v/>
      </c>
      <c r="B50" s="2" t="n">
        <v>43242.13493055556</v>
      </c>
      <c r="C50" t="n">
        <v>3</v>
      </c>
      <c r="D50" t="n">
        <v>1</v>
      </c>
      <c r="E50" t="s">
        <v>61</v>
      </c>
      <c r="F50" t="s"/>
      <c r="G50" t="s"/>
      <c r="H50" t="s"/>
      <c r="I50" t="s"/>
      <c r="J50" t="n">
        <v>0</v>
      </c>
      <c r="K50" t="n">
        <v>0</v>
      </c>
      <c r="L50" t="n">
        <v>1</v>
      </c>
      <c r="M50" t="n">
        <v>0</v>
      </c>
    </row>
    <row r="51" spans="1:13">
      <c r="A51" s="1">
        <f>HYPERLINK("http://www.twitter.com/NathanBLawrence/status/998743668705120257", "998743668705120257")</f>
        <v/>
      </c>
      <c r="B51" s="2" t="n">
        <v>43242.07894675926</v>
      </c>
      <c r="C51" t="n">
        <v>0</v>
      </c>
      <c r="D51" t="n">
        <v>1</v>
      </c>
      <c r="E51" t="s">
        <v>62</v>
      </c>
      <c r="F51" t="s"/>
      <c r="G51" t="s"/>
      <c r="H51" t="s"/>
      <c r="I51" t="s"/>
      <c r="J51" t="n">
        <v>0.6705</v>
      </c>
      <c r="K51" t="n">
        <v>0</v>
      </c>
      <c r="L51" t="n">
        <v>0.732</v>
      </c>
      <c r="M51" t="n">
        <v>0.268</v>
      </c>
    </row>
    <row r="52" spans="1:13">
      <c r="A52" s="1">
        <f>HYPERLINK("http://www.twitter.com/NathanBLawrence/status/998743565227515904", "998743565227515904")</f>
        <v/>
      </c>
      <c r="B52" s="2" t="n">
        <v>43242.07865740741</v>
      </c>
      <c r="C52" t="n">
        <v>0</v>
      </c>
      <c r="D52" t="n">
        <v>1</v>
      </c>
      <c r="E52" t="s">
        <v>63</v>
      </c>
      <c r="F52" t="s"/>
      <c r="G52" t="s"/>
      <c r="H52" t="s"/>
      <c r="I52" t="s"/>
      <c r="J52" t="n">
        <v>0.6705</v>
      </c>
      <c r="K52" t="n">
        <v>0</v>
      </c>
      <c r="L52" t="n">
        <v>0.703</v>
      </c>
      <c r="M52" t="n">
        <v>0.297</v>
      </c>
    </row>
    <row r="53" spans="1:13">
      <c r="A53" s="1">
        <f>HYPERLINK("http://www.twitter.com/NathanBLawrence/status/998738230194393089", "998738230194393089")</f>
        <v/>
      </c>
      <c r="B53" s="2" t="n">
        <v>43242.06393518519</v>
      </c>
      <c r="C53" t="n">
        <v>14</v>
      </c>
      <c r="D53" t="n">
        <v>7</v>
      </c>
      <c r="E53" t="s">
        <v>64</v>
      </c>
      <c r="F53">
        <f>HYPERLINK("http://pbs.twimg.com/media/Ddw7HcTVQAEoNWC.jpg", "http://pbs.twimg.com/media/Ddw7HcTVQAEoNWC.jpg")</f>
        <v/>
      </c>
      <c r="G53" t="s"/>
      <c r="H53" t="s"/>
      <c r="I53" t="s"/>
      <c r="J53" t="n">
        <v>-0.4939</v>
      </c>
      <c r="K53" t="n">
        <v>0.124</v>
      </c>
      <c r="L53" t="n">
        <v>0.8159999999999999</v>
      </c>
      <c r="M53" t="n">
        <v>0.059</v>
      </c>
    </row>
    <row r="54" spans="1:13">
      <c r="A54" s="1">
        <f>HYPERLINK("http://www.twitter.com/NathanBLawrence/status/998737600696475648", "998737600696475648")</f>
        <v/>
      </c>
      <c r="B54" s="2" t="n">
        <v>43242.06219907408</v>
      </c>
      <c r="C54" t="n">
        <v>0</v>
      </c>
      <c r="D54" t="n">
        <v>1</v>
      </c>
      <c r="E54" t="s">
        <v>65</v>
      </c>
      <c r="F54" t="s"/>
      <c r="G54" t="s"/>
      <c r="H54" t="s"/>
      <c r="I54" t="s"/>
      <c r="J54" t="n">
        <v>0.0516</v>
      </c>
      <c r="K54" t="n">
        <v>0.098</v>
      </c>
      <c r="L54" t="n">
        <v>0.794</v>
      </c>
      <c r="M54" t="n">
        <v>0.107</v>
      </c>
    </row>
    <row r="55" spans="1:13">
      <c r="A55" s="1">
        <f>HYPERLINK("http://www.twitter.com/NathanBLawrence/status/998737543934939136", "998737543934939136")</f>
        <v/>
      </c>
      <c r="B55" s="2" t="n">
        <v>43242.06203703704</v>
      </c>
      <c r="C55" t="n">
        <v>4</v>
      </c>
      <c r="D55" t="n">
        <v>1</v>
      </c>
      <c r="E55" t="s">
        <v>66</v>
      </c>
      <c r="F55" t="s"/>
      <c r="G55" t="s"/>
      <c r="H55" t="s"/>
      <c r="I55" t="s"/>
      <c r="J55" t="n">
        <v>0.0516</v>
      </c>
      <c r="K55" t="n">
        <v>0.108</v>
      </c>
      <c r="L55" t="n">
        <v>0.773</v>
      </c>
      <c r="M55" t="n">
        <v>0.119</v>
      </c>
    </row>
    <row r="56" spans="1:13">
      <c r="A56" s="1">
        <f>HYPERLINK("http://www.twitter.com/NathanBLawrence/status/998733227027259392", "998733227027259392")</f>
        <v/>
      </c>
      <c r="B56" s="2" t="n">
        <v>43242.05012731482</v>
      </c>
      <c r="C56" t="n">
        <v>0</v>
      </c>
      <c r="D56" t="n">
        <v>16</v>
      </c>
      <c r="E56" t="s">
        <v>67</v>
      </c>
      <c r="F56" t="s"/>
      <c r="G56" t="s"/>
      <c r="H56" t="s"/>
      <c r="I56" t="s"/>
      <c r="J56" t="n">
        <v>-0.3818</v>
      </c>
      <c r="K56" t="n">
        <v>0.106</v>
      </c>
      <c r="L56" t="n">
        <v>0.894</v>
      </c>
      <c r="M56" t="n">
        <v>0</v>
      </c>
    </row>
    <row r="57" spans="1:13">
      <c r="A57" s="1">
        <f>HYPERLINK("http://www.twitter.com/NathanBLawrence/status/998732753767157760", "998732753767157760")</f>
        <v/>
      </c>
      <c r="B57" s="2" t="n">
        <v>43242.04881944445</v>
      </c>
      <c r="C57" t="n">
        <v>24</v>
      </c>
      <c r="D57" t="n">
        <v>16</v>
      </c>
      <c r="E57" t="s">
        <v>68</v>
      </c>
      <c r="F57" t="s"/>
      <c r="G57" t="s"/>
      <c r="H57" t="s"/>
      <c r="I57" t="s"/>
      <c r="J57" t="n">
        <v>-0.5859</v>
      </c>
      <c r="K57" t="n">
        <v>0.112</v>
      </c>
      <c r="L57" t="n">
        <v>0.888</v>
      </c>
      <c r="M57" t="n">
        <v>0</v>
      </c>
    </row>
    <row r="58" spans="1:13">
      <c r="A58" s="1">
        <f>HYPERLINK("http://www.twitter.com/NathanBLawrence/status/998725496279064576", "998725496279064576")</f>
        <v/>
      </c>
      <c r="B58" s="2" t="n">
        <v>43242.0287962963</v>
      </c>
      <c r="C58" t="n">
        <v>0</v>
      </c>
      <c r="D58" t="n">
        <v>8</v>
      </c>
      <c r="E58" t="s">
        <v>69</v>
      </c>
      <c r="F58" t="s"/>
      <c r="G58" t="s"/>
      <c r="H58" t="s"/>
      <c r="I58" t="s"/>
      <c r="J58" t="n">
        <v>-0.5859</v>
      </c>
      <c r="K58" t="n">
        <v>0.22</v>
      </c>
      <c r="L58" t="n">
        <v>0.78</v>
      </c>
      <c r="M58" t="n">
        <v>0</v>
      </c>
    </row>
    <row r="59" spans="1:13">
      <c r="A59" s="1">
        <f>HYPERLINK("http://www.twitter.com/NathanBLawrence/status/998725413613563904", "998725413613563904")</f>
        <v/>
      </c>
      <c r="B59" s="2" t="n">
        <v>43242.02856481481</v>
      </c>
      <c r="C59" t="n">
        <v>9</v>
      </c>
      <c r="D59" t="n">
        <v>8</v>
      </c>
      <c r="E59" t="s">
        <v>70</v>
      </c>
      <c r="F59" t="s"/>
      <c r="G59" t="s"/>
      <c r="H59" t="s"/>
      <c r="I59" t="s"/>
      <c r="J59" t="n">
        <v>-0.5859</v>
      </c>
      <c r="K59" t="n">
        <v>0.202</v>
      </c>
      <c r="L59" t="n">
        <v>0.798</v>
      </c>
      <c r="M59" t="n">
        <v>0</v>
      </c>
    </row>
    <row r="60" spans="1:13">
      <c r="A60" s="1">
        <f>HYPERLINK("http://www.twitter.com/NathanBLawrence/status/998723640819625986", "998723640819625986")</f>
        <v/>
      </c>
      <c r="B60" s="2" t="n">
        <v>43242.02368055555</v>
      </c>
      <c r="C60" t="n">
        <v>0</v>
      </c>
      <c r="D60" t="n">
        <v>4</v>
      </c>
      <c r="E60" t="s">
        <v>71</v>
      </c>
      <c r="F60">
        <f>HYPERLINK("http://pbs.twimg.com/media/DdwtLOxV4AEXglt.jpg", "http://pbs.twimg.com/media/DdwtLOxV4AEXglt.jpg")</f>
        <v/>
      </c>
      <c r="G60" t="s"/>
      <c r="H60" t="s"/>
      <c r="I60" t="s"/>
      <c r="J60" t="n">
        <v>-0.5875</v>
      </c>
      <c r="K60" t="n">
        <v>0.214</v>
      </c>
      <c r="L60" t="n">
        <v>0.715</v>
      </c>
      <c r="M60" t="n">
        <v>0.07099999999999999</v>
      </c>
    </row>
    <row r="61" spans="1:13">
      <c r="A61" s="1">
        <f>HYPERLINK("http://www.twitter.com/NathanBLawrence/status/998720807567228928", "998720807567228928")</f>
        <v/>
      </c>
      <c r="B61" s="2" t="n">
        <v>43242.01585648148</v>
      </c>
      <c r="C61" t="n">
        <v>0</v>
      </c>
      <c r="D61" t="n">
        <v>1</v>
      </c>
      <c r="E61" t="s">
        <v>72</v>
      </c>
      <c r="F61" t="s"/>
      <c r="G61" t="s"/>
      <c r="H61" t="s"/>
      <c r="I61" t="s"/>
      <c r="J61" t="n">
        <v>-0.4767</v>
      </c>
      <c r="K61" t="n">
        <v>0.134</v>
      </c>
      <c r="L61" t="n">
        <v>0.866</v>
      </c>
      <c r="M61" t="n">
        <v>0</v>
      </c>
    </row>
    <row r="62" spans="1:13">
      <c r="A62" s="1">
        <f>HYPERLINK("http://www.twitter.com/NathanBLawrence/status/998720766450384896", "998720766450384896")</f>
        <v/>
      </c>
      <c r="B62" s="2" t="n">
        <v>43242.01574074074</v>
      </c>
      <c r="C62" t="n">
        <v>0</v>
      </c>
      <c r="D62" t="n">
        <v>1</v>
      </c>
      <c r="E62" t="s">
        <v>73</v>
      </c>
      <c r="F62" t="s"/>
      <c r="G62" t="s"/>
      <c r="H62" t="s"/>
      <c r="I62" t="s"/>
      <c r="J62" t="n">
        <v>-0.5255</v>
      </c>
      <c r="K62" t="n">
        <v>0.159</v>
      </c>
      <c r="L62" t="n">
        <v>0.841</v>
      </c>
      <c r="M62" t="n">
        <v>0</v>
      </c>
    </row>
    <row r="63" spans="1:13">
      <c r="A63" s="1">
        <f>HYPERLINK("http://www.twitter.com/NathanBLawrence/status/998719923152211970", "998719923152211970")</f>
        <v/>
      </c>
      <c r="B63" s="2" t="n">
        <v>43242.01341435185</v>
      </c>
      <c r="C63" t="n">
        <v>0</v>
      </c>
      <c r="D63" t="n">
        <v>0</v>
      </c>
      <c r="E63" t="s">
        <v>74</v>
      </c>
      <c r="F63" t="s"/>
      <c r="G63" t="s"/>
      <c r="H63" t="s"/>
      <c r="I63" t="s"/>
      <c r="J63" t="n">
        <v>0.6705</v>
      </c>
      <c r="K63" t="n">
        <v>0</v>
      </c>
      <c r="L63" t="n">
        <v>0.703</v>
      </c>
      <c r="M63" t="n">
        <v>0.297</v>
      </c>
    </row>
    <row r="64" spans="1:13">
      <c r="A64" s="1">
        <f>HYPERLINK("http://www.twitter.com/NathanBLawrence/status/998718094125228032", "998718094125228032")</f>
        <v/>
      </c>
      <c r="B64" s="2" t="n">
        <v>43242.00836805555</v>
      </c>
      <c r="C64" t="n">
        <v>0</v>
      </c>
      <c r="D64" t="n">
        <v>35</v>
      </c>
      <c r="E64" t="s">
        <v>75</v>
      </c>
      <c r="F64">
        <f>HYPERLINK("https://video.twimg.com/ext_tw_video/998715155536990208/pu/vid/604x360/WM_dM28YwUC_4WI8.mp4?tag=3", "https://video.twimg.com/ext_tw_video/998715155536990208/pu/vid/604x360/WM_dM28YwUC_4WI8.mp4?tag=3")</f>
        <v/>
      </c>
      <c r="G64" t="s"/>
      <c r="H64" t="s"/>
      <c r="I64" t="s"/>
      <c r="J64" t="n">
        <v>0.1779</v>
      </c>
      <c r="K64" t="n">
        <v>0.101</v>
      </c>
      <c r="L64" t="n">
        <v>0.769</v>
      </c>
      <c r="M64" t="n">
        <v>0.13</v>
      </c>
    </row>
    <row r="65" spans="1:13">
      <c r="A65" s="1">
        <f>HYPERLINK("http://www.twitter.com/NathanBLawrence/status/998718063922110466", "998718063922110466")</f>
        <v/>
      </c>
      <c r="B65" s="2" t="n">
        <v>43242.00828703704</v>
      </c>
      <c r="C65" t="n">
        <v>11</v>
      </c>
      <c r="D65" t="n">
        <v>10</v>
      </c>
      <c r="E65" t="s">
        <v>76</v>
      </c>
      <c r="F65" t="s"/>
      <c r="G65" t="s"/>
      <c r="H65" t="s"/>
      <c r="I65" t="s"/>
      <c r="J65" t="n">
        <v>0.9091</v>
      </c>
      <c r="K65" t="n">
        <v>0.052</v>
      </c>
      <c r="L65" t="n">
        <v>0.629</v>
      </c>
      <c r="M65" t="n">
        <v>0.319</v>
      </c>
    </row>
    <row r="66" spans="1:13">
      <c r="A66" s="1">
        <f>HYPERLINK("http://www.twitter.com/NathanBLawrence/status/998714285248385024", "998714285248385024")</f>
        <v/>
      </c>
      <c r="B66" s="2" t="n">
        <v>43241.9978587963</v>
      </c>
      <c r="C66" t="n">
        <v>0</v>
      </c>
      <c r="D66" t="n">
        <v>3</v>
      </c>
      <c r="E66" t="s">
        <v>77</v>
      </c>
      <c r="F66" t="s"/>
      <c r="G66" t="s"/>
      <c r="H66" t="s"/>
      <c r="I66" t="s"/>
      <c r="J66" t="n">
        <v>0.4404</v>
      </c>
      <c r="K66" t="n">
        <v>0</v>
      </c>
      <c r="L66" t="n">
        <v>0.843</v>
      </c>
      <c r="M66" t="n">
        <v>0.157</v>
      </c>
    </row>
    <row r="67" spans="1:13">
      <c r="A67" s="1">
        <f>HYPERLINK("http://www.twitter.com/NathanBLawrence/status/998714257360457728", "998714257360457728")</f>
        <v/>
      </c>
      <c r="B67" s="2" t="n">
        <v>43241.99777777777</v>
      </c>
      <c r="C67" t="n">
        <v>3</v>
      </c>
      <c r="D67" t="n">
        <v>3</v>
      </c>
      <c r="E67" t="s">
        <v>78</v>
      </c>
      <c r="F67" t="s"/>
      <c r="G67" t="s"/>
      <c r="H67" t="s"/>
      <c r="I67" t="s"/>
      <c r="J67" t="n">
        <v>0.4404</v>
      </c>
      <c r="K67" t="n">
        <v>0</v>
      </c>
      <c r="L67" t="n">
        <v>0.86</v>
      </c>
      <c r="M67" t="n">
        <v>0.14</v>
      </c>
    </row>
    <row r="68" spans="1:13">
      <c r="A68" s="1">
        <f>HYPERLINK("http://www.twitter.com/NathanBLawrence/status/998711584737386498", "998711584737386498")</f>
        <v/>
      </c>
      <c r="B68" s="2" t="n">
        <v>43241.99040509259</v>
      </c>
      <c r="C68" t="n">
        <v>0</v>
      </c>
      <c r="D68" t="n">
        <v>2</v>
      </c>
      <c r="E68" t="s">
        <v>79</v>
      </c>
      <c r="F68">
        <f>HYPERLINK("http://pbs.twimg.com/media/DdwijHAVMAA1yyI.jpg", "http://pbs.twimg.com/media/DdwijHAVMAA1yyI.jpg")</f>
        <v/>
      </c>
      <c r="G68" t="s"/>
      <c r="H68" t="s"/>
      <c r="I68" t="s"/>
      <c r="J68" t="n">
        <v>0</v>
      </c>
      <c r="K68" t="n">
        <v>0</v>
      </c>
      <c r="L68" t="n">
        <v>1</v>
      </c>
      <c r="M68" t="n">
        <v>0</v>
      </c>
    </row>
    <row r="69" spans="1:13">
      <c r="A69" s="1">
        <f>HYPERLINK("http://www.twitter.com/NathanBLawrence/status/998710312667840512", "998710312667840512")</f>
        <v/>
      </c>
      <c r="B69" s="2" t="n">
        <v>43241.98689814815</v>
      </c>
      <c r="C69" t="n">
        <v>0</v>
      </c>
      <c r="D69" t="n">
        <v>2</v>
      </c>
      <c r="E69" t="s">
        <v>80</v>
      </c>
      <c r="F69" t="s"/>
      <c r="G69" t="s"/>
      <c r="H69" t="s"/>
      <c r="I69" t="s"/>
      <c r="J69" t="n">
        <v>0.5574</v>
      </c>
      <c r="K69" t="n">
        <v>0</v>
      </c>
      <c r="L69" t="n">
        <v>0.765</v>
      </c>
      <c r="M69" t="n">
        <v>0.235</v>
      </c>
    </row>
    <row r="70" spans="1:13">
      <c r="A70" s="1">
        <f>HYPERLINK("http://www.twitter.com/NathanBLawrence/status/998710222402347009", "998710222402347009")</f>
        <v/>
      </c>
      <c r="B70" s="2" t="n">
        <v>43241.98664351852</v>
      </c>
      <c r="C70" t="n">
        <v>2</v>
      </c>
      <c r="D70" t="n">
        <v>2</v>
      </c>
      <c r="E70" t="s">
        <v>81</v>
      </c>
      <c r="F70" t="s"/>
      <c r="G70" t="s"/>
      <c r="H70" t="s"/>
      <c r="I70" t="s"/>
      <c r="J70" t="n">
        <v>0.5574</v>
      </c>
      <c r="K70" t="n">
        <v>0</v>
      </c>
      <c r="L70" t="n">
        <v>0.777</v>
      </c>
      <c r="M70" t="n">
        <v>0.223</v>
      </c>
    </row>
    <row r="71" spans="1:13">
      <c r="A71" s="1">
        <f>HYPERLINK("http://www.twitter.com/NathanBLawrence/status/998708573856239616", "998708573856239616")</f>
        <v/>
      </c>
      <c r="B71" s="2" t="n">
        <v>43241.98209490741</v>
      </c>
      <c r="C71" t="n">
        <v>0</v>
      </c>
      <c r="D71" t="n">
        <v>3</v>
      </c>
      <c r="E71" t="s">
        <v>82</v>
      </c>
      <c r="F71">
        <f>HYPERLINK("http://pbs.twimg.com/media/Ddwf954VQAIom0x.jpg", "http://pbs.twimg.com/media/Ddwf954VQAIom0x.jpg")</f>
        <v/>
      </c>
      <c r="G71" t="s"/>
      <c r="H71" t="s"/>
      <c r="I71" t="s"/>
      <c r="J71" t="n">
        <v>-0.5852000000000001</v>
      </c>
      <c r="K71" t="n">
        <v>0.18</v>
      </c>
      <c r="L71" t="n">
        <v>0.745</v>
      </c>
      <c r="M71" t="n">
        <v>0.076</v>
      </c>
    </row>
    <row r="72" spans="1:13">
      <c r="A72" s="1">
        <f>HYPERLINK("http://www.twitter.com/NathanBLawrence/status/998707357336121346", "998707357336121346")</f>
        <v/>
      </c>
      <c r="B72" s="2" t="n">
        <v>43241.97873842593</v>
      </c>
      <c r="C72" t="n">
        <v>0</v>
      </c>
      <c r="D72" t="n">
        <v>11</v>
      </c>
      <c r="E72" t="s">
        <v>83</v>
      </c>
      <c r="F72">
        <f>HYPERLINK("http://pbs.twimg.com/media/Ddwekf9VMAAOe3k.jpg", "http://pbs.twimg.com/media/Ddwekf9VMAAOe3k.jpg")</f>
        <v/>
      </c>
      <c r="G72" t="s"/>
      <c r="H72" t="s"/>
      <c r="I72" t="s"/>
      <c r="J72" t="n">
        <v>0</v>
      </c>
      <c r="K72" t="n">
        <v>0</v>
      </c>
      <c r="L72" t="n">
        <v>1</v>
      </c>
      <c r="M72" t="n">
        <v>0</v>
      </c>
    </row>
    <row r="73" spans="1:13">
      <c r="A73" s="1">
        <f>HYPERLINK("http://www.twitter.com/NathanBLawrence/status/998707335794216960", "998707335794216960")</f>
        <v/>
      </c>
      <c r="B73" s="2" t="n">
        <v>43241.97868055556</v>
      </c>
      <c r="C73" t="n">
        <v>16</v>
      </c>
      <c r="D73" t="n">
        <v>11</v>
      </c>
      <c r="E73" t="s">
        <v>84</v>
      </c>
      <c r="F73">
        <f>HYPERLINK("http://pbs.twimg.com/media/Ddwekf9VMAAOe3k.jpg", "http://pbs.twimg.com/media/Ddwekf9VMAAOe3k.jpg")</f>
        <v/>
      </c>
      <c r="G73" t="s"/>
      <c r="H73" t="s"/>
      <c r="I73" t="s"/>
      <c r="J73" t="n">
        <v>0.1593</v>
      </c>
      <c r="K73" t="n">
        <v>0</v>
      </c>
      <c r="L73" t="n">
        <v>0.949</v>
      </c>
      <c r="M73" t="n">
        <v>0.051</v>
      </c>
    </row>
    <row r="74" spans="1:13">
      <c r="A74" s="1">
        <f>HYPERLINK("http://www.twitter.com/NathanBLawrence/status/998705570629775370", "998705570629775370")</f>
        <v/>
      </c>
      <c r="B74" s="2" t="n">
        <v>43241.97380787037</v>
      </c>
      <c r="C74" t="n">
        <v>0</v>
      </c>
      <c r="D74" t="n">
        <v>1</v>
      </c>
      <c r="E74" t="s">
        <v>85</v>
      </c>
      <c r="F74" t="s"/>
      <c r="G74" t="s"/>
      <c r="H74" t="s"/>
      <c r="I74" t="s"/>
      <c r="J74" t="n">
        <v>0.3818</v>
      </c>
      <c r="K74" t="n">
        <v>0.05</v>
      </c>
      <c r="L74" t="n">
        <v>0.786</v>
      </c>
      <c r="M74" t="n">
        <v>0.164</v>
      </c>
    </row>
    <row r="75" spans="1:13">
      <c r="A75" s="1">
        <f>HYPERLINK("http://www.twitter.com/NathanBLawrence/status/998705511775301633", "998705511775301633")</f>
        <v/>
      </c>
      <c r="B75" s="2" t="n">
        <v>43241.97364583334</v>
      </c>
      <c r="C75" t="n">
        <v>0</v>
      </c>
      <c r="D75" t="n">
        <v>16</v>
      </c>
      <c r="E75" t="s">
        <v>86</v>
      </c>
      <c r="F75">
        <f>HYPERLINK("http://pbs.twimg.com/media/DdwdF9nU0AApFnE.jpg", "http://pbs.twimg.com/media/DdwdF9nU0AApFnE.jpg")</f>
        <v/>
      </c>
      <c r="G75">
        <f>HYPERLINK("http://pbs.twimg.com/media/DdwdGXtU0AAhSBb.jpg", "http://pbs.twimg.com/media/DdwdGXtU0AAhSBb.jpg")</f>
        <v/>
      </c>
      <c r="H75">
        <f>HYPERLINK("http://pbs.twimg.com/media/DdwdGx1VMAAvUSs.jpg", "http://pbs.twimg.com/media/DdwdGx1VMAAvUSs.jpg")</f>
        <v/>
      </c>
      <c r="I75">
        <f>HYPERLINK("http://pbs.twimg.com/media/DdwdHK7VQAAbDxG.jpg", "http://pbs.twimg.com/media/DdwdHK7VQAAbDxG.jpg")</f>
        <v/>
      </c>
      <c r="J75" t="n">
        <v>-0.3382</v>
      </c>
      <c r="K75" t="n">
        <v>0.117</v>
      </c>
      <c r="L75" t="n">
        <v>0.883</v>
      </c>
      <c r="M75" t="n">
        <v>0</v>
      </c>
    </row>
    <row r="76" spans="1:13">
      <c r="A76" s="1">
        <f>HYPERLINK("http://www.twitter.com/NathanBLawrence/status/998705451180183552", "998705451180183552")</f>
        <v/>
      </c>
      <c r="B76" s="2" t="n">
        <v>43241.9734837963</v>
      </c>
      <c r="C76" t="n">
        <v>0</v>
      </c>
      <c r="D76" t="n">
        <v>1</v>
      </c>
      <c r="E76" t="s">
        <v>87</v>
      </c>
      <c r="F76" t="s"/>
      <c r="G76" t="s"/>
      <c r="H76" t="s"/>
      <c r="I76" t="s"/>
      <c r="J76" t="n">
        <v>0.3818</v>
      </c>
      <c r="K76" t="n">
        <v>0.032</v>
      </c>
      <c r="L76" t="n">
        <v>0.864</v>
      </c>
      <c r="M76" t="n">
        <v>0.104</v>
      </c>
    </row>
    <row r="77" spans="1:13">
      <c r="A77" s="1">
        <f>HYPERLINK("http://www.twitter.com/NathanBLawrence/status/998705211131744260", "998705211131744260")</f>
        <v/>
      </c>
      <c r="B77" s="2" t="n">
        <v>43241.97282407407</v>
      </c>
      <c r="C77" t="n">
        <v>0</v>
      </c>
      <c r="D77" t="n">
        <v>6</v>
      </c>
      <c r="E77" t="s">
        <v>88</v>
      </c>
      <c r="F77">
        <f>HYPERLINK("http://pbs.twimg.com/media/DdwcO1nVMAANwI4.jpg", "http://pbs.twimg.com/media/DdwcO1nVMAANwI4.jpg")</f>
        <v/>
      </c>
      <c r="G77" t="s"/>
      <c r="H77" t="s"/>
      <c r="I77" t="s"/>
      <c r="J77" t="n">
        <v>0.4019</v>
      </c>
      <c r="K77" t="n">
        <v>0.06</v>
      </c>
      <c r="L77" t="n">
        <v>0.766</v>
      </c>
      <c r="M77" t="n">
        <v>0.174</v>
      </c>
    </row>
    <row r="78" spans="1:13">
      <c r="A78" s="1">
        <f>HYPERLINK("http://www.twitter.com/NathanBLawrence/status/998705155762802688", "998705155762802688")</f>
        <v/>
      </c>
      <c r="B78" s="2" t="n">
        <v>43241.97266203703</v>
      </c>
      <c r="C78" t="n">
        <v>0</v>
      </c>
      <c r="D78" t="n">
        <v>2</v>
      </c>
      <c r="E78" t="s">
        <v>89</v>
      </c>
      <c r="F78" t="s"/>
      <c r="G78" t="s"/>
      <c r="H78" t="s"/>
      <c r="I78" t="s"/>
      <c r="J78" t="n">
        <v>0</v>
      </c>
      <c r="K78" t="n">
        <v>0</v>
      </c>
      <c r="L78" t="n">
        <v>1</v>
      </c>
      <c r="M78" t="n">
        <v>0</v>
      </c>
    </row>
    <row r="79" spans="1:13">
      <c r="A79" s="1">
        <f>HYPERLINK("http://www.twitter.com/NathanBLawrence/status/998705106085384192", "998705106085384192")</f>
        <v/>
      </c>
      <c r="B79" s="2" t="n">
        <v>43241.97252314815</v>
      </c>
      <c r="C79" t="n">
        <v>2</v>
      </c>
      <c r="D79" t="n">
        <v>2</v>
      </c>
      <c r="E79" t="s">
        <v>90</v>
      </c>
      <c r="F79" t="s"/>
      <c r="G79" t="s"/>
      <c r="H79" t="s"/>
      <c r="I79" t="s"/>
      <c r="J79" t="n">
        <v>0</v>
      </c>
      <c r="K79" t="n">
        <v>0</v>
      </c>
      <c r="L79" t="n">
        <v>1</v>
      </c>
      <c r="M79" t="n">
        <v>0</v>
      </c>
    </row>
    <row r="80" spans="1:13">
      <c r="A80" s="1">
        <f>HYPERLINK("http://www.twitter.com/NathanBLawrence/status/998704964540293121", "998704964540293121")</f>
        <v/>
      </c>
      <c r="B80" s="2" t="n">
        <v>43241.9721412037</v>
      </c>
      <c r="C80" t="n">
        <v>0</v>
      </c>
      <c r="D80" t="n">
        <v>8</v>
      </c>
      <c r="E80" t="s">
        <v>91</v>
      </c>
      <c r="F80" t="s"/>
      <c r="G80" t="s"/>
      <c r="H80" t="s"/>
      <c r="I80" t="s"/>
      <c r="J80" t="n">
        <v>-0.3182</v>
      </c>
      <c r="K80" t="n">
        <v>0.099</v>
      </c>
      <c r="L80" t="n">
        <v>0.901</v>
      </c>
      <c r="M80" t="n">
        <v>0</v>
      </c>
    </row>
    <row r="81" spans="1:13">
      <c r="A81" s="1">
        <f>HYPERLINK("http://www.twitter.com/NathanBLawrence/status/998704923742228482", "998704923742228482")</f>
        <v/>
      </c>
      <c r="B81" s="2" t="n">
        <v>43241.97202546296</v>
      </c>
      <c r="C81" t="n">
        <v>8</v>
      </c>
      <c r="D81" t="n">
        <v>8</v>
      </c>
      <c r="E81" t="s">
        <v>92</v>
      </c>
      <c r="F81" t="s"/>
      <c r="G81" t="s"/>
      <c r="H81" t="s"/>
      <c r="I81" t="s"/>
      <c r="J81" t="n">
        <v>-0.3182</v>
      </c>
      <c r="K81" t="n">
        <v>0.08699999999999999</v>
      </c>
      <c r="L81" t="n">
        <v>0.913</v>
      </c>
      <c r="M81" t="n">
        <v>0</v>
      </c>
    </row>
    <row r="82" spans="1:13">
      <c r="A82" s="1">
        <f>HYPERLINK("http://www.twitter.com/NathanBLawrence/status/998704549031530496", "998704549031530496")</f>
        <v/>
      </c>
      <c r="B82" s="2" t="n">
        <v>43241.97099537037</v>
      </c>
      <c r="C82" t="n">
        <v>0</v>
      </c>
      <c r="D82" t="n">
        <v>8</v>
      </c>
      <c r="E82" t="s">
        <v>93</v>
      </c>
      <c r="F82" t="s"/>
      <c r="G82" t="s"/>
      <c r="H82" t="s"/>
      <c r="I82" t="s"/>
      <c r="J82" t="n">
        <v>-0.7531</v>
      </c>
      <c r="K82" t="n">
        <v>0.266</v>
      </c>
      <c r="L82" t="n">
        <v>0.734</v>
      </c>
      <c r="M82" t="n">
        <v>0</v>
      </c>
    </row>
    <row r="83" spans="1:13">
      <c r="A83" s="1">
        <f>HYPERLINK("http://www.twitter.com/NathanBLawrence/status/998704487933075463", "998704487933075463")</f>
        <v/>
      </c>
      <c r="B83" s="2" t="n">
        <v>43241.97082175926</v>
      </c>
      <c r="C83" t="n">
        <v>0</v>
      </c>
      <c r="D83" t="n">
        <v>9</v>
      </c>
      <c r="E83" t="s">
        <v>94</v>
      </c>
      <c r="F83">
        <f>HYPERLINK("http://pbs.twimg.com/media/DdwcMj5U0AEQ8AJ.jpg", "http://pbs.twimg.com/media/DdwcMj5U0AEQ8AJ.jpg")</f>
        <v/>
      </c>
      <c r="G83" t="s"/>
      <c r="H83" t="s"/>
      <c r="I83" t="s"/>
      <c r="J83" t="n">
        <v>0.4019</v>
      </c>
      <c r="K83" t="n">
        <v>0.113</v>
      </c>
      <c r="L83" t="n">
        <v>0.64</v>
      </c>
      <c r="M83" t="n">
        <v>0.246</v>
      </c>
    </row>
    <row r="84" spans="1:13">
      <c r="A84" s="1">
        <f>HYPERLINK("http://www.twitter.com/NathanBLawrence/status/998704439434326017", "998704439434326017")</f>
        <v/>
      </c>
      <c r="B84" s="2" t="n">
        <v>43241.97069444445</v>
      </c>
      <c r="C84" t="n">
        <v>10</v>
      </c>
      <c r="D84" t="n">
        <v>9</v>
      </c>
      <c r="E84" t="s">
        <v>95</v>
      </c>
      <c r="F84">
        <f>HYPERLINK("http://pbs.twimg.com/media/DdwcMj5U0AEQ8AJ.jpg", "http://pbs.twimg.com/media/DdwcMj5U0AEQ8AJ.jpg")</f>
        <v/>
      </c>
      <c r="G84" t="s"/>
      <c r="H84" t="s"/>
      <c r="I84" t="s"/>
      <c r="J84" t="n">
        <v>0.4019</v>
      </c>
      <c r="K84" t="n">
        <v>0.099</v>
      </c>
      <c r="L84" t="n">
        <v>0.6870000000000001</v>
      </c>
      <c r="M84" t="n">
        <v>0.215</v>
      </c>
    </row>
    <row r="85" spans="1:13">
      <c r="A85" s="1">
        <f>HYPERLINK("http://www.twitter.com/NathanBLawrence/status/998702652094640128", "998702652094640128")</f>
        <v/>
      </c>
      <c r="B85" s="2" t="n">
        <v>43241.96575231481</v>
      </c>
      <c r="C85" t="n">
        <v>0</v>
      </c>
      <c r="D85" t="n">
        <v>1</v>
      </c>
      <c r="E85" t="s">
        <v>96</v>
      </c>
      <c r="F85">
        <f>HYPERLINK("http://pbs.twimg.com/media/DdwaTkVU0AEU2TK.jpg", "http://pbs.twimg.com/media/DdwaTkVU0AEU2TK.jpg")</f>
        <v/>
      </c>
      <c r="G85" t="s"/>
      <c r="H85" t="s"/>
      <c r="I85" t="s"/>
      <c r="J85" t="n">
        <v>0.1803</v>
      </c>
      <c r="K85" t="n">
        <v>0.08</v>
      </c>
      <c r="L85" t="n">
        <v>0.8</v>
      </c>
      <c r="M85" t="n">
        <v>0.121</v>
      </c>
    </row>
    <row r="86" spans="1:13">
      <c r="A86" s="1">
        <f>HYPERLINK("http://www.twitter.com/NathanBLawrence/status/998702562391060481", "998702562391060481")</f>
        <v/>
      </c>
      <c r="B86" s="2" t="n">
        <v>43241.96550925926</v>
      </c>
      <c r="C86" t="n">
        <v>0</v>
      </c>
      <c r="D86" t="n">
        <v>1</v>
      </c>
      <c r="E86" t="s">
        <v>97</v>
      </c>
      <c r="F86">
        <f>HYPERLINK("http://pbs.twimg.com/media/DdwaTkVU0AEU2TK.jpg", "http://pbs.twimg.com/media/DdwaTkVU0AEU2TK.jpg")</f>
        <v/>
      </c>
      <c r="G86" t="s"/>
      <c r="H86" t="s"/>
      <c r="I86" t="s"/>
      <c r="J86" t="n">
        <v>0.1803</v>
      </c>
      <c r="K86" t="n">
        <v>0.08500000000000001</v>
      </c>
      <c r="L86" t="n">
        <v>0.787</v>
      </c>
      <c r="M86" t="n">
        <v>0.128</v>
      </c>
    </row>
    <row r="87" spans="1:13">
      <c r="A87" s="1">
        <f>HYPERLINK("http://www.twitter.com/NathanBLawrence/status/998701677925498882", "998701677925498882")</f>
        <v/>
      </c>
      <c r="B87" s="2" t="n">
        <v>43241.96306712963</v>
      </c>
      <c r="C87" t="n">
        <v>0</v>
      </c>
      <c r="D87" t="n">
        <v>0</v>
      </c>
      <c r="E87" t="s">
        <v>98</v>
      </c>
      <c r="F87" t="s"/>
      <c r="G87" t="s"/>
      <c r="H87" t="s"/>
      <c r="I87" t="s"/>
      <c r="J87" t="n">
        <v>0</v>
      </c>
      <c r="K87" t="n">
        <v>0</v>
      </c>
      <c r="L87" t="n">
        <v>1</v>
      </c>
      <c r="M87" t="n">
        <v>0</v>
      </c>
    </row>
    <row r="88" spans="1:13">
      <c r="A88" s="1">
        <f>HYPERLINK("http://www.twitter.com/NathanBLawrence/status/998701537747759106", "998701537747759106")</f>
        <v/>
      </c>
      <c r="B88" s="2" t="n">
        <v>43241.96268518519</v>
      </c>
      <c r="C88" t="n">
        <v>0</v>
      </c>
      <c r="D88" t="n">
        <v>7</v>
      </c>
      <c r="E88" t="s">
        <v>99</v>
      </c>
      <c r="F88" t="s"/>
      <c r="G88" t="s"/>
      <c r="H88" t="s"/>
      <c r="I88" t="s"/>
      <c r="J88" t="n">
        <v>0.6124000000000001</v>
      </c>
      <c r="K88" t="n">
        <v>0</v>
      </c>
      <c r="L88" t="n">
        <v>0.773</v>
      </c>
      <c r="M88" t="n">
        <v>0.227</v>
      </c>
    </row>
    <row r="89" spans="1:13">
      <c r="A89" s="1">
        <f>HYPERLINK("http://www.twitter.com/NathanBLawrence/status/998701441719197696", "998701441719197696")</f>
        <v/>
      </c>
      <c r="B89" s="2" t="n">
        <v>43241.96241898148</v>
      </c>
      <c r="C89" t="n">
        <v>8</v>
      </c>
      <c r="D89" t="n">
        <v>7</v>
      </c>
      <c r="E89" t="s">
        <v>100</v>
      </c>
      <c r="F89" t="s"/>
      <c r="G89" t="s"/>
      <c r="H89" t="s"/>
      <c r="I89" t="s"/>
      <c r="J89" t="n">
        <v>0.296</v>
      </c>
      <c r="K89" t="n">
        <v>0.083</v>
      </c>
      <c r="L89" t="n">
        <v>0.769</v>
      </c>
      <c r="M89" t="n">
        <v>0.148</v>
      </c>
    </row>
    <row r="90" spans="1:13">
      <c r="A90" s="1">
        <f>HYPERLINK("http://www.twitter.com/NathanBLawrence/status/998700996409872385", "998700996409872385")</f>
        <v/>
      </c>
      <c r="B90" s="2" t="n">
        <v>43241.96119212963</v>
      </c>
      <c r="C90" t="n">
        <v>9</v>
      </c>
      <c r="D90" t="n">
        <v>8</v>
      </c>
      <c r="E90" t="s">
        <v>101</v>
      </c>
      <c r="F90" t="s"/>
      <c r="G90" t="s"/>
      <c r="H90" t="s"/>
      <c r="I90" t="s"/>
      <c r="J90" t="n">
        <v>-0.1779</v>
      </c>
      <c r="K90" t="n">
        <v>0.151</v>
      </c>
      <c r="L90" t="n">
        <v>0.731</v>
      </c>
      <c r="M90" t="n">
        <v>0.119</v>
      </c>
    </row>
    <row r="91" spans="1:13">
      <c r="A91" s="1">
        <f>HYPERLINK("http://www.twitter.com/NathanBLawrence/status/998686531434024960", "998686531434024960")</f>
        <v/>
      </c>
      <c r="B91" s="2" t="n">
        <v>43241.92127314815</v>
      </c>
      <c r="C91" t="n">
        <v>0</v>
      </c>
      <c r="D91" t="n">
        <v>0</v>
      </c>
      <c r="E91" t="s">
        <v>102</v>
      </c>
      <c r="F91" t="s"/>
      <c r="G91" t="s"/>
      <c r="H91" t="s"/>
      <c r="I91" t="s"/>
      <c r="J91" t="n">
        <v>0.6705</v>
      </c>
      <c r="K91" t="n">
        <v>0</v>
      </c>
      <c r="L91" t="n">
        <v>0.703</v>
      </c>
      <c r="M91" t="n">
        <v>0.297</v>
      </c>
    </row>
    <row r="92" spans="1:13">
      <c r="A92" s="1">
        <f>HYPERLINK("http://www.twitter.com/NathanBLawrence/status/998686387472912385", "998686387472912385")</f>
        <v/>
      </c>
      <c r="B92" s="2" t="n">
        <v>43241.92087962963</v>
      </c>
      <c r="C92" t="n">
        <v>1</v>
      </c>
      <c r="D92" t="n">
        <v>0</v>
      </c>
      <c r="E92" t="s">
        <v>103</v>
      </c>
      <c r="F92" t="s"/>
      <c r="G92" t="s"/>
      <c r="H92" t="s"/>
      <c r="I92" t="s"/>
      <c r="J92" t="n">
        <v>0.6705</v>
      </c>
      <c r="K92" t="n">
        <v>0</v>
      </c>
      <c r="L92" t="n">
        <v>0.703</v>
      </c>
      <c r="M92" t="n">
        <v>0.297</v>
      </c>
    </row>
    <row r="93" spans="1:13">
      <c r="A93" s="1">
        <f>HYPERLINK("http://www.twitter.com/NathanBLawrence/status/998686353045979137", "998686353045979137")</f>
        <v/>
      </c>
      <c r="B93" s="2" t="n">
        <v>43241.92077546296</v>
      </c>
      <c r="C93" t="n">
        <v>0</v>
      </c>
      <c r="D93" t="n">
        <v>0</v>
      </c>
      <c r="E93" t="s">
        <v>52</v>
      </c>
      <c r="F93" t="s"/>
      <c r="G93" t="s"/>
      <c r="H93" t="s"/>
      <c r="I93" t="s"/>
      <c r="J93" t="n">
        <v>0.6705</v>
      </c>
      <c r="K93" t="n">
        <v>0</v>
      </c>
      <c r="L93" t="n">
        <v>0.703</v>
      </c>
      <c r="M93" t="n">
        <v>0.297</v>
      </c>
    </row>
    <row r="94" spans="1:13">
      <c r="A94" s="1">
        <f>HYPERLINK("http://www.twitter.com/NathanBLawrence/status/998686181817835522", "998686181817835522")</f>
        <v/>
      </c>
      <c r="B94" s="2" t="n">
        <v>43241.9203125</v>
      </c>
      <c r="C94" t="n">
        <v>1</v>
      </c>
      <c r="D94" t="n">
        <v>0</v>
      </c>
      <c r="E94" t="s">
        <v>104</v>
      </c>
      <c r="F94" t="s"/>
      <c r="G94" t="s"/>
      <c r="H94" t="s"/>
      <c r="I94" t="s"/>
      <c r="J94" t="n">
        <v>0.6705</v>
      </c>
      <c r="K94" t="n">
        <v>0</v>
      </c>
      <c r="L94" t="n">
        <v>0.703</v>
      </c>
      <c r="M94" t="n">
        <v>0.297</v>
      </c>
    </row>
    <row r="95" spans="1:13">
      <c r="A95" s="1">
        <f>HYPERLINK("http://www.twitter.com/NathanBLawrence/status/998686134166282241", "998686134166282241")</f>
        <v/>
      </c>
      <c r="B95" s="2" t="n">
        <v>43241.92017361111</v>
      </c>
      <c r="C95" t="n">
        <v>1</v>
      </c>
      <c r="D95" t="n">
        <v>0</v>
      </c>
      <c r="E95" t="s">
        <v>105</v>
      </c>
      <c r="F95" t="s"/>
      <c r="G95" t="s"/>
      <c r="H95" t="s"/>
      <c r="I95" t="s"/>
      <c r="J95" t="n">
        <v>0.6573</v>
      </c>
      <c r="K95" t="n">
        <v>0</v>
      </c>
      <c r="L95" t="n">
        <v>0.672</v>
      </c>
      <c r="M95" t="n">
        <v>0.328</v>
      </c>
    </row>
    <row r="96" spans="1:13">
      <c r="A96" s="1">
        <f>HYPERLINK("http://www.twitter.com/NathanBLawrence/status/998686019645005824", "998686019645005824")</f>
        <v/>
      </c>
      <c r="B96" s="2" t="n">
        <v>43241.91986111111</v>
      </c>
      <c r="C96" t="n">
        <v>0</v>
      </c>
      <c r="D96" t="n">
        <v>1</v>
      </c>
      <c r="E96" t="s">
        <v>106</v>
      </c>
      <c r="F96" t="s"/>
      <c r="G96" t="s"/>
      <c r="H96" t="s"/>
      <c r="I96" t="s"/>
      <c r="J96" t="n">
        <v>0.0323</v>
      </c>
      <c r="K96" t="n">
        <v>0</v>
      </c>
      <c r="L96" t="n">
        <v>0.944</v>
      </c>
      <c r="M96" t="n">
        <v>0.056</v>
      </c>
    </row>
    <row r="97" spans="1:13">
      <c r="A97" s="1">
        <f>HYPERLINK("http://www.twitter.com/NathanBLawrence/status/998684929415352320", "998684929415352320")</f>
        <v/>
      </c>
      <c r="B97" s="2" t="n">
        <v>43241.91685185185</v>
      </c>
      <c r="C97" t="n">
        <v>0</v>
      </c>
      <c r="D97" t="n">
        <v>0</v>
      </c>
      <c r="E97" t="s">
        <v>107</v>
      </c>
      <c r="F97" t="s"/>
      <c r="G97" t="s"/>
      <c r="H97" t="s"/>
      <c r="I97" t="s"/>
      <c r="J97" t="n">
        <v>0.6705</v>
      </c>
      <c r="K97" t="n">
        <v>0</v>
      </c>
      <c r="L97" t="n">
        <v>0.744</v>
      </c>
      <c r="M97" t="n">
        <v>0.256</v>
      </c>
    </row>
    <row r="98" spans="1:13">
      <c r="A98" s="1">
        <f>HYPERLINK("http://www.twitter.com/NathanBLawrence/status/998683414273429504", "998683414273429504")</f>
        <v/>
      </c>
      <c r="B98" s="2" t="n">
        <v>43241.91267361111</v>
      </c>
      <c r="C98" t="n">
        <v>0</v>
      </c>
      <c r="D98" t="n">
        <v>2</v>
      </c>
      <c r="E98" t="s">
        <v>108</v>
      </c>
      <c r="F98" t="s"/>
      <c r="G98" t="s"/>
      <c r="H98" t="s"/>
      <c r="I98" t="s"/>
      <c r="J98" t="n">
        <v>0.4201</v>
      </c>
      <c r="K98" t="n">
        <v>0</v>
      </c>
      <c r="L98" t="n">
        <v>0.866</v>
      </c>
      <c r="M98" t="n">
        <v>0.134</v>
      </c>
    </row>
    <row r="99" spans="1:13">
      <c r="A99" s="1">
        <f>HYPERLINK("http://www.twitter.com/NathanBLawrence/status/998683384636461056", "998683384636461056")</f>
        <v/>
      </c>
      <c r="B99" s="2" t="n">
        <v>43241.91259259259</v>
      </c>
      <c r="C99" t="n">
        <v>4</v>
      </c>
      <c r="D99" t="n">
        <v>2</v>
      </c>
      <c r="E99" t="s">
        <v>109</v>
      </c>
      <c r="F99" t="s"/>
      <c r="G99" t="s"/>
      <c r="H99" t="s"/>
      <c r="I99" t="s"/>
      <c r="J99" t="n">
        <v>0.6674</v>
      </c>
      <c r="K99" t="n">
        <v>0</v>
      </c>
      <c r="L99" t="n">
        <v>0.8139999999999999</v>
      </c>
      <c r="M99" t="n">
        <v>0.186</v>
      </c>
    </row>
    <row r="100" spans="1:13">
      <c r="A100" s="1">
        <f>HYPERLINK("http://www.twitter.com/NathanBLawrence/status/998682069298548736", "998682069298548736")</f>
        <v/>
      </c>
      <c r="B100" s="2" t="n">
        <v>43241.90895833333</v>
      </c>
      <c r="C100" t="n">
        <v>0</v>
      </c>
      <c r="D100" t="n">
        <v>5</v>
      </c>
      <c r="E100" t="s">
        <v>110</v>
      </c>
      <c r="F100" t="s"/>
      <c r="G100" t="s"/>
      <c r="H100" t="s"/>
      <c r="I100" t="s"/>
      <c r="J100" t="n">
        <v>0</v>
      </c>
      <c r="K100" t="n">
        <v>0</v>
      </c>
      <c r="L100" t="n">
        <v>1</v>
      </c>
      <c r="M100" t="n">
        <v>0</v>
      </c>
    </row>
    <row r="101" spans="1:13">
      <c r="A101" s="1">
        <f>HYPERLINK("http://www.twitter.com/NathanBLawrence/status/998676239769579520", "998676239769579520")</f>
        <v/>
      </c>
      <c r="B101" s="2" t="n">
        <v>43241.89287037037</v>
      </c>
      <c r="C101" t="n">
        <v>0</v>
      </c>
      <c r="D101" t="n">
        <v>2</v>
      </c>
      <c r="E101" t="s">
        <v>111</v>
      </c>
      <c r="F101" t="s"/>
      <c r="G101" t="s"/>
      <c r="H101" t="s"/>
      <c r="I101" t="s"/>
      <c r="J101" t="n">
        <v>0</v>
      </c>
      <c r="K101" t="n">
        <v>0</v>
      </c>
      <c r="L101" t="n">
        <v>1</v>
      </c>
      <c r="M101" t="n">
        <v>0</v>
      </c>
    </row>
    <row r="102" spans="1:13">
      <c r="A102" s="1">
        <f>HYPERLINK("http://www.twitter.com/NathanBLawrence/status/998660788087873536", "998660788087873536")</f>
        <v/>
      </c>
      <c r="B102" s="2" t="n">
        <v>43241.85023148148</v>
      </c>
      <c r="C102" t="n">
        <v>0</v>
      </c>
      <c r="D102" t="n">
        <v>1</v>
      </c>
      <c r="E102" t="s">
        <v>112</v>
      </c>
      <c r="F102" t="s"/>
      <c r="G102" t="s"/>
      <c r="H102" t="s"/>
      <c r="I102" t="s"/>
      <c r="J102" t="n">
        <v>-0.5106000000000001</v>
      </c>
      <c r="K102" t="n">
        <v>0.142</v>
      </c>
      <c r="L102" t="n">
        <v>0.858</v>
      </c>
      <c r="M102" t="n">
        <v>0</v>
      </c>
    </row>
    <row r="103" spans="1:13">
      <c r="A103" s="1">
        <f>HYPERLINK("http://www.twitter.com/NathanBLawrence/status/998660743150137345", "998660743150137345")</f>
        <v/>
      </c>
      <c r="B103" s="2" t="n">
        <v>43241.85011574074</v>
      </c>
      <c r="C103" t="n">
        <v>2</v>
      </c>
      <c r="D103" t="n">
        <v>1</v>
      </c>
      <c r="E103" t="s">
        <v>113</v>
      </c>
      <c r="F103" t="s"/>
      <c r="G103" t="s"/>
      <c r="H103" t="s"/>
      <c r="I103" t="s"/>
      <c r="J103" t="n">
        <v>-0.0516</v>
      </c>
      <c r="K103" t="n">
        <v>0.099</v>
      </c>
      <c r="L103" t="n">
        <v>0.8080000000000001</v>
      </c>
      <c r="M103" t="n">
        <v>0.093</v>
      </c>
    </row>
    <row r="104" spans="1:13">
      <c r="A104" s="1">
        <f>HYPERLINK("http://www.twitter.com/NathanBLawrence/status/998640673724170241", "998640673724170241")</f>
        <v/>
      </c>
      <c r="B104" s="2" t="n">
        <v>43241.7947337963</v>
      </c>
      <c r="C104" t="n">
        <v>0</v>
      </c>
      <c r="D104" t="n">
        <v>0</v>
      </c>
      <c r="E104" t="s">
        <v>114</v>
      </c>
      <c r="F104" t="s"/>
      <c r="G104" t="s"/>
      <c r="H104" t="s"/>
      <c r="I104" t="s"/>
      <c r="J104" t="n">
        <v>0.6705</v>
      </c>
      <c r="K104" t="n">
        <v>0</v>
      </c>
      <c r="L104" t="n">
        <v>0.718</v>
      </c>
      <c r="M104" t="n">
        <v>0.282</v>
      </c>
    </row>
    <row r="105" spans="1:13">
      <c r="A105" s="1">
        <f>HYPERLINK("http://www.twitter.com/NathanBLawrence/status/998640629239476224", "998640629239476224")</f>
        <v/>
      </c>
      <c r="B105" s="2" t="n">
        <v>43241.79460648148</v>
      </c>
      <c r="C105" t="n">
        <v>0</v>
      </c>
      <c r="D105" t="n">
        <v>0</v>
      </c>
      <c r="E105" t="s">
        <v>115</v>
      </c>
      <c r="F105" t="s"/>
      <c r="G105" t="s"/>
      <c r="H105" t="s"/>
      <c r="I105" t="s"/>
      <c r="J105" t="n">
        <v>0.6705</v>
      </c>
      <c r="K105" t="n">
        <v>0</v>
      </c>
      <c r="L105" t="n">
        <v>0.703</v>
      </c>
      <c r="M105" t="n">
        <v>0.297</v>
      </c>
    </row>
    <row r="106" spans="1:13">
      <c r="A106" s="1">
        <f>HYPERLINK("http://www.twitter.com/NathanBLawrence/status/998640584591052802", "998640584591052802")</f>
        <v/>
      </c>
      <c r="B106" s="2" t="n">
        <v>43241.79447916667</v>
      </c>
      <c r="C106" t="n">
        <v>0</v>
      </c>
      <c r="D106" t="n">
        <v>0</v>
      </c>
      <c r="E106" t="s">
        <v>116</v>
      </c>
      <c r="F106" t="s"/>
      <c r="G106" t="s"/>
      <c r="H106" t="s"/>
      <c r="I106" t="s"/>
      <c r="J106" t="n">
        <v>0.6705</v>
      </c>
      <c r="K106" t="n">
        <v>0</v>
      </c>
      <c r="L106" t="n">
        <v>0.756</v>
      </c>
      <c r="M106" t="n">
        <v>0.244</v>
      </c>
    </row>
    <row r="107" spans="1:13">
      <c r="A107" s="1">
        <f>HYPERLINK("http://www.twitter.com/NathanBLawrence/status/998624367314685952", "998624367314685952")</f>
        <v/>
      </c>
      <c r="B107" s="2" t="n">
        <v>43241.7497337963</v>
      </c>
      <c r="C107" t="n">
        <v>0</v>
      </c>
      <c r="D107" t="n">
        <v>1</v>
      </c>
      <c r="E107" t="s">
        <v>117</v>
      </c>
      <c r="F107" t="s"/>
      <c r="G107" t="s"/>
      <c r="H107" t="s"/>
      <c r="I107" t="s"/>
      <c r="J107" t="n">
        <v>0.4767</v>
      </c>
      <c r="K107" t="n">
        <v>0</v>
      </c>
      <c r="L107" t="n">
        <v>0.83</v>
      </c>
      <c r="M107" t="n">
        <v>0.17</v>
      </c>
    </row>
    <row r="108" spans="1:13">
      <c r="A108" s="1">
        <f>HYPERLINK("http://www.twitter.com/NathanBLawrence/status/998624307528990720", "998624307528990720")</f>
        <v/>
      </c>
      <c r="B108" s="2" t="n">
        <v>43241.74957175926</v>
      </c>
      <c r="C108" t="n">
        <v>4</v>
      </c>
      <c r="D108" t="n">
        <v>1</v>
      </c>
      <c r="E108" t="s">
        <v>118</v>
      </c>
      <c r="F108" t="s"/>
      <c r="G108" t="s"/>
      <c r="H108" t="s"/>
      <c r="I108" t="s"/>
      <c r="J108" t="n">
        <v>0.0258</v>
      </c>
      <c r="K108" t="n">
        <v>0.131</v>
      </c>
      <c r="L108" t="n">
        <v>0.713</v>
      </c>
      <c r="M108" t="n">
        <v>0.156</v>
      </c>
    </row>
    <row r="109" spans="1:13">
      <c r="A109" s="1">
        <f>HYPERLINK("http://www.twitter.com/NathanBLawrence/status/998622336348774401", "998622336348774401")</f>
        <v/>
      </c>
      <c r="B109" s="2" t="n">
        <v>43241.74413194445</v>
      </c>
      <c r="C109" t="n">
        <v>0</v>
      </c>
      <c r="D109" t="n">
        <v>0</v>
      </c>
      <c r="E109" t="s">
        <v>119</v>
      </c>
      <c r="F109" t="s"/>
      <c r="G109" t="s"/>
      <c r="H109" t="s"/>
      <c r="I109" t="s"/>
      <c r="J109" t="n">
        <v>0.6705</v>
      </c>
      <c r="K109" t="n">
        <v>0</v>
      </c>
      <c r="L109" t="n">
        <v>0.703</v>
      </c>
      <c r="M109" t="n">
        <v>0.297</v>
      </c>
    </row>
    <row r="110" spans="1:13">
      <c r="A110" s="1">
        <f>HYPERLINK("http://www.twitter.com/NathanBLawrence/status/998614734034427909", "998614734034427909")</f>
        <v/>
      </c>
      <c r="B110" s="2" t="n">
        <v>43241.72314814815</v>
      </c>
      <c r="C110" t="n">
        <v>0</v>
      </c>
      <c r="D110" t="n">
        <v>4</v>
      </c>
      <c r="E110" t="s">
        <v>120</v>
      </c>
      <c r="F110" t="s"/>
      <c r="G110" t="s"/>
      <c r="H110" t="s"/>
      <c r="I110" t="s"/>
      <c r="J110" t="n">
        <v>0.7423999999999999</v>
      </c>
      <c r="K110" t="n">
        <v>0</v>
      </c>
      <c r="L110" t="n">
        <v>0.628</v>
      </c>
      <c r="M110" t="n">
        <v>0.372</v>
      </c>
    </row>
    <row r="111" spans="1:13">
      <c r="A111" s="1">
        <f>HYPERLINK("http://www.twitter.com/NathanBLawrence/status/998612482972356609", "998612482972356609")</f>
        <v/>
      </c>
      <c r="B111" s="2" t="n">
        <v>43241.71693287037</v>
      </c>
      <c r="C111" t="n">
        <v>0</v>
      </c>
      <c r="D111" t="n">
        <v>1</v>
      </c>
      <c r="E111" t="s">
        <v>121</v>
      </c>
      <c r="F111" t="s"/>
      <c r="G111" t="s"/>
      <c r="H111" t="s"/>
      <c r="I111" t="s"/>
      <c r="J111" t="n">
        <v>0</v>
      </c>
      <c r="K111" t="n">
        <v>0</v>
      </c>
      <c r="L111" t="n">
        <v>1</v>
      </c>
      <c r="M111" t="n">
        <v>0</v>
      </c>
    </row>
    <row r="112" spans="1:13">
      <c r="A112" s="1">
        <f>HYPERLINK("http://www.twitter.com/NathanBLawrence/status/998612374809645058", "998612374809645058")</f>
        <v/>
      </c>
      <c r="B112" s="2" t="n">
        <v>43241.71664351852</v>
      </c>
      <c r="C112" t="n">
        <v>0</v>
      </c>
      <c r="D112" t="n">
        <v>1</v>
      </c>
      <c r="E112" t="s">
        <v>122</v>
      </c>
      <c r="F112" t="s"/>
      <c r="G112" t="s"/>
      <c r="H112" t="s"/>
      <c r="I112" t="s"/>
      <c r="J112" t="n">
        <v>0.6705</v>
      </c>
      <c r="K112" t="n">
        <v>0</v>
      </c>
      <c r="L112" t="n">
        <v>0.831</v>
      </c>
      <c r="M112" t="n">
        <v>0.169</v>
      </c>
    </row>
    <row r="113" spans="1:13">
      <c r="A113" s="1">
        <f>HYPERLINK("http://www.twitter.com/NathanBLawrence/status/998611894763171840", "998611894763171840")</f>
        <v/>
      </c>
      <c r="B113" s="2" t="n">
        <v>43241.7153125</v>
      </c>
      <c r="C113" t="n">
        <v>0</v>
      </c>
      <c r="D113" t="n">
        <v>0</v>
      </c>
      <c r="E113" t="s">
        <v>123</v>
      </c>
      <c r="F113" t="s"/>
      <c r="G113" t="s"/>
      <c r="H113" t="s"/>
      <c r="I113" t="s"/>
      <c r="J113" t="n">
        <v>0.6705</v>
      </c>
      <c r="K113" t="n">
        <v>0</v>
      </c>
      <c r="L113" t="n">
        <v>0.703</v>
      </c>
      <c r="M113" t="n">
        <v>0.297</v>
      </c>
    </row>
    <row r="114" spans="1:13">
      <c r="A114" s="1">
        <f>HYPERLINK("http://www.twitter.com/NathanBLawrence/status/998610998700527616", "998610998700527616")</f>
        <v/>
      </c>
      <c r="B114" s="2" t="n">
        <v>43241.71284722222</v>
      </c>
      <c r="C114" t="n">
        <v>0</v>
      </c>
      <c r="D114" t="n">
        <v>16</v>
      </c>
      <c r="E114" t="s">
        <v>124</v>
      </c>
      <c r="F114" t="s"/>
      <c r="G114" t="s"/>
      <c r="H114" t="s"/>
      <c r="I114" t="s"/>
      <c r="J114" t="n">
        <v>-0.4767</v>
      </c>
      <c r="K114" t="n">
        <v>0.163</v>
      </c>
      <c r="L114" t="n">
        <v>0.837</v>
      </c>
      <c r="M114" t="n">
        <v>0</v>
      </c>
    </row>
    <row r="115" spans="1:13">
      <c r="A115" s="1">
        <f>HYPERLINK("http://www.twitter.com/NathanBLawrence/status/998596976424947713", "998596976424947713")</f>
        <v/>
      </c>
      <c r="B115" s="2" t="n">
        <v>43241.67414351852</v>
      </c>
      <c r="C115" t="n">
        <v>1</v>
      </c>
      <c r="D115" t="n">
        <v>0</v>
      </c>
      <c r="E115" t="s">
        <v>125</v>
      </c>
      <c r="F115" t="s"/>
      <c r="G115" t="s"/>
      <c r="H115" t="s"/>
      <c r="I115" t="s"/>
      <c r="J115" t="n">
        <v>0.6705</v>
      </c>
      <c r="K115" t="n">
        <v>0</v>
      </c>
      <c r="L115" t="n">
        <v>0.703</v>
      </c>
      <c r="M115" t="n">
        <v>0.297</v>
      </c>
    </row>
    <row r="116" spans="1:13">
      <c r="A116" s="1">
        <f>HYPERLINK("http://www.twitter.com/NathanBLawrence/status/998596926957375489", "998596926957375489")</f>
        <v/>
      </c>
      <c r="B116" s="2" t="n">
        <v>43241.6740162037</v>
      </c>
      <c r="C116" t="n">
        <v>0</v>
      </c>
      <c r="D116" t="n">
        <v>4</v>
      </c>
      <c r="E116" t="s">
        <v>126</v>
      </c>
      <c r="F116" t="s"/>
      <c r="G116" t="s"/>
      <c r="H116" t="s"/>
      <c r="I116" t="s"/>
      <c r="J116" t="n">
        <v>0.5859</v>
      </c>
      <c r="K116" t="n">
        <v>0</v>
      </c>
      <c r="L116" t="n">
        <v>0.759</v>
      </c>
      <c r="M116" t="n">
        <v>0.241</v>
      </c>
    </row>
    <row r="117" spans="1:13">
      <c r="A117" s="1">
        <f>HYPERLINK("http://www.twitter.com/NathanBLawrence/status/998596748992970753", "998596748992970753")</f>
        <v/>
      </c>
      <c r="B117" s="2" t="n">
        <v>43241.67351851852</v>
      </c>
      <c r="C117" t="n">
        <v>0</v>
      </c>
      <c r="D117" t="n">
        <v>8</v>
      </c>
      <c r="E117" t="s">
        <v>127</v>
      </c>
      <c r="F117" t="s"/>
      <c r="G117" t="s"/>
      <c r="H117" t="s"/>
      <c r="I117" t="s"/>
      <c r="J117" t="n">
        <v>0</v>
      </c>
      <c r="K117" t="n">
        <v>0</v>
      </c>
      <c r="L117" t="n">
        <v>1</v>
      </c>
      <c r="M117" t="n">
        <v>0</v>
      </c>
    </row>
    <row r="118" spans="1:13">
      <c r="A118" s="1">
        <f>HYPERLINK("http://www.twitter.com/NathanBLawrence/status/998581862120480768", "998581862120480768")</f>
        <v/>
      </c>
      <c r="B118" s="2" t="n">
        <v>43241.63244212963</v>
      </c>
      <c r="C118" t="n">
        <v>0</v>
      </c>
      <c r="D118" t="n">
        <v>5</v>
      </c>
      <c r="E118" t="s">
        <v>128</v>
      </c>
      <c r="F118" t="s"/>
      <c r="G118" t="s"/>
      <c r="H118" t="s"/>
      <c r="I118" t="s"/>
      <c r="J118" t="n">
        <v>0.7902</v>
      </c>
      <c r="K118" t="n">
        <v>0.064</v>
      </c>
      <c r="L118" t="n">
        <v>0.551</v>
      </c>
      <c r="M118" t="n">
        <v>0.385</v>
      </c>
    </row>
    <row r="119" spans="1:13">
      <c r="A119" s="1">
        <f>HYPERLINK("http://www.twitter.com/NathanBLawrence/status/998579852948230144", "998579852948230144")</f>
        <v/>
      </c>
      <c r="B119" s="2" t="n">
        <v>43241.62689814815</v>
      </c>
      <c r="C119" t="n">
        <v>0</v>
      </c>
      <c r="D119" t="n">
        <v>6</v>
      </c>
      <c r="E119" t="s">
        <v>129</v>
      </c>
      <c r="F119" t="s"/>
      <c r="G119" t="s"/>
      <c r="H119" t="s"/>
      <c r="I119" t="s"/>
      <c r="J119" t="n">
        <v>0</v>
      </c>
      <c r="K119" t="n">
        <v>0</v>
      </c>
      <c r="L119" t="n">
        <v>1</v>
      </c>
      <c r="M119" t="n">
        <v>0</v>
      </c>
    </row>
    <row r="120" spans="1:13">
      <c r="A120" s="1">
        <f>HYPERLINK("http://www.twitter.com/NathanBLawrence/status/998571072785182720", "998571072785182720")</f>
        <v/>
      </c>
      <c r="B120" s="2" t="n">
        <v>43241.60266203704</v>
      </c>
      <c r="C120" t="n">
        <v>0</v>
      </c>
      <c r="D120" t="n">
        <v>0</v>
      </c>
      <c r="E120" t="s">
        <v>130</v>
      </c>
      <c r="F120" t="s"/>
      <c r="G120" t="s"/>
      <c r="H120" t="s"/>
      <c r="I120" t="s"/>
      <c r="J120" t="n">
        <v>0.6705</v>
      </c>
      <c r="K120" t="n">
        <v>0</v>
      </c>
      <c r="L120" t="n">
        <v>0.703</v>
      </c>
      <c r="M120" t="n">
        <v>0.297</v>
      </c>
    </row>
    <row r="121" spans="1:13">
      <c r="A121" s="1">
        <f>HYPERLINK("http://www.twitter.com/NathanBLawrence/status/998390463186063362", "998390463186063362")</f>
        <v/>
      </c>
      <c r="B121" s="2" t="n">
        <v>43241.10428240741</v>
      </c>
      <c r="C121" t="n">
        <v>5</v>
      </c>
      <c r="D121" t="n">
        <v>4</v>
      </c>
      <c r="E121" t="s">
        <v>131</v>
      </c>
      <c r="F121" t="s"/>
      <c r="G121" t="s"/>
      <c r="H121" t="s"/>
      <c r="I121" t="s"/>
      <c r="J121" t="n">
        <v>0.6705</v>
      </c>
      <c r="K121" t="n">
        <v>0</v>
      </c>
      <c r="L121" t="n">
        <v>0.703</v>
      </c>
      <c r="M121" t="n">
        <v>0.297</v>
      </c>
    </row>
    <row r="122" spans="1:13">
      <c r="A122" s="1">
        <f>HYPERLINK("http://www.twitter.com/NathanBLawrence/status/998390351445528576", "998390351445528576")</f>
        <v/>
      </c>
      <c r="B122" s="2" t="n">
        <v>43241.10396990741</v>
      </c>
      <c r="C122" t="n">
        <v>0</v>
      </c>
      <c r="D122" t="n">
        <v>1</v>
      </c>
      <c r="E122" t="s">
        <v>132</v>
      </c>
      <c r="F122" t="s"/>
      <c r="G122" t="s"/>
      <c r="H122" t="s"/>
      <c r="I122" t="s"/>
      <c r="J122" t="n">
        <v>0.6705</v>
      </c>
      <c r="K122" t="n">
        <v>0</v>
      </c>
      <c r="L122" t="n">
        <v>0.732</v>
      </c>
      <c r="M122" t="n">
        <v>0.268</v>
      </c>
    </row>
    <row r="123" spans="1:13">
      <c r="A123" s="1">
        <f>HYPERLINK("http://www.twitter.com/NathanBLawrence/status/998390335872086016", "998390335872086016")</f>
        <v/>
      </c>
      <c r="B123" s="2" t="n">
        <v>43241.10392361111</v>
      </c>
      <c r="C123" t="n">
        <v>1</v>
      </c>
      <c r="D123" t="n">
        <v>1</v>
      </c>
      <c r="E123" t="s">
        <v>133</v>
      </c>
      <c r="F123" t="s"/>
      <c r="G123" t="s"/>
      <c r="H123" t="s"/>
      <c r="I123" t="s"/>
      <c r="J123" t="n">
        <v>0.6705</v>
      </c>
      <c r="K123" t="n">
        <v>0</v>
      </c>
      <c r="L123" t="n">
        <v>0.703</v>
      </c>
      <c r="M123" t="n">
        <v>0.297</v>
      </c>
    </row>
    <row r="124" spans="1:13">
      <c r="A124" s="1">
        <f>HYPERLINK("http://www.twitter.com/NathanBLawrence/status/998383574209433600", "998383574209433600")</f>
        <v/>
      </c>
      <c r="B124" s="2" t="n">
        <v>43241.08526620371</v>
      </c>
      <c r="C124" t="n">
        <v>1</v>
      </c>
      <c r="D124" t="n">
        <v>0</v>
      </c>
      <c r="E124" t="s">
        <v>134</v>
      </c>
      <c r="F124" t="s"/>
      <c r="G124" t="s"/>
      <c r="H124" t="s"/>
      <c r="I124" t="s"/>
      <c r="J124" t="n">
        <v>0.6705</v>
      </c>
      <c r="K124" t="n">
        <v>0</v>
      </c>
      <c r="L124" t="n">
        <v>0.718</v>
      </c>
      <c r="M124" t="n">
        <v>0.282</v>
      </c>
    </row>
    <row r="125" spans="1:13">
      <c r="A125" s="1">
        <f>HYPERLINK("http://www.twitter.com/NathanBLawrence/status/998380832803913728", "998380832803913728")</f>
        <v/>
      </c>
      <c r="B125" s="2" t="n">
        <v>43241.07770833333</v>
      </c>
      <c r="C125" t="n">
        <v>0</v>
      </c>
      <c r="D125" t="n">
        <v>4</v>
      </c>
      <c r="E125" t="s">
        <v>135</v>
      </c>
      <c r="F125" t="s"/>
      <c r="G125" t="s"/>
      <c r="H125" t="s"/>
      <c r="I125" t="s"/>
      <c r="J125" t="n">
        <v>0.6705</v>
      </c>
      <c r="K125" t="n">
        <v>0</v>
      </c>
      <c r="L125" t="n">
        <v>0.732</v>
      </c>
      <c r="M125" t="n">
        <v>0.268</v>
      </c>
    </row>
    <row r="126" spans="1:13">
      <c r="A126" s="1">
        <f>HYPERLINK("http://www.twitter.com/NathanBLawrence/status/998380800575004672", "998380800575004672")</f>
        <v/>
      </c>
      <c r="B126" s="2" t="n">
        <v>43241.07761574074</v>
      </c>
      <c r="C126" t="n">
        <v>4</v>
      </c>
      <c r="D126" t="n">
        <v>4</v>
      </c>
      <c r="E126" t="s">
        <v>136</v>
      </c>
      <c r="F126" t="s"/>
      <c r="G126" t="s"/>
      <c r="H126" t="s"/>
      <c r="I126" t="s"/>
      <c r="J126" t="n">
        <v>0.6705</v>
      </c>
      <c r="K126" t="n">
        <v>0</v>
      </c>
      <c r="L126" t="n">
        <v>0.703</v>
      </c>
      <c r="M126" t="n">
        <v>0.297</v>
      </c>
    </row>
    <row r="127" spans="1:13">
      <c r="A127" s="1">
        <f>HYPERLINK("http://www.twitter.com/NathanBLawrence/status/998344081658040321", "998344081658040321")</f>
        <v/>
      </c>
      <c r="B127" s="2" t="n">
        <v>43240.9762962963</v>
      </c>
      <c r="C127" t="n">
        <v>0</v>
      </c>
      <c r="D127" t="n">
        <v>1</v>
      </c>
      <c r="E127" t="s">
        <v>137</v>
      </c>
      <c r="F127" t="s"/>
      <c r="G127" t="s"/>
      <c r="H127" t="s"/>
      <c r="I127" t="s"/>
      <c r="J127" t="n">
        <v>0</v>
      </c>
      <c r="K127" t="n">
        <v>0</v>
      </c>
      <c r="L127" t="n">
        <v>1</v>
      </c>
      <c r="M127" t="n">
        <v>0</v>
      </c>
    </row>
    <row r="128" spans="1:13">
      <c r="A128" s="1">
        <f>HYPERLINK("http://www.twitter.com/NathanBLawrence/status/998342935006580736", "998342935006580736")</f>
        <v/>
      </c>
      <c r="B128" s="2" t="n">
        <v>43240.973125</v>
      </c>
      <c r="C128" t="n">
        <v>0</v>
      </c>
      <c r="D128" t="n">
        <v>0</v>
      </c>
      <c r="E128" t="s">
        <v>138</v>
      </c>
      <c r="F128" t="s"/>
      <c r="G128" t="s"/>
      <c r="H128" t="s"/>
      <c r="I128" t="s"/>
      <c r="J128" t="n">
        <v>0.4019</v>
      </c>
      <c r="K128" t="n">
        <v>0.068</v>
      </c>
      <c r="L128" t="n">
        <v>0.799</v>
      </c>
      <c r="M128" t="n">
        <v>0.133</v>
      </c>
    </row>
    <row r="129" spans="1:13">
      <c r="A129" s="1">
        <f>HYPERLINK("http://www.twitter.com/NathanBLawrence/status/998322712476045313", "998322712476045313")</f>
        <v/>
      </c>
      <c r="B129" s="2" t="n">
        <v>43240.91732638889</v>
      </c>
      <c r="C129" t="n">
        <v>0</v>
      </c>
      <c r="D129" t="n">
        <v>0</v>
      </c>
      <c r="E129" t="s">
        <v>139</v>
      </c>
      <c r="F129" t="s"/>
      <c r="G129" t="s"/>
      <c r="H129" t="s"/>
      <c r="I129" t="s"/>
      <c r="J129" t="n">
        <v>0.4019</v>
      </c>
      <c r="K129" t="n">
        <v>0.06900000000000001</v>
      </c>
      <c r="L129" t="n">
        <v>0.794</v>
      </c>
      <c r="M129" t="n">
        <v>0.136</v>
      </c>
    </row>
    <row r="130" spans="1:13">
      <c r="A130" s="1">
        <f>HYPERLINK("http://www.twitter.com/NathanBLawrence/status/998320260397830144", "998320260397830144")</f>
        <v/>
      </c>
      <c r="B130" s="2" t="n">
        <v>43240.91055555556</v>
      </c>
      <c r="C130" t="n">
        <v>0</v>
      </c>
      <c r="D130" t="n">
        <v>1</v>
      </c>
      <c r="E130" t="s">
        <v>140</v>
      </c>
      <c r="F130">
        <f>HYPERLINK("http://pbs.twimg.com/media/Ddq-Eu6X0AY3Xxv.jpg", "http://pbs.twimg.com/media/Ddq-Eu6X0AY3Xxv.jpg")</f>
        <v/>
      </c>
      <c r="G130" t="s"/>
      <c r="H130" t="s"/>
      <c r="I130" t="s"/>
      <c r="J130" t="n">
        <v>0.3182</v>
      </c>
      <c r="K130" t="n">
        <v>0</v>
      </c>
      <c r="L130" t="n">
        <v>0.753</v>
      </c>
      <c r="M130" t="n">
        <v>0.247</v>
      </c>
    </row>
    <row r="131" spans="1:13">
      <c r="A131" s="1">
        <f>HYPERLINK("http://www.twitter.com/NathanBLawrence/status/998315518066151427", "998315518066151427")</f>
        <v/>
      </c>
      <c r="B131" s="2" t="n">
        <v>43240.89746527778</v>
      </c>
      <c r="C131" t="n">
        <v>0</v>
      </c>
      <c r="D131" t="n">
        <v>0</v>
      </c>
      <c r="E131" t="s">
        <v>141</v>
      </c>
      <c r="F131" t="s"/>
      <c r="G131" t="s"/>
      <c r="H131" t="s"/>
      <c r="I131" t="s"/>
      <c r="J131" t="n">
        <v>0.4019</v>
      </c>
      <c r="K131" t="n">
        <v>0.06900000000000001</v>
      </c>
      <c r="L131" t="n">
        <v>0.794</v>
      </c>
      <c r="M131" t="n">
        <v>0.136</v>
      </c>
    </row>
    <row r="132" spans="1:13">
      <c r="A132" s="1">
        <f>HYPERLINK("http://www.twitter.com/NathanBLawrence/status/998315415993536512", "998315415993536512")</f>
        <v/>
      </c>
      <c r="B132" s="2" t="n">
        <v>43240.8971875</v>
      </c>
      <c r="C132" t="n">
        <v>0</v>
      </c>
      <c r="D132" t="n">
        <v>7</v>
      </c>
      <c r="E132" t="s">
        <v>142</v>
      </c>
      <c r="F132">
        <f>HYPERLINK("http://pbs.twimg.com/media/DdqpAeJU8AABOWQ.jpg", "http://pbs.twimg.com/media/DdqpAeJU8AABOWQ.jpg")</f>
        <v/>
      </c>
      <c r="G132" t="s"/>
      <c r="H132" t="s"/>
      <c r="I132" t="s"/>
      <c r="J132" t="n">
        <v>0.6588000000000001</v>
      </c>
      <c r="K132" t="n">
        <v>0</v>
      </c>
      <c r="L132" t="n">
        <v>0.785</v>
      </c>
      <c r="M132" t="n">
        <v>0.215</v>
      </c>
    </row>
    <row r="133" spans="1:13">
      <c r="A133" s="1">
        <f>HYPERLINK("http://www.twitter.com/NathanBLawrence/status/998315349668974593", "998315349668974593")</f>
        <v/>
      </c>
      <c r="B133" s="2" t="n">
        <v>43240.89700231481</v>
      </c>
      <c r="C133" t="n">
        <v>0</v>
      </c>
      <c r="D133" t="n">
        <v>1</v>
      </c>
      <c r="E133" t="s">
        <v>143</v>
      </c>
      <c r="F133" t="s"/>
      <c r="G133" t="s"/>
      <c r="H133" t="s"/>
      <c r="I133" t="s"/>
      <c r="J133" t="n">
        <v>0</v>
      </c>
      <c r="K133" t="n">
        <v>0</v>
      </c>
      <c r="L133" t="n">
        <v>1</v>
      </c>
      <c r="M133" t="n">
        <v>0</v>
      </c>
    </row>
    <row r="134" spans="1:13">
      <c r="A134" s="1">
        <f>HYPERLINK("http://www.twitter.com/NathanBLawrence/status/998315330547212290", "998315330547212290")</f>
        <v/>
      </c>
      <c r="B134" s="2" t="n">
        <v>43240.89695601852</v>
      </c>
      <c r="C134" t="n">
        <v>0</v>
      </c>
      <c r="D134" t="n">
        <v>3</v>
      </c>
      <c r="E134" t="s">
        <v>144</v>
      </c>
      <c r="F134">
        <f>HYPERLINK("http://pbs.twimg.com/media/Ddq3nYYVAAE-8mK.jpg", "http://pbs.twimg.com/media/Ddq3nYYVAAE-8mK.jpg")</f>
        <v/>
      </c>
      <c r="G134" t="s"/>
      <c r="H134" t="s"/>
      <c r="I134" t="s"/>
      <c r="J134" t="n">
        <v>0.4019</v>
      </c>
      <c r="K134" t="n">
        <v>0</v>
      </c>
      <c r="L134" t="n">
        <v>0.863</v>
      </c>
      <c r="M134" t="n">
        <v>0.137</v>
      </c>
    </row>
    <row r="135" spans="1:13">
      <c r="A135" s="1">
        <f>HYPERLINK("http://www.twitter.com/NathanBLawrence/status/998299165464711202", "998299165464711202")</f>
        <v/>
      </c>
      <c r="B135" s="2" t="n">
        <v>43240.85234953704</v>
      </c>
      <c r="C135" t="n">
        <v>0</v>
      </c>
      <c r="D135" t="n">
        <v>1</v>
      </c>
      <c r="E135" t="s">
        <v>145</v>
      </c>
      <c r="F135" t="s"/>
      <c r="G135" t="s"/>
      <c r="H135" t="s"/>
      <c r="I135" t="s"/>
      <c r="J135" t="n">
        <v>0</v>
      </c>
      <c r="K135" t="n">
        <v>0</v>
      </c>
      <c r="L135" t="n">
        <v>1</v>
      </c>
      <c r="M135" t="n">
        <v>0</v>
      </c>
    </row>
    <row r="136" spans="1:13">
      <c r="A136" s="1">
        <f>HYPERLINK("http://www.twitter.com/NathanBLawrence/status/998293718837886981", "998293718837886981")</f>
        <v/>
      </c>
      <c r="B136" s="2" t="n">
        <v>43240.83731481482</v>
      </c>
      <c r="C136" t="n">
        <v>2</v>
      </c>
      <c r="D136" t="n">
        <v>1</v>
      </c>
      <c r="E136" t="s">
        <v>146</v>
      </c>
      <c r="F136" t="s"/>
      <c r="G136" t="s"/>
      <c r="H136" t="s"/>
      <c r="I136" t="s"/>
      <c r="J136" t="n">
        <v>-0.5106000000000001</v>
      </c>
      <c r="K136" t="n">
        <v>0.136</v>
      </c>
      <c r="L136" t="n">
        <v>0.864</v>
      </c>
      <c r="M136" t="n">
        <v>0</v>
      </c>
    </row>
    <row r="137" spans="1:13">
      <c r="A137" s="1">
        <f>HYPERLINK("http://www.twitter.com/NathanBLawrence/status/998291119480942594", "998291119480942594")</f>
        <v/>
      </c>
      <c r="B137" s="2" t="n">
        <v>43240.83013888889</v>
      </c>
      <c r="C137" t="n">
        <v>0</v>
      </c>
      <c r="D137" t="n">
        <v>3</v>
      </c>
      <c r="E137" t="s">
        <v>147</v>
      </c>
      <c r="F137" t="s"/>
      <c r="G137" t="s"/>
      <c r="H137" t="s"/>
      <c r="I137" t="s"/>
      <c r="J137" t="n">
        <v>0</v>
      </c>
      <c r="K137" t="n">
        <v>0</v>
      </c>
      <c r="L137" t="n">
        <v>1</v>
      </c>
      <c r="M137" t="n">
        <v>0</v>
      </c>
    </row>
    <row r="138" spans="1:13">
      <c r="A138" s="1">
        <f>HYPERLINK("http://www.twitter.com/NathanBLawrence/status/998291017479671808", "998291017479671808")</f>
        <v/>
      </c>
      <c r="B138" s="2" t="n">
        <v>43240.82986111111</v>
      </c>
      <c r="C138" t="n">
        <v>0</v>
      </c>
      <c r="D138" t="n">
        <v>5</v>
      </c>
      <c r="E138" t="s">
        <v>148</v>
      </c>
      <c r="F138">
        <f>HYPERLINK("http://pbs.twimg.com/media/DdqJkL9UQAIlbjS.jpg", "http://pbs.twimg.com/media/DdqJkL9UQAIlbjS.jpg")</f>
        <v/>
      </c>
      <c r="G138" t="s"/>
      <c r="H138" t="s"/>
      <c r="I138" t="s"/>
      <c r="J138" t="n">
        <v>-0.4588</v>
      </c>
      <c r="K138" t="n">
        <v>0.227</v>
      </c>
      <c r="L138" t="n">
        <v>0.773</v>
      </c>
      <c r="M138" t="n">
        <v>0</v>
      </c>
    </row>
    <row r="139" spans="1:13">
      <c r="A139" s="1">
        <f>HYPERLINK("http://www.twitter.com/NathanBLawrence/status/998267030158618625", "998267030158618625")</f>
        <v/>
      </c>
      <c r="B139" s="2" t="n">
        <v>43240.76366898148</v>
      </c>
      <c r="C139" t="n">
        <v>0</v>
      </c>
      <c r="D139" t="n">
        <v>1</v>
      </c>
      <c r="E139" t="s">
        <v>149</v>
      </c>
      <c r="F139" t="s"/>
      <c r="G139" t="s"/>
      <c r="H139" t="s"/>
      <c r="I139" t="s"/>
      <c r="J139" t="n">
        <v>0.6705</v>
      </c>
      <c r="K139" t="n">
        <v>0</v>
      </c>
      <c r="L139" t="n">
        <v>0.732</v>
      </c>
      <c r="M139" t="n">
        <v>0.268</v>
      </c>
    </row>
    <row r="140" spans="1:13">
      <c r="A140" s="1">
        <f>HYPERLINK("http://www.twitter.com/NathanBLawrence/status/998266985380302850", "998266985380302850")</f>
        <v/>
      </c>
      <c r="B140" s="2" t="n">
        <v>43240.76354166667</v>
      </c>
      <c r="C140" t="n">
        <v>0</v>
      </c>
      <c r="D140" t="n">
        <v>1</v>
      </c>
      <c r="E140" t="s">
        <v>150</v>
      </c>
      <c r="F140" t="s"/>
      <c r="G140" t="s"/>
      <c r="H140" t="s"/>
      <c r="I140" t="s"/>
      <c r="J140" t="n">
        <v>0.6705</v>
      </c>
      <c r="K140" t="n">
        <v>0</v>
      </c>
      <c r="L140" t="n">
        <v>0.756</v>
      </c>
      <c r="M140" t="n">
        <v>0.244</v>
      </c>
    </row>
    <row r="141" spans="1:13">
      <c r="A141" s="1">
        <f>HYPERLINK("http://www.twitter.com/NathanBLawrence/status/998264352351444992", "998264352351444992")</f>
        <v/>
      </c>
      <c r="B141" s="2" t="n">
        <v>43240.75628472222</v>
      </c>
      <c r="C141" t="n">
        <v>0</v>
      </c>
      <c r="D141" t="n">
        <v>0</v>
      </c>
      <c r="E141" t="s">
        <v>151</v>
      </c>
      <c r="F141" t="s"/>
      <c r="G141" t="s"/>
      <c r="H141" t="s"/>
      <c r="I141" t="s"/>
      <c r="J141" t="n">
        <v>0.4019</v>
      </c>
      <c r="K141" t="n">
        <v>0.066</v>
      </c>
      <c r="L141" t="n">
        <v>0.804</v>
      </c>
      <c r="M141" t="n">
        <v>0.13</v>
      </c>
    </row>
    <row r="142" spans="1:13">
      <c r="A142" s="1">
        <f>HYPERLINK("http://www.twitter.com/NathanBLawrence/status/998264203873054721", "998264203873054721")</f>
        <v/>
      </c>
      <c r="B142" s="2" t="n">
        <v>43240.75586805555</v>
      </c>
      <c r="C142" t="n">
        <v>0</v>
      </c>
      <c r="D142" t="n">
        <v>1</v>
      </c>
      <c r="E142" t="s">
        <v>152</v>
      </c>
      <c r="F142" t="s"/>
      <c r="G142" t="s"/>
      <c r="H142" t="s"/>
      <c r="I142" t="s"/>
      <c r="J142" t="n">
        <v>0.6124000000000001</v>
      </c>
      <c r="K142" t="n">
        <v>0</v>
      </c>
      <c r="L142" t="n">
        <v>0.783</v>
      </c>
      <c r="M142" t="n">
        <v>0.217</v>
      </c>
    </row>
    <row r="143" spans="1:13">
      <c r="A143" s="1">
        <f>HYPERLINK("http://www.twitter.com/NathanBLawrence/status/998264158540922880", "998264158540922880")</f>
        <v/>
      </c>
      <c r="B143" s="2" t="n">
        <v>43240.75574074074</v>
      </c>
      <c r="C143" t="n">
        <v>0</v>
      </c>
      <c r="D143" t="n">
        <v>1</v>
      </c>
      <c r="E143" t="s">
        <v>153</v>
      </c>
      <c r="F143" t="s"/>
      <c r="G143" t="s"/>
      <c r="H143" t="s"/>
      <c r="I143" t="s"/>
      <c r="J143" t="n">
        <v>0.296</v>
      </c>
      <c r="K143" t="n">
        <v>0.07199999999999999</v>
      </c>
      <c r="L143" t="n">
        <v>0.799</v>
      </c>
      <c r="M143" t="n">
        <v>0.129</v>
      </c>
    </row>
    <row r="144" spans="1:13">
      <c r="A144" s="1">
        <f>HYPERLINK("http://www.twitter.com/NathanBLawrence/status/998259211078336512", "998259211078336512")</f>
        <v/>
      </c>
      <c r="B144" s="2" t="n">
        <v>43240.74209490741</v>
      </c>
      <c r="C144" t="n">
        <v>0</v>
      </c>
      <c r="D144" t="n">
        <v>0</v>
      </c>
      <c r="E144" t="s">
        <v>154</v>
      </c>
      <c r="F144" t="s"/>
      <c r="G144" t="s"/>
      <c r="H144" t="s"/>
      <c r="I144" t="s"/>
      <c r="J144" t="n">
        <v>0.4019</v>
      </c>
      <c r="K144" t="n">
        <v>0.066</v>
      </c>
      <c r="L144" t="n">
        <v>0.804</v>
      </c>
      <c r="M144" t="n">
        <v>0.13</v>
      </c>
    </row>
    <row r="145" spans="1:13">
      <c r="A145" s="1">
        <f>HYPERLINK("http://www.twitter.com/NathanBLawrence/status/998258850733154304", "998258850733154304")</f>
        <v/>
      </c>
      <c r="B145" s="2" t="n">
        <v>43240.74109953704</v>
      </c>
      <c r="C145" t="n">
        <v>0</v>
      </c>
      <c r="D145" t="n">
        <v>0</v>
      </c>
      <c r="E145" t="s">
        <v>155</v>
      </c>
      <c r="F145" t="s"/>
      <c r="G145" t="s"/>
      <c r="H145" t="s"/>
      <c r="I145" t="s"/>
      <c r="J145" t="n">
        <v>0.4019</v>
      </c>
      <c r="K145" t="n">
        <v>0.06900000000000001</v>
      </c>
      <c r="L145" t="n">
        <v>0.794</v>
      </c>
      <c r="M145" t="n">
        <v>0.136</v>
      </c>
    </row>
    <row r="146" spans="1:13">
      <c r="A146" s="1">
        <f>HYPERLINK("http://www.twitter.com/NathanBLawrence/status/998254682412810240", "998254682412810240")</f>
        <v/>
      </c>
      <c r="B146" s="2" t="n">
        <v>43240.72959490741</v>
      </c>
      <c r="C146" t="n">
        <v>0</v>
      </c>
      <c r="D146" t="n">
        <v>0</v>
      </c>
      <c r="E146" t="s">
        <v>156</v>
      </c>
      <c r="F146" t="s"/>
      <c r="G146" t="s"/>
      <c r="H146" t="s"/>
      <c r="I146" t="s"/>
      <c r="J146" t="n">
        <v>0.4019</v>
      </c>
      <c r="K146" t="n">
        <v>0.068</v>
      </c>
      <c r="L146" t="n">
        <v>0.799</v>
      </c>
      <c r="M146" t="n">
        <v>0.133</v>
      </c>
    </row>
    <row r="147" spans="1:13">
      <c r="A147" s="1">
        <f>HYPERLINK("http://www.twitter.com/NathanBLawrence/status/998249133386452992", "998249133386452992")</f>
        <v/>
      </c>
      <c r="B147" s="2" t="n">
        <v>43240.71428240741</v>
      </c>
      <c r="C147" t="n">
        <v>0</v>
      </c>
      <c r="D147" t="n">
        <v>2</v>
      </c>
      <c r="E147" t="s">
        <v>157</v>
      </c>
      <c r="F147">
        <f>HYPERLINK("http://pbs.twimg.com/media/DdpLghBUwAE7czs.jpg", "http://pbs.twimg.com/media/DdpLghBUwAE7czs.jpg")</f>
        <v/>
      </c>
      <c r="G147" t="s"/>
      <c r="H147" t="s"/>
      <c r="I147" t="s"/>
      <c r="J147" t="n">
        <v>0.4404</v>
      </c>
      <c r="K147" t="n">
        <v>0</v>
      </c>
      <c r="L147" t="n">
        <v>0.896</v>
      </c>
      <c r="M147" t="n">
        <v>0.104</v>
      </c>
    </row>
    <row r="148" spans="1:13">
      <c r="A148" s="1">
        <f>HYPERLINK("http://www.twitter.com/NathanBLawrence/status/998236563095064576", "998236563095064576")</f>
        <v/>
      </c>
      <c r="B148" s="2" t="n">
        <v>43240.67959490741</v>
      </c>
      <c r="C148" t="n">
        <v>0</v>
      </c>
      <c r="D148" t="n">
        <v>2</v>
      </c>
      <c r="E148" t="s">
        <v>158</v>
      </c>
      <c r="F148" t="s"/>
      <c r="G148" t="s"/>
      <c r="H148" t="s"/>
      <c r="I148" t="s"/>
      <c r="J148" t="n">
        <v>0.6705</v>
      </c>
      <c r="K148" t="n">
        <v>0</v>
      </c>
      <c r="L148" t="n">
        <v>0.766</v>
      </c>
      <c r="M148" t="n">
        <v>0.234</v>
      </c>
    </row>
    <row r="149" spans="1:13">
      <c r="A149" s="1">
        <f>HYPERLINK("http://www.twitter.com/NathanBLawrence/status/998236512964808704", "998236512964808704")</f>
        <v/>
      </c>
      <c r="B149" s="2" t="n">
        <v>43240.67945601852</v>
      </c>
      <c r="C149" t="n">
        <v>2</v>
      </c>
      <c r="D149" t="n">
        <v>2</v>
      </c>
      <c r="E149" t="s">
        <v>159</v>
      </c>
      <c r="F149" t="s"/>
      <c r="G149" t="s"/>
      <c r="H149" t="s"/>
      <c r="I149" t="s"/>
      <c r="J149" t="n">
        <v>0.4019</v>
      </c>
      <c r="K149" t="n">
        <v>0.06900000000000001</v>
      </c>
      <c r="L149" t="n">
        <v>0.794</v>
      </c>
      <c r="M149" t="n">
        <v>0.136</v>
      </c>
    </row>
    <row r="150" spans="1:13">
      <c r="A150" s="1">
        <f>HYPERLINK("http://www.twitter.com/NathanBLawrence/status/998231743915347969", "998231743915347969")</f>
        <v/>
      </c>
      <c r="B150" s="2" t="n">
        <v>43240.66629629629</v>
      </c>
      <c r="C150" t="n">
        <v>0</v>
      </c>
      <c r="D150" t="n">
        <v>1</v>
      </c>
      <c r="E150" t="s">
        <v>160</v>
      </c>
      <c r="F150" t="s"/>
      <c r="G150" t="s"/>
      <c r="H150" t="s"/>
      <c r="I150" t="s"/>
      <c r="J150" t="n">
        <v>-0.1779</v>
      </c>
      <c r="K150" t="n">
        <v>0.075</v>
      </c>
      <c r="L150" t="n">
        <v>0.925</v>
      </c>
      <c r="M150" t="n">
        <v>0</v>
      </c>
    </row>
    <row r="151" spans="1:13">
      <c r="A151" s="1">
        <f>HYPERLINK("http://www.twitter.com/NathanBLawrence/status/998231730648731653", "998231730648731653")</f>
        <v/>
      </c>
      <c r="B151" s="2" t="n">
        <v>43240.66626157407</v>
      </c>
      <c r="C151" t="n">
        <v>5</v>
      </c>
      <c r="D151" t="n">
        <v>1</v>
      </c>
      <c r="E151" t="s">
        <v>161</v>
      </c>
      <c r="F151" t="s"/>
      <c r="G151" t="s"/>
      <c r="H151" t="s"/>
      <c r="I151" t="s"/>
      <c r="J151" t="n">
        <v>-0.1779</v>
      </c>
      <c r="K151" t="n">
        <v>0.082</v>
      </c>
      <c r="L151" t="n">
        <v>0.918</v>
      </c>
      <c r="M151" t="n">
        <v>0</v>
      </c>
    </row>
    <row r="152" spans="1:13">
      <c r="A152" s="1">
        <f>HYPERLINK("http://www.twitter.com/NathanBLawrence/status/998230490569207808", "998230490569207808")</f>
        <v/>
      </c>
      <c r="B152" s="2" t="n">
        <v>43240.66283564815</v>
      </c>
      <c r="C152" t="n">
        <v>0</v>
      </c>
      <c r="D152" t="n">
        <v>4</v>
      </c>
      <c r="E152" t="s">
        <v>162</v>
      </c>
      <c r="F152">
        <f>HYPERLINK("http://pbs.twimg.com/media/DdpaVBuV0AE3BLy.jpg", "http://pbs.twimg.com/media/DdpaVBuV0AE3BLy.jpg")</f>
        <v/>
      </c>
      <c r="G152" t="s"/>
      <c r="H152" t="s"/>
      <c r="I152" t="s"/>
      <c r="J152" t="n">
        <v>0</v>
      </c>
      <c r="K152" t="n">
        <v>0</v>
      </c>
      <c r="L152" t="n">
        <v>1</v>
      </c>
      <c r="M152" t="n">
        <v>0</v>
      </c>
    </row>
    <row r="153" spans="1:13">
      <c r="A153" s="1">
        <f>HYPERLINK("http://www.twitter.com/NathanBLawrence/status/998225163224219648", "998225163224219648")</f>
        <v/>
      </c>
      <c r="B153" s="2" t="n">
        <v>43240.64813657408</v>
      </c>
      <c r="C153" t="n">
        <v>0</v>
      </c>
      <c r="D153" t="n">
        <v>0</v>
      </c>
      <c r="E153" t="s">
        <v>163</v>
      </c>
      <c r="F153" t="s"/>
      <c r="G153" t="s"/>
      <c r="H153" t="s"/>
      <c r="I153" t="s"/>
      <c r="J153" t="n">
        <v>0.4019</v>
      </c>
      <c r="K153" t="n">
        <v>0.06900000000000001</v>
      </c>
      <c r="L153" t="n">
        <v>0.794</v>
      </c>
      <c r="M153" t="n">
        <v>0.136</v>
      </c>
    </row>
    <row r="154" spans="1:13">
      <c r="A154" s="1">
        <f>HYPERLINK("http://www.twitter.com/NathanBLawrence/status/998219752727367682", "998219752727367682")</f>
        <v/>
      </c>
      <c r="B154" s="2" t="n">
        <v>43240.63320601852</v>
      </c>
      <c r="C154" t="n">
        <v>0</v>
      </c>
      <c r="D154" t="n">
        <v>0</v>
      </c>
      <c r="E154" t="s">
        <v>164</v>
      </c>
      <c r="F154" t="s"/>
      <c r="G154" t="s"/>
      <c r="H154" t="s"/>
      <c r="I154" t="s"/>
      <c r="J154" t="n">
        <v>0.4019</v>
      </c>
      <c r="K154" t="n">
        <v>0.06900000000000001</v>
      </c>
      <c r="L154" t="n">
        <v>0.794</v>
      </c>
      <c r="M154" t="n">
        <v>0.136</v>
      </c>
    </row>
    <row r="155" spans="1:13">
      <c r="A155" s="1">
        <f>HYPERLINK("http://www.twitter.com/NathanBLawrence/status/998206191187709957", "998206191187709957")</f>
        <v/>
      </c>
      <c r="B155" s="2" t="n">
        <v>43240.59578703704</v>
      </c>
      <c r="C155" t="n">
        <v>1</v>
      </c>
      <c r="D155" t="n">
        <v>1</v>
      </c>
      <c r="E155" t="s">
        <v>165</v>
      </c>
      <c r="F155" t="s"/>
      <c r="G155" t="s"/>
      <c r="H155" t="s"/>
      <c r="I155" t="s"/>
      <c r="J155" t="n">
        <v>0.4019</v>
      </c>
      <c r="K155" t="n">
        <v>0.06900000000000001</v>
      </c>
      <c r="L155" t="n">
        <v>0.794</v>
      </c>
      <c r="M155" t="n">
        <v>0.136</v>
      </c>
    </row>
    <row r="156" spans="1:13">
      <c r="A156" s="1">
        <f>HYPERLINK("http://www.twitter.com/NathanBLawrence/status/998206132358385664", "998206132358385664")</f>
        <v/>
      </c>
      <c r="B156" s="2" t="n">
        <v>43240.595625</v>
      </c>
      <c r="C156" t="n">
        <v>0</v>
      </c>
      <c r="D156" t="n">
        <v>0</v>
      </c>
      <c r="E156" t="s">
        <v>165</v>
      </c>
      <c r="F156" t="s"/>
      <c r="G156" t="s"/>
      <c r="H156" t="s"/>
      <c r="I156" t="s"/>
      <c r="J156" t="n">
        <v>0.4019</v>
      </c>
      <c r="K156" t="n">
        <v>0.06900000000000001</v>
      </c>
      <c r="L156" t="n">
        <v>0.794</v>
      </c>
      <c r="M156" t="n">
        <v>0.136</v>
      </c>
    </row>
    <row r="157" spans="1:13">
      <c r="A157" s="1">
        <f>HYPERLINK("http://www.twitter.com/NathanBLawrence/status/998203317636485120", "998203317636485120")</f>
        <v/>
      </c>
      <c r="B157" s="2" t="n">
        <v>43240.58785879629</v>
      </c>
      <c r="C157" t="n">
        <v>2</v>
      </c>
      <c r="D157" t="n">
        <v>2</v>
      </c>
      <c r="E157" t="s">
        <v>164</v>
      </c>
      <c r="F157" t="s"/>
      <c r="G157" t="s"/>
      <c r="H157" t="s"/>
      <c r="I157" t="s"/>
      <c r="J157" t="n">
        <v>0.4019</v>
      </c>
      <c r="K157" t="n">
        <v>0.06900000000000001</v>
      </c>
      <c r="L157" t="n">
        <v>0.794</v>
      </c>
      <c r="M157" t="n">
        <v>0.136</v>
      </c>
    </row>
    <row r="158" spans="1:13">
      <c r="A158" s="1">
        <f>HYPERLINK("http://www.twitter.com/NathanBLawrence/status/998186372048580608", "998186372048580608")</f>
        <v/>
      </c>
      <c r="B158" s="2" t="n">
        <v>43240.54109953704</v>
      </c>
      <c r="C158" t="n">
        <v>0</v>
      </c>
      <c r="D158" t="n">
        <v>1</v>
      </c>
      <c r="E158" t="s">
        <v>166</v>
      </c>
      <c r="F158" t="s"/>
      <c r="G158" t="s"/>
      <c r="H158" t="s"/>
      <c r="I158" t="s"/>
      <c r="J158" t="n">
        <v>0</v>
      </c>
      <c r="K158" t="n">
        <v>0</v>
      </c>
      <c r="L158" t="n">
        <v>1</v>
      </c>
      <c r="M158" t="n">
        <v>0</v>
      </c>
    </row>
    <row r="159" spans="1:13">
      <c r="A159" s="1">
        <f>HYPERLINK("http://www.twitter.com/NathanBLawrence/status/998186354730291201", "998186354730291201")</f>
        <v/>
      </c>
      <c r="B159" s="2" t="n">
        <v>43240.54105324074</v>
      </c>
      <c r="C159" t="n">
        <v>0</v>
      </c>
      <c r="D159" t="n">
        <v>1</v>
      </c>
      <c r="E159" t="s">
        <v>167</v>
      </c>
      <c r="F159" t="s"/>
      <c r="G159" t="s"/>
      <c r="H159" t="s"/>
      <c r="I159" t="s"/>
      <c r="J159" t="n">
        <v>0</v>
      </c>
      <c r="K159" t="n">
        <v>0</v>
      </c>
      <c r="L159" t="n">
        <v>1</v>
      </c>
      <c r="M159" t="n">
        <v>0</v>
      </c>
    </row>
    <row r="160" spans="1:13">
      <c r="A160" s="1">
        <f>HYPERLINK("http://www.twitter.com/NathanBLawrence/status/998183200311644161", "998183200311644161")</f>
        <v/>
      </c>
      <c r="B160" s="2" t="n">
        <v>43240.53233796296</v>
      </c>
      <c r="C160" t="n">
        <v>0</v>
      </c>
      <c r="D160" t="n">
        <v>7</v>
      </c>
      <c r="E160" t="s">
        <v>168</v>
      </c>
      <c r="F160" t="s"/>
      <c r="G160" t="s"/>
      <c r="H160" t="s"/>
      <c r="I160" t="s"/>
      <c r="J160" t="n">
        <v>0.6908</v>
      </c>
      <c r="K160" t="n">
        <v>0</v>
      </c>
      <c r="L160" t="n">
        <v>0.787</v>
      </c>
      <c r="M160" t="n">
        <v>0.213</v>
      </c>
    </row>
    <row r="161" spans="1:13">
      <c r="A161" s="1">
        <f>HYPERLINK("http://www.twitter.com/NathanBLawrence/status/998152365994921984", "998152365994921984")</f>
        <v/>
      </c>
      <c r="B161" s="2" t="n">
        <v>43240.44725694445</v>
      </c>
      <c r="C161" t="n">
        <v>0</v>
      </c>
      <c r="D161" t="n">
        <v>6</v>
      </c>
      <c r="E161" t="s">
        <v>169</v>
      </c>
      <c r="F161">
        <f>HYPERLINK("http://pbs.twimg.com/media/DdnKYdIUQAArQ2h.jpg", "http://pbs.twimg.com/media/DdnKYdIUQAArQ2h.jpg")</f>
        <v/>
      </c>
      <c r="G161" t="s"/>
      <c r="H161" t="s"/>
      <c r="I161" t="s"/>
      <c r="J161" t="n">
        <v>0</v>
      </c>
      <c r="K161" t="n">
        <v>0</v>
      </c>
      <c r="L161" t="n">
        <v>1</v>
      </c>
      <c r="M161" t="n">
        <v>0</v>
      </c>
    </row>
    <row r="162" spans="1:13">
      <c r="A162" s="1">
        <f>HYPERLINK("http://www.twitter.com/NathanBLawrence/status/998141619244322817", "998141619244322817")</f>
        <v/>
      </c>
      <c r="B162" s="2" t="n">
        <v>43240.41760416667</v>
      </c>
      <c r="C162" t="n">
        <v>0</v>
      </c>
      <c r="D162" t="n">
        <v>2</v>
      </c>
      <c r="E162" t="s">
        <v>170</v>
      </c>
      <c r="F162" t="s"/>
      <c r="G162" t="s"/>
      <c r="H162" t="s"/>
      <c r="I162" t="s"/>
      <c r="J162" t="n">
        <v>0.3612</v>
      </c>
      <c r="K162" t="n">
        <v>0</v>
      </c>
      <c r="L162" t="n">
        <v>0.884</v>
      </c>
      <c r="M162" t="n">
        <v>0.116</v>
      </c>
    </row>
    <row r="163" spans="1:13">
      <c r="A163" s="1">
        <f>HYPERLINK("http://www.twitter.com/NathanBLawrence/status/998141484292542465", "998141484292542465")</f>
        <v/>
      </c>
      <c r="B163" s="2" t="n">
        <v>43240.4172337963</v>
      </c>
      <c r="C163" t="n">
        <v>0</v>
      </c>
      <c r="D163" t="n">
        <v>4</v>
      </c>
      <c r="E163" t="s">
        <v>171</v>
      </c>
      <c r="F163">
        <f>HYPERLINK("http://pbs.twimg.com/media/DdnNYTyUwAAsvLE.jpg", "http://pbs.twimg.com/media/DdnNYTyUwAAsvLE.jpg")</f>
        <v/>
      </c>
      <c r="G163" t="s"/>
      <c r="H163" t="s"/>
      <c r="I163" t="s"/>
      <c r="J163" t="n">
        <v>0.5266999999999999</v>
      </c>
      <c r="K163" t="n">
        <v>0</v>
      </c>
      <c r="L163" t="n">
        <v>0.855</v>
      </c>
      <c r="M163" t="n">
        <v>0.145</v>
      </c>
    </row>
    <row r="164" spans="1:13">
      <c r="A164" s="1">
        <f>HYPERLINK("http://www.twitter.com/NathanBLawrence/status/998050658103255042", "998050658103255042")</f>
        <v/>
      </c>
      <c r="B164" s="2" t="n">
        <v>43240.16659722223</v>
      </c>
      <c r="C164" t="n">
        <v>0</v>
      </c>
      <c r="D164" t="n">
        <v>1</v>
      </c>
      <c r="E164" t="s">
        <v>172</v>
      </c>
      <c r="F164" t="s"/>
      <c r="G164" t="s"/>
      <c r="H164" t="s"/>
      <c r="I164" t="s"/>
      <c r="J164" t="n">
        <v>-0.5859</v>
      </c>
      <c r="K164" t="n">
        <v>0.213</v>
      </c>
      <c r="L164" t="n">
        <v>0.787</v>
      </c>
      <c r="M164" t="n">
        <v>0</v>
      </c>
    </row>
    <row r="165" spans="1:13">
      <c r="A165" s="1">
        <f>HYPERLINK("http://www.twitter.com/NathanBLawrence/status/998050544362119168", "998050544362119168")</f>
        <v/>
      </c>
      <c r="B165" s="2" t="n">
        <v>43240.16628472223</v>
      </c>
      <c r="C165" t="n">
        <v>0</v>
      </c>
      <c r="D165" t="n">
        <v>3</v>
      </c>
      <c r="E165" t="s">
        <v>173</v>
      </c>
      <c r="F165" t="s"/>
      <c r="G165" t="s"/>
      <c r="H165" t="s"/>
      <c r="I165" t="s"/>
      <c r="J165" t="n">
        <v>-0.296</v>
      </c>
      <c r="K165" t="n">
        <v>0.155</v>
      </c>
      <c r="L165" t="n">
        <v>0.845</v>
      </c>
      <c r="M165" t="n">
        <v>0</v>
      </c>
    </row>
    <row r="166" spans="1:13">
      <c r="A166" s="1">
        <f>HYPERLINK("http://www.twitter.com/NathanBLawrence/status/998050491278987265", "998050491278987265")</f>
        <v/>
      </c>
      <c r="B166" s="2" t="n">
        <v>43240.16613425926</v>
      </c>
      <c r="C166" t="n">
        <v>0</v>
      </c>
      <c r="D166" t="n">
        <v>2</v>
      </c>
      <c r="E166" t="s">
        <v>174</v>
      </c>
      <c r="F166" t="s"/>
      <c r="G166" t="s"/>
      <c r="H166" t="s"/>
      <c r="I166" t="s"/>
      <c r="J166" t="n">
        <v>-0.308</v>
      </c>
      <c r="K166" t="n">
        <v>0.097</v>
      </c>
      <c r="L166" t="n">
        <v>0.903</v>
      </c>
      <c r="M166" t="n">
        <v>0</v>
      </c>
    </row>
    <row r="167" spans="1:13">
      <c r="A167" s="1">
        <f>HYPERLINK("http://www.twitter.com/NathanBLawrence/status/998047138574675968", "998047138574675968")</f>
        <v/>
      </c>
      <c r="B167" s="2" t="n">
        <v>43240.15688657408</v>
      </c>
      <c r="C167" t="n">
        <v>0</v>
      </c>
      <c r="D167" t="n">
        <v>2</v>
      </c>
      <c r="E167" t="s">
        <v>175</v>
      </c>
      <c r="F167">
        <f>HYPERLINK("http://pbs.twimg.com/media/DdnGbCVUwAEPpUJ.jpg", "http://pbs.twimg.com/media/DdnGbCVUwAEPpUJ.jpg")</f>
        <v/>
      </c>
      <c r="G167" t="s"/>
      <c r="H167" t="s"/>
      <c r="I167" t="s"/>
      <c r="J167" t="n">
        <v>0</v>
      </c>
      <c r="K167" t="n">
        <v>0</v>
      </c>
      <c r="L167" t="n">
        <v>1</v>
      </c>
      <c r="M167" t="n">
        <v>0</v>
      </c>
    </row>
    <row r="168" spans="1:13">
      <c r="A168" s="1">
        <f>HYPERLINK("http://www.twitter.com/NathanBLawrence/status/998046970064326656", "998046970064326656")</f>
        <v/>
      </c>
      <c r="B168" s="2" t="n">
        <v>43240.15642361111</v>
      </c>
      <c r="C168" t="n">
        <v>2</v>
      </c>
      <c r="D168" t="n">
        <v>2</v>
      </c>
      <c r="E168" t="s">
        <v>176</v>
      </c>
      <c r="F168">
        <f>HYPERLINK("http://pbs.twimg.com/media/DdnGbCVUwAEPpUJ.jpg", "http://pbs.twimg.com/media/DdnGbCVUwAEPpUJ.jpg")</f>
        <v/>
      </c>
      <c r="G168" t="s"/>
      <c r="H168" t="s"/>
      <c r="I168" t="s"/>
      <c r="J168" t="n">
        <v>0</v>
      </c>
      <c r="K168" t="n">
        <v>0</v>
      </c>
      <c r="L168" t="n">
        <v>1</v>
      </c>
      <c r="M168" t="n">
        <v>0</v>
      </c>
    </row>
    <row r="169" spans="1:13">
      <c r="A169" s="1">
        <f>HYPERLINK("http://www.twitter.com/NathanBLawrence/status/998046046134644736", "998046046134644736")</f>
        <v/>
      </c>
      <c r="B169" s="2" t="n">
        <v>43240.15386574074</v>
      </c>
      <c r="C169" t="n">
        <v>0</v>
      </c>
      <c r="D169" t="n">
        <v>7</v>
      </c>
      <c r="E169" t="s">
        <v>177</v>
      </c>
      <c r="F169" t="s"/>
      <c r="G169" t="s"/>
      <c r="H169" t="s"/>
      <c r="I169" t="s"/>
      <c r="J169" t="n">
        <v>0.1007</v>
      </c>
      <c r="K169" t="n">
        <v>0.097</v>
      </c>
      <c r="L169" t="n">
        <v>0.792</v>
      </c>
      <c r="M169" t="n">
        <v>0.111</v>
      </c>
    </row>
    <row r="170" spans="1:13">
      <c r="A170" s="1">
        <f>HYPERLINK("http://www.twitter.com/NathanBLawrence/status/998046010944434176", "998046010944434176")</f>
        <v/>
      </c>
      <c r="B170" s="2" t="n">
        <v>43240.15377314815</v>
      </c>
      <c r="C170" t="n">
        <v>11</v>
      </c>
      <c r="D170" t="n">
        <v>7</v>
      </c>
      <c r="E170" t="s">
        <v>178</v>
      </c>
      <c r="F170" t="s"/>
      <c r="G170" t="s"/>
      <c r="H170" t="s"/>
      <c r="I170" t="s"/>
      <c r="J170" t="n">
        <v>0.1007</v>
      </c>
      <c r="K170" t="n">
        <v>0.07099999999999999</v>
      </c>
      <c r="L170" t="n">
        <v>0.847</v>
      </c>
      <c r="M170" t="n">
        <v>0.082</v>
      </c>
    </row>
    <row r="171" spans="1:13">
      <c r="A171" s="1">
        <f>HYPERLINK("http://www.twitter.com/NathanBLawrence/status/998045551840186368", "998045551840186368")</f>
        <v/>
      </c>
      <c r="B171" s="2" t="n">
        <v>43240.15251157407</v>
      </c>
      <c r="C171" t="n">
        <v>0</v>
      </c>
      <c r="D171" t="n">
        <v>11</v>
      </c>
      <c r="E171" t="s">
        <v>179</v>
      </c>
      <c r="F171" t="s"/>
      <c r="G171" t="s"/>
      <c r="H171" t="s"/>
      <c r="I171" t="s"/>
      <c r="J171" t="n">
        <v>0.4939</v>
      </c>
      <c r="K171" t="n">
        <v>0</v>
      </c>
      <c r="L171" t="n">
        <v>0.856</v>
      </c>
      <c r="M171" t="n">
        <v>0.144</v>
      </c>
    </row>
    <row r="172" spans="1:13">
      <c r="A172" s="1">
        <f>HYPERLINK("http://www.twitter.com/NathanBLawrence/status/998045533292957701", "998045533292957701")</f>
        <v/>
      </c>
      <c r="B172" s="2" t="n">
        <v>43240.1524537037</v>
      </c>
      <c r="C172" t="n">
        <v>14</v>
      </c>
      <c r="D172" t="n">
        <v>11</v>
      </c>
      <c r="E172" t="s">
        <v>180</v>
      </c>
      <c r="F172" t="s"/>
      <c r="G172" t="s"/>
      <c r="H172" t="s"/>
      <c r="I172" t="s"/>
      <c r="J172" t="n">
        <v>0.6369</v>
      </c>
      <c r="K172" t="n">
        <v>0.036</v>
      </c>
      <c r="L172" t="n">
        <v>0.825</v>
      </c>
      <c r="M172" t="n">
        <v>0.138</v>
      </c>
    </row>
    <row r="173" spans="1:13">
      <c r="A173" s="1">
        <f>HYPERLINK("http://www.twitter.com/NathanBLawrence/status/998039164464574465", "998039164464574465")</f>
        <v/>
      </c>
      <c r="B173" s="2" t="n">
        <v>43240.13488425926</v>
      </c>
      <c r="C173" t="n">
        <v>0</v>
      </c>
      <c r="D173" t="n">
        <v>0</v>
      </c>
      <c r="E173" t="s">
        <v>181</v>
      </c>
      <c r="F173" t="s"/>
      <c r="G173" t="s"/>
      <c r="H173" t="s"/>
      <c r="I173" t="s"/>
      <c r="J173" t="n">
        <v>0.4019</v>
      </c>
      <c r="K173" t="n">
        <v>0.068</v>
      </c>
      <c r="L173" t="n">
        <v>0.799</v>
      </c>
      <c r="M173" t="n">
        <v>0.133</v>
      </c>
    </row>
    <row r="174" spans="1:13">
      <c r="A174" s="1">
        <f>HYPERLINK("http://www.twitter.com/NathanBLawrence/status/998030335882473472", "998030335882473472")</f>
        <v/>
      </c>
      <c r="B174" s="2" t="n">
        <v>43240.11052083333</v>
      </c>
      <c r="C174" t="n">
        <v>2</v>
      </c>
      <c r="D174" t="n">
        <v>2</v>
      </c>
      <c r="E174" t="s">
        <v>182</v>
      </c>
      <c r="F174" t="s"/>
      <c r="G174" t="s"/>
      <c r="H174" t="s"/>
      <c r="I174" t="s"/>
      <c r="J174" t="n">
        <v>0.4019</v>
      </c>
      <c r="K174" t="n">
        <v>0.068</v>
      </c>
      <c r="L174" t="n">
        <v>0.799</v>
      </c>
      <c r="M174" t="n">
        <v>0.133</v>
      </c>
    </row>
    <row r="175" spans="1:13">
      <c r="A175" s="1">
        <f>HYPERLINK("http://www.twitter.com/NathanBLawrence/status/998030184195424257", "998030184195424257")</f>
        <v/>
      </c>
      <c r="B175" s="2" t="n">
        <v>43240.11010416667</v>
      </c>
      <c r="C175" t="n">
        <v>0</v>
      </c>
      <c r="D175" t="n">
        <v>0</v>
      </c>
      <c r="E175" t="s">
        <v>183</v>
      </c>
      <c r="F175" t="s"/>
      <c r="G175" t="s"/>
      <c r="H175" t="s"/>
      <c r="I175" t="s"/>
      <c r="J175" t="n">
        <v>0.4019</v>
      </c>
      <c r="K175" t="n">
        <v>0.068</v>
      </c>
      <c r="L175" t="n">
        <v>0.799</v>
      </c>
      <c r="M175" t="n">
        <v>0.133</v>
      </c>
    </row>
    <row r="176" spans="1:13">
      <c r="A176" s="1">
        <f>HYPERLINK("http://www.twitter.com/NathanBLawrence/status/998030065135955968", "998030065135955968")</f>
        <v/>
      </c>
      <c r="B176" s="2" t="n">
        <v>43240.10976851852</v>
      </c>
      <c r="C176" t="n">
        <v>0</v>
      </c>
      <c r="D176" t="n">
        <v>4</v>
      </c>
      <c r="E176" t="s">
        <v>184</v>
      </c>
      <c r="F176" t="s"/>
      <c r="G176" t="s"/>
      <c r="H176" t="s"/>
      <c r="I176" t="s"/>
      <c r="J176" t="n">
        <v>-0.296</v>
      </c>
      <c r="K176" t="n">
        <v>0.099</v>
      </c>
      <c r="L176" t="n">
        <v>0.901</v>
      </c>
      <c r="M176" t="n">
        <v>0</v>
      </c>
    </row>
    <row r="177" spans="1:13">
      <c r="A177" s="1">
        <f>HYPERLINK("http://www.twitter.com/NathanBLawrence/status/998028938688516096", "998028938688516096")</f>
        <v/>
      </c>
      <c r="B177" s="2" t="n">
        <v>43240.10666666667</v>
      </c>
      <c r="C177" t="n">
        <v>0</v>
      </c>
      <c r="D177" t="n">
        <v>0</v>
      </c>
      <c r="E177" t="s">
        <v>185</v>
      </c>
      <c r="F177" t="s"/>
      <c r="G177" t="s"/>
      <c r="H177" t="s"/>
      <c r="I177" t="s"/>
      <c r="J177" t="n">
        <v>0.4019</v>
      </c>
      <c r="K177" t="n">
        <v>0.06900000000000001</v>
      </c>
      <c r="L177" t="n">
        <v>0.794</v>
      </c>
      <c r="M177" t="n">
        <v>0.136</v>
      </c>
    </row>
    <row r="178" spans="1:13">
      <c r="A178" s="1">
        <f>HYPERLINK("http://www.twitter.com/NathanBLawrence/status/998028561859727360", "998028561859727360")</f>
        <v/>
      </c>
      <c r="B178" s="2" t="n">
        <v>43240.105625</v>
      </c>
      <c r="C178" t="n">
        <v>0</v>
      </c>
      <c r="D178" t="n">
        <v>0</v>
      </c>
      <c r="E178" t="s">
        <v>186</v>
      </c>
      <c r="F178" t="s"/>
      <c r="G178" t="s"/>
      <c r="H178" t="s"/>
      <c r="I178" t="s"/>
      <c r="J178" t="n">
        <v>0.4019</v>
      </c>
      <c r="K178" t="n">
        <v>0.06900000000000001</v>
      </c>
      <c r="L178" t="n">
        <v>0.794</v>
      </c>
      <c r="M178" t="n">
        <v>0.136</v>
      </c>
    </row>
    <row r="179" spans="1:13">
      <c r="A179" s="1">
        <f>HYPERLINK("http://www.twitter.com/NathanBLawrence/status/998027803999264768", "998027803999264768")</f>
        <v/>
      </c>
      <c r="B179" s="2" t="n">
        <v>43240.10353009259</v>
      </c>
      <c r="C179" t="n">
        <v>0</v>
      </c>
      <c r="D179" t="n">
        <v>0</v>
      </c>
      <c r="E179" t="s">
        <v>187</v>
      </c>
      <c r="F179" t="s"/>
      <c r="G179" t="s"/>
      <c r="H179" t="s"/>
      <c r="I179" t="s"/>
      <c r="J179" t="n">
        <v>0.4019</v>
      </c>
      <c r="K179" t="n">
        <v>0.06900000000000001</v>
      </c>
      <c r="L179" t="n">
        <v>0.794</v>
      </c>
      <c r="M179" t="n">
        <v>0.136</v>
      </c>
    </row>
    <row r="180" spans="1:13">
      <c r="A180" s="1">
        <f>HYPERLINK("http://www.twitter.com/NathanBLawrence/status/998027729864978432", "998027729864978432")</f>
        <v/>
      </c>
      <c r="B180" s="2" t="n">
        <v>43240.10332175926</v>
      </c>
      <c r="C180" t="n">
        <v>0</v>
      </c>
      <c r="D180" t="n">
        <v>0</v>
      </c>
      <c r="E180" t="s">
        <v>188</v>
      </c>
      <c r="F180" t="s"/>
      <c r="G180" t="s"/>
      <c r="H180" t="s"/>
      <c r="I180" t="s"/>
      <c r="J180" t="n">
        <v>0.4019</v>
      </c>
      <c r="K180" t="n">
        <v>0.068</v>
      </c>
      <c r="L180" t="n">
        <v>0.799</v>
      </c>
      <c r="M180" t="n">
        <v>0.133</v>
      </c>
    </row>
    <row r="181" spans="1:13">
      <c r="A181" s="1">
        <f>HYPERLINK("http://www.twitter.com/NathanBLawrence/status/998027025104494593", "998027025104494593")</f>
        <v/>
      </c>
      <c r="B181" s="2" t="n">
        <v>43240.10137731482</v>
      </c>
      <c r="C181" t="n">
        <v>0</v>
      </c>
      <c r="D181" t="n">
        <v>0</v>
      </c>
      <c r="E181" t="s">
        <v>189</v>
      </c>
      <c r="F181" t="s"/>
      <c r="G181" t="s"/>
      <c r="H181" t="s"/>
      <c r="I181" t="s"/>
      <c r="J181" t="n">
        <v>0.4019</v>
      </c>
      <c r="K181" t="n">
        <v>0.065</v>
      </c>
      <c r="L181" t="n">
        <v>0.8080000000000001</v>
      </c>
      <c r="M181" t="n">
        <v>0.127</v>
      </c>
    </row>
    <row r="182" spans="1:13">
      <c r="A182" s="1">
        <f>HYPERLINK("http://www.twitter.com/NathanBLawrence/status/998026572933279744", "998026572933279744")</f>
        <v/>
      </c>
      <c r="B182" s="2" t="n">
        <v>43240.10013888889</v>
      </c>
      <c r="C182" t="n">
        <v>0</v>
      </c>
      <c r="D182" t="n">
        <v>0</v>
      </c>
      <c r="E182" t="s">
        <v>190</v>
      </c>
      <c r="F182" t="s"/>
      <c r="G182" t="s"/>
      <c r="H182" t="s"/>
      <c r="I182" t="s"/>
      <c r="J182" t="n">
        <v>0.4019</v>
      </c>
      <c r="K182" t="n">
        <v>0.06</v>
      </c>
      <c r="L182" t="n">
        <v>0.821</v>
      </c>
      <c r="M182" t="n">
        <v>0.119</v>
      </c>
    </row>
    <row r="183" spans="1:13">
      <c r="A183" s="1">
        <f>HYPERLINK("http://www.twitter.com/NathanBLawrence/status/997984479623942144", "997984479623942144")</f>
        <v/>
      </c>
      <c r="B183" s="2" t="n">
        <v>43239.98398148148</v>
      </c>
      <c r="C183" t="n">
        <v>0</v>
      </c>
      <c r="D183" t="n">
        <v>28</v>
      </c>
      <c r="E183" t="s">
        <v>191</v>
      </c>
      <c r="F183" t="s"/>
      <c r="G183" t="s"/>
      <c r="H183" t="s"/>
      <c r="I183" t="s"/>
      <c r="J183" t="n">
        <v>0.6705</v>
      </c>
      <c r="K183" t="n">
        <v>0</v>
      </c>
      <c r="L183" t="n">
        <v>0.756</v>
      </c>
      <c r="M183" t="n">
        <v>0.244</v>
      </c>
    </row>
    <row r="184" spans="1:13">
      <c r="A184" s="1">
        <f>HYPERLINK("http://www.twitter.com/NathanBLawrence/status/997978948175908866", "997978948175908866")</f>
        <v/>
      </c>
      <c r="B184" s="2" t="n">
        <v>43239.96871527778</v>
      </c>
      <c r="C184" t="n">
        <v>0</v>
      </c>
      <c r="D184" t="n">
        <v>2</v>
      </c>
      <c r="E184" t="s">
        <v>192</v>
      </c>
      <c r="F184" t="s"/>
      <c r="G184" t="s"/>
      <c r="H184" t="s"/>
      <c r="I184" t="s"/>
      <c r="J184" t="n">
        <v>0</v>
      </c>
      <c r="K184" t="n">
        <v>0</v>
      </c>
      <c r="L184" t="n">
        <v>1</v>
      </c>
      <c r="M184" t="n">
        <v>0</v>
      </c>
    </row>
    <row r="185" spans="1:13">
      <c r="A185" s="1">
        <f>HYPERLINK("http://www.twitter.com/NathanBLawrence/status/997978891829555205", "997978891829555205")</f>
        <v/>
      </c>
      <c r="B185" s="2" t="n">
        <v>43239.96856481482</v>
      </c>
      <c r="C185" t="n">
        <v>0</v>
      </c>
      <c r="D185" t="n">
        <v>3</v>
      </c>
      <c r="E185" t="s">
        <v>193</v>
      </c>
      <c r="F185" t="s"/>
      <c r="G185" t="s"/>
      <c r="H185" t="s"/>
      <c r="I185" t="s"/>
      <c r="J185" t="n">
        <v>-0.6996</v>
      </c>
      <c r="K185" t="n">
        <v>0.335</v>
      </c>
      <c r="L185" t="n">
        <v>0.551</v>
      </c>
      <c r="M185" t="n">
        <v>0.115</v>
      </c>
    </row>
    <row r="186" spans="1:13">
      <c r="A186" s="1">
        <f>HYPERLINK("http://www.twitter.com/NathanBLawrence/status/997978860565204993", "997978860565204993")</f>
        <v/>
      </c>
      <c r="B186" s="2" t="n">
        <v>43239.96847222222</v>
      </c>
      <c r="C186" t="n">
        <v>2</v>
      </c>
      <c r="D186" t="n">
        <v>3</v>
      </c>
      <c r="E186" t="s">
        <v>194</v>
      </c>
      <c r="F186" t="s"/>
      <c r="G186" t="s"/>
      <c r="H186" t="s"/>
      <c r="I186" t="s"/>
      <c r="J186" t="n">
        <v>-0.6996</v>
      </c>
      <c r="K186" t="n">
        <v>0.368</v>
      </c>
      <c r="L186" t="n">
        <v>0.505</v>
      </c>
      <c r="M186" t="n">
        <v>0.126</v>
      </c>
    </row>
    <row r="187" spans="1:13">
      <c r="A187" s="1">
        <f>HYPERLINK("http://www.twitter.com/NathanBLawrence/status/997953670795923456", "997953670795923456")</f>
        <v/>
      </c>
      <c r="B187" s="2" t="n">
        <v>43239.89895833333</v>
      </c>
      <c r="C187" t="n">
        <v>1</v>
      </c>
      <c r="D187" t="n">
        <v>1</v>
      </c>
      <c r="E187" t="s">
        <v>163</v>
      </c>
      <c r="F187" t="s"/>
      <c r="G187" t="s"/>
      <c r="H187" t="s"/>
      <c r="I187" t="s"/>
      <c r="J187" t="n">
        <v>0.4019</v>
      </c>
      <c r="K187" t="n">
        <v>0.06900000000000001</v>
      </c>
      <c r="L187" t="n">
        <v>0.794</v>
      </c>
      <c r="M187" t="n">
        <v>0.136</v>
      </c>
    </row>
    <row r="188" spans="1:13">
      <c r="A188" s="1">
        <f>HYPERLINK("http://www.twitter.com/NathanBLawrence/status/997942614010843136", "997942614010843136")</f>
        <v/>
      </c>
      <c r="B188" s="2" t="n">
        <v>43239.86844907407</v>
      </c>
      <c r="C188" t="n">
        <v>0</v>
      </c>
      <c r="D188" t="n">
        <v>0</v>
      </c>
      <c r="E188" t="s">
        <v>195</v>
      </c>
      <c r="F188" t="s"/>
      <c r="G188" t="s"/>
      <c r="H188" t="s"/>
      <c r="I188" t="s"/>
      <c r="J188" t="n">
        <v>0.4019</v>
      </c>
      <c r="K188" t="n">
        <v>0.065</v>
      </c>
      <c r="L188" t="n">
        <v>0.8080000000000001</v>
      </c>
      <c r="M188" t="n">
        <v>0.127</v>
      </c>
    </row>
    <row r="189" spans="1:13">
      <c r="A189" s="1">
        <f>HYPERLINK("http://www.twitter.com/NathanBLawrence/status/997942230215200773", "997942230215200773")</f>
        <v/>
      </c>
      <c r="B189" s="2" t="n">
        <v>43239.86739583333</v>
      </c>
      <c r="C189" t="n">
        <v>0</v>
      </c>
      <c r="D189" t="n">
        <v>0</v>
      </c>
      <c r="E189" t="s">
        <v>196</v>
      </c>
      <c r="F189" t="s"/>
      <c r="G189" t="s"/>
      <c r="H189" t="s"/>
      <c r="I189" t="s"/>
      <c r="J189" t="n">
        <v>0.4019</v>
      </c>
      <c r="K189" t="n">
        <v>0.06900000000000001</v>
      </c>
      <c r="L189" t="n">
        <v>0.794</v>
      </c>
      <c r="M189" t="n">
        <v>0.136</v>
      </c>
    </row>
    <row r="190" spans="1:13">
      <c r="A190" s="1">
        <f>HYPERLINK("http://www.twitter.com/NathanBLawrence/status/997941643503456257", "997941643503456257")</f>
        <v/>
      </c>
      <c r="B190" s="2" t="n">
        <v>43239.86577546296</v>
      </c>
      <c r="C190" t="n">
        <v>0</v>
      </c>
      <c r="D190" t="n">
        <v>0</v>
      </c>
      <c r="E190" t="s">
        <v>197</v>
      </c>
      <c r="F190" t="s"/>
      <c r="G190" t="s"/>
      <c r="H190" t="s"/>
      <c r="I190" t="s"/>
      <c r="J190" t="n">
        <v>0.4019</v>
      </c>
      <c r="K190" t="n">
        <v>0.066</v>
      </c>
      <c r="L190" t="n">
        <v>0.804</v>
      </c>
      <c r="M190" t="n">
        <v>0.13</v>
      </c>
    </row>
    <row r="191" spans="1:13">
      <c r="A191" s="1">
        <f>HYPERLINK("http://www.twitter.com/NathanBLawrence/status/997940979910041600", "997940979910041600")</f>
        <v/>
      </c>
      <c r="B191" s="2" t="n">
        <v>43239.86394675926</v>
      </c>
      <c r="C191" t="n">
        <v>0</v>
      </c>
      <c r="D191" t="n">
        <v>0</v>
      </c>
      <c r="E191" t="s">
        <v>198</v>
      </c>
      <c r="F191" t="s"/>
      <c r="G191" t="s"/>
      <c r="H191" t="s"/>
      <c r="I191" t="s"/>
      <c r="J191" t="n">
        <v>0.4019</v>
      </c>
      <c r="K191" t="n">
        <v>0.06900000000000001</v>
      </c>
      <c r="L191" t="n">
        <v>0.794</v>
      </c>
      <c r="M191" t="n">
        <v>0.136</v>
      </c>
    </row>
    <row r="192" spans="1:13">
      <c r="A192" s="1">
        <f>HYPERLINK("http://www.twitter.com/NathanBLawrence/status/997938498794655751", "997938498794655751")</f>
        <v/>
      </c>
      <c r="B192" s="2" t="n">
        <v>43239.85709490741</v>
      </c>
      <c r="C192" t="n">
        <v>0</v>
      </c>
      <c r="D192" t="n">
        <v>0</v>
      </c>
      <c r="E192" t="s">
        <v>199</v>
      </c>
      <c r="F192" t="s"/>
      <c r="G192" t="s"/>
      <c r="H192" t="s"/>
      <c r="I192" t="s"/>
      <c r="J192" t="n">
        <v>0.4019</v>
      </c>
      <c r="K192" t="n">
        <v>0.06900000000000001</v>
      </c>
      <c r="L192" t="n">
        <v>0.794</v>
      </c>
      <c r="M192" t="n">
        <v>0.136</v>
      </c>
    </row>
    <row r="193" spans="1:13">
      <c r="A193" s="1">
        <f>HYPERLINK("http://www.twitter.com/NathanBLawrence/status/997938033361149952", "997938033361149952")</f>
        <v/>
      </c>
      <c r="B193" s="2" t="n">
        <v>43239.85581018519</v>
      </c>
      <c r="C193" t="n">
        <v>0</v>
      </c>
      <c r="D193" t="n">
        <v>0</v>
      </c>
      <c r="E193" t="s">
        <v>200</v>
      </c>
      <c r="F193" t="s"/>
      <c r="G193" t="s"/>
      <c r="H193" t="s"/>
      <c r="I193" t="s"/>
      <c r="J193" t="n">
        <v>0.4019</v>
      </c>
      <c r="K193" t="n">
        <v>0.068</v>
      </c>
      <c r="L193" t="n">
        <v>0.799</v>
      </c>
      <c r="M193" t="n">
        <v>0.133</v>
      </c>
    </row>
    <row r="194" spans="1:13">
      <c r="A194" s="1">
        <f>HYPERLINK("http://www.twitter.com/NathanBLawrence/status/997937648965701634", "997937648965701634")</f>
        <v/>
      </c>
      <c r="B194" s="2" t="n">
        <v>43239.85474537037</v>
      </c>
      <c r="C194" t="n">
        <v>0</v>
      </c>
      <c r="D194" t="n">
        <v>3</v>
      </c>
      <c r="E194" t="s">
        <v>201</v>
      </c>
      <c r="F194" t="s"/>
      <c r="G194" t="s"/>
      <c r="H194" t="s"/>
      <c r="I194" t="s"/>
      <c r="J194" t="n">
        <v>0.6705</v>
      </c>
      <c r="K194" t="n">
        <v>0</v>
      </c>
      <c r="L194" t="n">
        <v>0.756</v>
      </c>
      <c r="M194" t="n">
        <v>0.244</v>
      </c>
    </row>
    <row r="195" spans="1:13">
      <c r="A195" s="1">
        <f>HYPERLINK("http://www.twitter.com/NathanBLawrence/status/997937623204356096", "997937623204356096")</f>
        <v/>
      </c>
      <c r="B195" s="2" t="n">
        <v>43239.85467592593</v>
      </c>
      <c r="C195" t="n">
        <v>2</v>
      </c>
      <c r="D195" t="n">
        <v>3</v>
      </c>
      <c r="E195" t="s">
        <v>202</v>
      </c>
      <c r="F195" t="s"/>
      <c r="G195" t="s"/>
      <c r="H195" t="s"/>
      <c r="I195" t="s"/>
      <c r="J195" t="n">
        <v>0.4019</v>
      </c>
      <c r="K195" t="n">
        <v>0.06900000000000001</v>
      </c>
      <c r="L195" t="n">
        <v>0.794</v>
      </c>
      <c r="M195" t="n">
        <v>0.136</v>
      </c>
    </row>
    <row r="196" spans="1:13">
      <c r="A196" s="1">
        <f>HYPERLINK("http://www.twitter.com/NathanBLawrence/status/997924104413032448", "997924104413032448")</f>
        <v/>
      </c>
      <c r="B196" s="2" t="n">
        <v>43239.81737268518</v>
      </c>
      <c r="C196" t="n">
        <v>1</v>
      </c>
      <c r="D196" t="n">
        <v>1</v>
      </c>
      <c r="E196" t="s">
        <v>203</v>
      </c>
      <c r="F196" t="s"/>
      <c r="G196" t="s"/>
      <c r="H196" t="s"/>
      <c r="I196" t="s"/>
      <c r="J196" t="n">
        <v>0.3182</v>
      </c>
      <c r="K196" t="n">
        <v>0</v>
      </c>
      <c r="L196" t="n">
        <v>0.9350000000000001</v>
      </c>
      <c r="M196" t="n">
        <v>0.065</v>
      </c>
    </row>
    <row r="197" spans="1:13">
      <c r="A197" s="1">
        <f>HYPERLINK("http://www.twitter.com/NathanBLawrence/status/997924056820314114", "997924056820314114")</f>
        <v/>
      </c>
      <c r="B197" s="2" t="n">
        <v>43239.81724537037</v>
      </c>
      <c r="C197" t="n">
        <v>3</v>
      </c>
      <c r="D197" t="n">
        <v>1</v>
      </c>
      <c r="E197" t="s">
        <v>204</v>
      </c>
      <c r="F197" t="s"/>
      <c r="G197" t="s"/>
      <c r="H197" t="s"/>
      <c r="I197" t="s"/>
      <c r="J197" t="n">
        <v>0.4019</v>
      </c>
      <c r="K197" t="n">
        <v>0</v>
      </c>
      <c r="L197" t="n">
        <v>0.838</v>
      </c>
      <c r="M197" t="n">
        <v>0.162</v>
      </c>
    </row>
    <row r="198" spans="1:13">
      <c r="A198" s="1">
        <f>HYPERLINK("http://www.twitter.com/NathanBLawrence/status/997923444321935361", "997923444321935361")</f>
        <v/>
      </c>
      <c r="B198" s="2" t="n">
        <v>43239.81555555556</v>
      </c>
      <c r="C198" t="n">
        <v>1</v>
      </c>
      <c r="D198" t="n">
        <v>0</v>
      </c>
      <c r="E198" t="s">
        <v>205</v>
      </c>
      <c r="F198" t="s"/>
      <c r="G198" t="s"/>
      <c r="H198" t="s"/>
      <c r="I198" t="s"/>
      <c r="J198" t="n">
        <v>0.4019</v>
      </c>
      <c r="K198" t="n">
        <v>0</v>
      </c>
      <c r="L198" t="n">
        <v>0.838</v>
      </c>
      <c r="M198" t="n">
        <v>0.162</v>
      </c>
    </row>
    <row r="199" spans="1:13">
      <c r="A199" s="1">
        <f>HYPERLINK("http://www.twitter.com/NathanBLawrence/status/997923402445967360", "997923402445967360")</f>
        <v/>
      </c>
      <c r="B199" s="2" t="n">
        <v>43239.81543981482</v>
      </c>
      <c r="C199" t="n">
        <v>2</v>
      </c>
      <c r="D199" t="n">
        <v>0</v>
      </c>
      <c r="E199" t="s">
        <v>206</v>
      </c>
      <c r="F199" t="s"/>
      <c r="G199" t="s"/>
      <c r="H199" t="s"/>
      <c r="I199" t="s"/>
      <c r="J199" t="n">
        <v>0.3182</v>
      </c>
      <c r="K199" t="n">
        <v>0</v>
      </c>
      <c r="L199" t="n">
        <v>0.9350000000000001</v>
      </c>
      <c r="M199" t="n">
        <v>0.065</v>
      </c>
    </row>
    <row r="200" spans="1:13">
      <c r="A200" s="1">
        <f>HYPERLINK("http://www.twitter.com/NathanBLawrence/status/997916553092980737", "997916553092980737")</f>
        <v/>
      </c>
      <c r="B200" s="2" t="n">
        <v>43239.79653935185</v>
      </c>
      <c r="C200" t="n">
        <v>0</v>
      </c>
      <c r="D200" t="n">
        <v>1</v>
      </c>
      <c r="E200" t="s">
        <v>207</v>
      </c>
      <c r="F200" t="s"/>
      <c r="G200" t="s"/>
      <c r="H200" t="s"/>
      <c r="I200" t="s"/>
      <c r="J200" t="n">
        <v>0.3182</v>
      </c>
      <c r="K200" t="n">
        <v>0</v>
      </c>
      <c r="L200" t="n">
        <v>0.839</v>
      </c>
      <c r="M200" t="n">
        <v>0.161</v>
      </c>
    </row>
    <row r="201" spans="1:13">
      <c r="A201" s="1">
        <f>HYPERLINK("http://www.twitter.com/NathanBLawrence/status/997916478518321157", "997916478518321157")</f>
        <v/>
      </c>
      <c r="B201" s="2" t="n">
        <v>43239.79633101852</v>
      </c>
      <c r="C201" t="n">
        <v>0</v>
      </c>
      <c r="D201" t="n">
        <v>1</v>
      </c>
      <c r="E201" t="s">
        <v>208</v>
      </c>
      <c r="F201" t="s"/>
      <c r="G201" t="s"/>
      <c r="H201" t="s"/>
      <c r="I201" t="s"/>
      <c r="J201" t="n">
        <v>0</v>
      </c>
      <c r="K201" t="n">
        <v>0</v>
      </c>
      <c r="L201" t="n">
        <v>1</v>
      </c>
      <c r="M201" t="n">
        <v>0</v>
      </c>
    </row>
    <row r="202" spans="1:13">
      <c r="A202" s="1">
        <f>HYPERLINK("http://www.twitter.com/NathanBLawrence/status/997916437762269184", "997916437762269184")</f>
        <v/>
      </c>
      <c r="B202" s="2" t="n">
        <v>43239.79621527778</v>
      </c>
      <c r="C202" t="n">
        <v>1</v>
      </c>
      <c r="D202" t="n">
        <v>1</v>
      </c>
      <c r="E202" t="s">
        <v>209</v>
      </c>
      <c r="F202" t="s"/>
      <c r="G202" t="s"/>
      <c r="H202" t="s"/>
      <c r="I202" t="s"/>
      <c r="J202" t="n">
        <v>0.3182</v>
      </c>
      <c r="K202" t="n">
        <v>0</v>
      </c>
      <c r="L202" t="n">
        <v>0.913</v>
      </c>
      <c r="M202" t="n">
        <v>0.08699999999999999</v>
      </c>
    </row>
    <row r="203" spans="1:13">
      <c r="A203" s="1">
        <f>HYPERLINK("http://www.twitter.com/NathanBLawrence/status/997916304953823232", "997916304953823232")</f>
        <v/>
      </c>
      <c r="B203" s="2" t="n">
        <v>43239.79585648148</v>
      </c>
      <c r="C203" t="n">
        <v>1</v>
      </c>
      <c r="D203" t="n">
        <v>1</v>
      </c>
      <c r="E203" t="s">
        <v>210</v>
      </c>
      <c r="F203" t="s"/>
      <c r="G203" t="s"/>
      <c r="H203" t="s"/>
      <c r="I203" t="s"/>
      <c r="J203" t="n">
        <v>0.3182</v>
      </c>
      <c r="K203" t="n">
        <v>0</v>
      </c>
      <c r="L203" t="n">
        <v>0.892</v>
      </c>
      <c r="M203" t="n">
        <v>0.108</v>
      </c>
    </row>
    <row r="204" spans="1:13">
      <c r="A204" s="1">
        <f>HYPERLINK("http://www.twitter.com/NathanBLawrence/status/997913111100297218", "997913111100297218")</f>
        <v/>
      </c>
      <c r="B204" s="2" t="n">
        <v>43239.78703703704</v>
      </c>
      <c r="C204" t="n">
        <v>0</v>
      </c>
      <c r="D204" t="n">
        <v>10</v>
      </c>
      <c r="E204" t="s">
        <v>211</v>
      </c>
      <c r="F204">
        <f>HYPERLINK("http://pbs.twimg.com/media/DdlMSqYXkAEi4Ll.jpg", "http://pbs.twimg.com/media/DdlMSqYXkAEi4Ll.jpg")</f>
        <v/>
      </c>
      <c r="G204" t="s"/>
      <c r="H204" t="s"/>
      <c r="I204" t="s"/>
      <c r="J204" t="n">
        <v>-0.5213</v>
      </c>
      <c r="K204" t="n">
        <v>0.179</v>
      </c>
      <c r="L204" t="n">
        <v>0.821</v>
      </c>
      <c r="M204" t="n">
        <v>0</v>
      </c>
    </row>
    <row r="205" spans="1:13">
      <c r="A205" s="1">
        <f>HYPERLINK("http://www.twitter.com/NathanBLawrence/status/997885172233228288", "997885172233228288")</f>
        <v/>
      </c>
      <c r="B205" s="2" t="n">
        <v>43239.70994212963</v>
      </c>
      <c r="C205" t="n">
        <v>0</v>
      </c>
      <c r="D205" t="n">
        <v>0</v>
      </c>
      <c r="E205" t="s">
        <v>212</v>
      </c>
      <c r="F205" t="s"/>
      <c r="G205" t="s"/>
      <c r="H205" t="s"/>
      <c r="I205" t="s"/>
      <c r="J205" t="n">
        <v>0.4019</v>
      </c>
      <c r="K205" t="n">
        <v>0</v>
      </c>
      <c r="L205" t="n">
        <v>0.838</v>
      </c>
      <c r="M205" t="n">
        <v>0.162</v>
      </c>
    </row>
    <row r="206" spans="1:13">
      <c r="A206" s="1">
        <f>HYPERLINK("http://www.twitter.com/NathanBLawrence/status/997884914535223296", "997884914535223296")</f>
        <v/>
      </c>
      <c r="B206" s="2" t="n">
        <v>43239.70923611111</v>
      </c>
      <c r="C206" t="n">
        <v>0</v>
      </c>
      <c r="D206" t="n">
        <v>1</v>
      </c>
      <c r="E206" t="s">
        <v>213</v>
      </c>
      <c r="F206" t="s"/>
      <c r="G206" t="s"/>
      <c r="H206" t="s"/>
      <c r="I206" t="s"/>
      <c r="J206" t="n">
        <v>0.6705</v>
      </c>
      <c r="K206" t="n">
        <v>0</v>
      </c>
      <c r="L206" t="n">
        <v>0.706</v>
      </c>
      <c r="M206" t="n">
        <v>0.294</v>
      </c>
    </row>
    <row r="207" spans="1:13">
      <c r="A207" s="1">
        <f>HYPERLINK("http://www.twitter.com/NathanBLawrence/status/997884866237788160", "997884866237788160")</f>
        <v/>
      </c>
      <c r="B207" s="2" t="n">
        <v>43239.70909722222</v>
      </c>
      <c r="C207" t="n">
        <v>2</v>
      </c>
      <c r="D207" t="n">
        <v>1</v>
      </c>
      <c r="E207" t="s">
        <v>214</v>
      </c>
      <c r="F207" t="s"/>
      <c r="G207" t="s"/>
      <c r="H207" t="s"/>
      <c r="I207" t="s"/>
      <c r="J207" t="n">
        <v>0.6705</v>
      </c>
      <c r="K207" t="n">
        <v>0</v>
      </c>
      <c r="L207" t="n">
        <v>0.754</v>
      </c>
      <c r="M207" t="n">
        <v>0.246</v>
      </c>
    </row>
    <row r="208" spans="1:13">
      <c r="A208" s="1">
        <f>HYPERLINK("http://www.twitter.com/NathanBLawrence/status/997879410253496320", "997879410253496320")</f>
        <v/>
      </c>
      <c r="B208" s="2" t="n">
        <v>43239.69403935185</v>
      </c>
      <c r="C208" t="n">
        <v>0</v>
      </c>
      <c r="D208" t="n">
        <v>1</v>
      </c>
      <c r="E208" t="s">
        <v>215</v>
      </c>
      <c r="F208">
        <f>HYPERLINK("http://pbs.twimg.com/media/DdkoJCqVwAUiPfn.jpg", "http://pbs.twimg.com/media/DdkoJCqVwAUiPfn.jpg")</f>
        <v/>
      </c>
      <c r="G208">
        <f>HYPERLINK("http://pbs.twimg.com/media/DdkoJClUQAAGAU_.jpg", "http://pbs.twimg.com/media/DdkoJClUQAAGAU_.jpg")</f>
        <v/>
      </c>
      <c r="H208" t="s"/>
      <c r="I208" t="s"/>
      <c r="J208" t="n">
        <v>0.3818</v>
      </c>
      <c r="K208" t="n">
        <v>0</v>
      </c>
      <c r="L208" t="n">
        <v>0.755</v>
      </c>
      <c r="M208" t="n">
        <v>0.245</v>
      </c>
    </row>
    <row r="209" spans="1:13">
      <c r="A209" s="1">
        <f>HYPERLINK("http://www.twitter.com/NathanBLawrence/status/997856437190742016", "997856437190742016")</f>
        <v/>
      </c>
      <c r="B209" s="2" t="n">
        <v>43239.63064814815</v>
      </c>
      <c r="C209" t="n">
        <v>0</v>
      </c>
      <c r="D209" t="n">
        <v>7</v>
      </c>
      <c r="E209" t="s">
        <v>216</v>
      </c>
      <c r="F209" t="s"/>
      <c r="G209" t="s"/>
      <c r="H209" t="s"/>
      <c r="I209" t="s"/>
      <c r="J209" t="n">
        <v>0.888</v>
      </c>
      <c r="K209" t="n">
        <v>0</v>
      </c>
      <c r="L209" t="n">
        <v>0.699</v>
      </c>
      <c r="M209" t="n">
        <v>0.301</v>
      </c>
    </row>
    <row r="210" spans="1:13">
      <c r="A210" s="1">
        <f>HYPERLINK("http://www.twitter.com/NathanBLawrence/status/997848226882572288", "997848226882572288")</f>
        <v/>
      </c>
      <c r="B210" s="2" t="n">
        <v>43239.60799768518</v>
      </c>
      <c r="C210" t="n">
        <v>2</v>
      </c>
      <c r="D210" t="n">
        <v>2</v>
      </c>
      <c r="E210" t="s">
        <v>217</v>
      </c>
      <c r="F210" t="s"/>
      <c r="G210" t="s"/>
      <c r="H210" t="s"/>
      <c r="I210" t="s"/>
      <c r="J210" t="n">
        <v>0</v>
      </c>
      <c r="K210" t="n">
        <v>0</v>
      </c>
      <c r="L210" t="n">
        <v>1</v>
      </c>
      <c r="M210" t="n">
        <v>0</v>
      </c>
    </row>
    <row r="211" spans="1:13">
      <c r="A211" s="1">
        <f>HYPERLINK("http://www.twitter.com/NathanBLawrence/status/997846983116238848", "997846983116238848")</f>
        <v/>
      </c>
      <c r="B211" s="2" t="n">
        <v>43239.60456018519</v>
      </c>
      <c r="C211" t="n">
        <v>2</v>
      </c>
      <c r="D211" t="n">
        <v>1</v>
      </c>
      <c r="E211" t="s">
        <v>218</v>
      </c>
      <c r="F211" t="s"/>
      <c r="G211" t="s"/>
      <c r="H211" t="s"/>
      <c r="I211" t="s"/>
      <c r="J211" t="n">
        <v>0.3182</v>
      </c>
      <c r="K211" t="n">
        <v>0</v>
      </c>
      <c r="L211" t="n">
        <v>0.9330000000000001</v>
      </c>
      <c r="M211" t="n">
        <v>0.067</v>
      </c>
    </row>
    <row r="212" spans="1:13">
      <c r="A212" s="1">
        <f>HYPERLINK("http://www.twitter.com/NathanBLawrence/status/997842291799875584", "997842291799875584")</f>
        <v/>
      </c>
      <c r="B212" s="2" t="n">
        <v>43239.59162037037</v>
      </c>
      <c r="C212" t="n">
        <v>0</v>
      </c>
      <c r="D212" t="n">
        <v>11</v>
      </c>
      <c r="E212" t="s">
        <v>219</v>
      </c>
      <c r="F212" t="s"/>
      <c r="G212" t="s"/>
      <c r="H212" t="s"/>
      <c r="I212" t="s"/>
      <c r="J212" t="n">
        <v>0.4572</v>
      </c>
      <c r="K212" t="n">
        <v>0</v>
      </c>
      <c r="L212" t="n">
        <v>0.88</v>
      </c>
      <c r="M212" t="n">
        <v>0.12</v>
      </c>
    </row>
    <row r="213" spans="1:13">
      <c r="A213" s="1">
        <f>HYPERLINK("http://www.twitter.com/NathanBLawrence/status/997839673715195904", "997839673715195904")</f>
        <v/>
      </c>
      <c r="B213" s="2" t="n">
        <v>43239.58438657408</v>
      </c>
      <c r="C213" t="n">
        <v>11</v>
      </c>
      <c r="D213" t="n">
        <v>11</v>
      </c>
      <c r="E213" t="s">
        <v>220</v>
      </c>
      <c r="F213" t="s"/>
      <c r="G213" t="s"/>
      <c r="H213" t="s"/>
      <c r="I213" t="s"/>
      <c r="J213" t="n">
        <v>0.4572</v>
      </c>
      <c r="K213" t="n">
        <v>0</v>
      </c>
      <c r="L213" t="n">
        <v>0.915</v>
      </c>
      <c r="M213" t="n">
        <v>0.08500000000000001</v>
      </c>
    </row>
    <row r="214" spans="1:13">
      <c r="A214" s="1">
        <f>HYPERLINK("http://www.twitter.com/NathanBLawrence/status/997830008482787333", "997830008482787333")</f>
        <v/>
      </c>
      <c r="B214" s="2" t="n">
        <v>43239.55771990741</v>
      </c>
      <c r="C214" t="n">
        <v>0</v>
      </c>
      <c r="D214" t="n">
        <v>5</v>
      </c>
      <c r="E214" t="s">
        <v>221</v>
      </c>
      <c r="F214" t="s"/>
      <c r="G214" t="s"/>
      <c r="H214" t="s"/>
      <c r="I214" t="s"/>
      <c r="J214" t="n">
        <v>-0.6239</v>
      </c>
      <c r="K214" t="n">
        <v>0.214</v>
      </c>
      <c r="L214" t="n">
        <v>0.786</v>
      </c>
      <c r="M214" t="n">
        <v>0</v>
      </c>
    </row>
    <row r="215" spans="1:13">
      <c r="A215" s="1">
        <f>HYPERLINK("http://www.twitter.com/NathanBLawrence/status/997829922809962497", "997829922809962497")</f>
        <v/>
      </c>
      <c r="B215" s="2" t="n">
        <v>43239.55748842593</v>
      </c>
      <c r="C215" t="n">
        <v>0</v>
      </c>
      <c r="D215" t="n">
        <v>1</v>
      </c>
      <c r="E215" t="s">
        <v>222</v>
      </c>
      <c r="F215" t="s"/>
      <c r="G215" t="s"/>
      <c r="H215" t="s"/>
      <c r="I215" t="s"/>
      <c r="J215" t="n">
        <v>-0.8126</v>
      </c>
      <c r="K215" t="n">
        <v>0.251</v>
      </c>
      <c r="L215" t="n">
        <v>0.749</v>
      </c>
      <c r="M215" t="n">
        <v>0</v>
      </c>
    </row>
    <row r="216" spans="1:13">
      <c r="A216" s="1">
        <f>HYPERLINK("http://www.twitter.com/NathanBLawrence/status/997829259744948229", "997829259744948229")</f>
        <v/>
      </c>
      <c r="B216" s="2" t="n">
        <v>43239.55564814815</v>
      </c>
      <c r="C216" t="n">
        <v>9</v>
      </c>
      <c r="D216" t="n">
        <v>5</v>
      </c>
      <c r="E216" t="s">
        <v>223</v>
      </c>
      <c r="F216" t="s"/>
      <c r="G216" t="s"/>
      <c r="H216" t="s"/>
      <c r="I216" t="s"/>
      <c r="J216" t="n">
        <v>-0.6239</v>
      </c>
      <c r="K216" t="n">
        <v>0.239</v>
      </c>
      <c r="L216" t="n">
        <v>0.761</v>
      </c>
      <c r="M216" t="n">
        <v>0</v>
      </c>
    </row>
    <row r="217" spans="1:13">
      <c r="A217" s="1">
        <f>HYPERLINK("http://www.twitter.com/NathanBLawrence/status/997825537413394433", "997825537413394433")</f>
        <v/>
      </c>
      <c r="B217" s="2" t="n">
        <v>43239.54538194444</v>
      </c>
      <c r="C217" t="n">
        <v>0</v>
      </c>
      <c r="D217" t="n">
        <v>1</v>
      </c>
      <c r="E217" t="s">
        <v>224</v>
      </c>
      <c r="F217" t="s"/>
      <c r="G217" t="s"/>
      <c r="H217" t="s"/>
      <c r="I217" t="s"/>
      <c r="J217" t="n">
        <v>-0.7644</v>
      </c>
      <c r="K217" t="n">
        <v>0.248</v>
      </c>
      <c r="L217" t="n">
        <v>0.752</v>
      </c>
      <c r="M217" t="n">
        <v>0</v>
      </c>
    </row>
    <row r="218" spans="1:13">
      <c r="A218" s="1">
        <f>HYPERLINK("http://www.twitter.com/NathanBLawrence/status/997825297910255616", "997825297910255616")</f>
        <v/>
      </c>
      <c r="B218" s="2" t="n">
        <v>43239.54472222222</v>
      </c>
      <c r="C218" t="n">
        <v>0</v>
      </c>
      <c r="D218" t="n">
        <v>4</v>
      </c>
      <c r="E218" t="s">
        <v>225</v>
      </c>
      <c r="F218" t="s"/>
      <c r="G218" t="s"/>
      <c r="H218" t="s"/>
      <c r="I218" t="s"/>
      <c r="J218" t="n">
        <v>0.0258</v>
      </c>
      <c r="K218" t="n">
        <v>0.09</v>
      </c>
      <c r="L218" t="n">
        <v>0.8159999999999999</v>
      </c>
      <c r="M218" t="n">
        <v>0.094</v>
      </c>
    </row>
    <row r="219" spans="1:13">
      <c r="A219" s="1">
        <f>HYPERLINK("http://www.twitter.com/NathanBLawrence/status/997825257217110016", "997825257217110016")</f>
        <v/>
      </c>
      <c r="B219" s="2" t="n">
        <v>43239.54460648148</v>
      </c>
      <c r="C219" t="n">
        <v>5</v>
      </c>
      <c r="D219" t="n">
        <v>4</v>
      </c>
      <c r="E219" t="s">
        <v>226</v>
      </c>
      <c r="F219" t="s"/>
      <c r="G219" t="s"/>
      <c r="H219" t="s"/>
      <c r="I219" t="s"/>
      <c r="J219" t="n">
        <v>-0.4939</v>
      </c>
      <c r="K219" t="n">
        <v>0.146</v>
      </c>
      <c r="L219" t="n">
        <v>0.794</v>
      </c>
      <c r="M219" t="n">
        <v>0.061</v>
      </c>
    </row>
    <row r="220" spans="1:13">
      <c r="A220" s="1">
        <f>HYPERLINK("http://www.twitter.com/NathanBLawrence/status/997805768480034816", "997805768480034816")</f>
        <v/>
      </c>
      <c r="B220" s="2" t="n">
        <v>43239.49083333334</v>
      </c>
      <c r="C220" t="n">
        <v>0</v>
      </c>
      <c r="D220" t="n">
        <v>3</v>
      </c>
      <c r="E220" t="s">
        <v>227</v>
      </c>
      <c r="F220" t="s"/>
      <c r="G220" t="s"/>
      <c r="H220" t="s"/>
      <c r="I220" t="s"/>
      <c r="J220" t="n">
        <v>0</v>
      </c>
      <c r="K220" t="n">
        <v>0</v>
      </c>
      <c r="L220" t="n">
        <v>1</v>
      </c>
      <c r="M220" t="n">
        <v>0</v>
      </c>
    </row>
    <row r="221" spans="1:13">
      <c r="A221" s="1">
        <f>HYPERLINK("http://www.twitter.com/NathanBLawrence/status/997800509288349696", "997800509288349696")</f>
        <v/>
      </c>
      <c r="B221" s="2" t="n">
        <v>43239.47631944445</v>
      </c>
      <c r="C221" t="n">
        <v>0</v>
      </c>
      <c r="D221" t="n">
        <v>3</v>
      </c>
      <c r="E221" t="s">
        <v>228</v>
      </c>
      <c r="F221" t="s"/>
      <c r="G221" t="s"/>
      <c r="H221" t="s"/>
      <c r="I221" t="s"/>
      <c r="J221" t="n">
        <v>0</v>
      </c>
      <c r="K221" t="n">
        <v>0</v>
      </c>
      <c r="L221" t="n">
        <v>1</v>
      </c>
      <c r="M221" t="n">
        <v>0</v>
      </c>
    </row>
    <row r="222" spans="1:13">
      <c r="A222" s="1">
        <f>HYPERLINK("http://www.twitter.com/NathanBLawrence/status/997694232189075458", "997694232189075458")</f>
        <v/>
      </c>
      <c r="B222" s="2" t="n">
        <v>43239.18304398148</v>
      </c>
      <c r="C222" t="n">
        <v>0</v>
      </c>
      <c r="D222" t="n">
        <v>8</v>
      </c>
      <c r="E222" t="s">
        <v>229</v>
      </c>
      <c r="F222" t="s"/>
      <c r="G222" t="s"/>
      <c r="H222" t="s"/>
      <c r="I222" t="s"/>
      <c r="J222" t="n">
        <v>0.2598</v>
      </c>
      <c r="K222" t="n">
        <v>0</v>
      </c>
      <c r="L222" t="n">
        <v>0.907</v>
      </c>
      <c r="M222" t="n">
        <v>0.093</v>
      </c>
    </row>
    <row r="223" spans="1:13">
      <c r="A223" s="1">
        <f>HYPERLINK("http://www.twitter.com/NathanBLawrence/status/997694085166223360", "997694085166223360")</f>
        <v/>
      </c>
      <c r="B223" s="2" t="n">
        <v>43239.18263888889</v>
      </c>
      <c r="C223" t="n">
        <v>0</v>
      </c>
      <c r="D223" t="n">
        <v>1</v>
      </c>
      <c r="E223" t="s">
        <v>230</v>
      </c>
      <c r="F223" t="s"/>
      <c r="G223" t="s"/>
      <c r="H223" t="s"/>
      <c r="I223" t="s"/>
      <c r="J223" t="n">
        <v>0.4019</v>
      </c>
      <c r="K223" t="n">
        <v>0</v>
      </c>
      <c r="L223" t="n">
        <v>0.886</v>
      </c>
      <c r="M223" t="n">
        <v>0.114</v>
      </c>
    </row>
    <row r="224" spans="1:13">
      <c r="A224" s="1">
        <f>HYPERLINK("http://www.twitter.com/NathanBLawrence/status/997673954247659520", "997673954247659520")</f>
        <v/>
      </c>
      <c r="B224" s="2" t="n">
        <v>43239.12709490741</v>
      </c>
      <c r="C224" t="n">
        <v>0</v>
      </c>
      <c r="D224" t="n">
        <v>2</v>
      </c>
      <c r="E224" t="s">
        <v>231</v>
      </c>
      <c r="F224" t="s"/>
      <c r="G224" t="s"/>
      <c r="H224" t="s"/>
      <c r="I224" t="s"/>
      <c r="J224" t="n">
        <v>0.6124000000000001</v>
      </c>
      <c r="K224" t="n">
        <v>0</v>
      </c>
      <c r="L224" t="n">
        <v>0.783</v>
      </c>
      <c r="M224" t="n">
        <v>0.217</v>
      </c>
    </row>
    <row r="225" spans="1:13">
      <c r="A225" s="1">
        <f>HYPERLINK("http://www.twitter.com/NathanBLawrence/status/997673903064526848", "997673903064526848")</f>
        <v/>
      </c>
      <c r="B225" s="2" t="n">
        <v>43239.12695601852</v>
      </c>
      <c r="C225" t="n">
        <v>4</v>
      </c>
      <c r="D225" t="n">
        <v>2</v>
      </c>
      <c r="E225" t="s">
        <v>232</v>
      </c>
      <c r="F225" t="s"/>
      <c r="G225" t="s"/>
      <c r="H225" t="s"/>
      <c r="I225" t="s"/>
      <c r="J225" t="n">
        <v>0.6124000000000001</v>
      </c>
      <c r="K225" t="n">
        <v>0</v>
      </c>
      <c r="L225" t="n">
        <v>0.762</v>
      </c>
      <c r="M225" t="n">
        <v>0.238</v>
      </c>
    </row>
    <row r="226" spans="1:13">
      <c r="A226" s="1">
        <f>HYPERLINK("http://www.twitter.com/NathanBLawrence/status/997667807079862273", "997667807079862273")</f>
        <v/>
      </c>
      <c r="B226" s="2" t="n">
        <v>43239.11012731482</v>
      </c>
      <c r="C226" t="n">
        <v>0</v>
      </c>
      <c r="D226" t="n">
        <v>8</v>
      </c>
      <c r="E226" t="s">
        <v>233</v>
      </c>
      <c r="F226" t="s"/>
      <c r="G226" t="s"/>
      <c r="H226" t="s"/>
      <c r="I226" t="s"/>
      <c r="J226" t="n">
        <v>-0.4966</v>
      </c>
      <c r="K226" t="n">
        <v>0.161</v>
      </c>
      <c r="L226" t="n">
        <v>0.839</v>
      </c>
      <c r="M226" t="n">
        <v>0</v>
      </c>
    </row>
    <row r="227" spans="1:13">
      <c r="A227" s="1">
        <f>HYPERLINK("http://www.twitter.com/NathanBLawrence/status/997664845829935104", "997664845829935104")</f>
        <v/>
      </c>
      <c r="B227" s="2" t="n">
        <v>43239.10195601852</v>
      </c>
      <c r="C227" t="n">
        <v>0</v>
      </c>
      <c r="D227" t="n">
        <v>18</v>
      </c>
      <c r="E227" t="s">
        <v>234</v>
      </c>
      <c r="F227" t="s"/>
      <c r="G227" t="s"/>
      <c r="H227" t="s"/>
      <c r="I227" t="s"/>
      <c r="J227" t="n">
        <v>-0.3182</v>
      </c>
      <c r="K227" t="n">
        <v>0.108</v>
      </c>
      <c r="L227" t="n">
        <v>0.892</v>
      </c>
      <c r="M227" t="n">
        <v>0</v>
      </c>
    </row>
    <row r="228" spans="1:13">
      <c r="A228" s="1">
        <f>HYPERLINK("http://www.twitter.com/NathanBLawrence/status/997662550622863360", "997662550622863360")</f>
        <v/>
      </c>
      <c r="B228" s="2" t="n">
        <v>43239.095625</v>
      </c>
      <c r="C228" t="n">
        <v>0</v>
      </c>
      <c r="D228" t="n">
        <v>7</v>
      </c>
      <c r="E228" t="s">
        <v>235</v>
      </c>
      <c r="F228" t="s"/>
      <c r="G228" t="s"/>
      <c r="H228" t="s"/>
      <c r="I228" t="s"/>
      <c r="J228" t="n">
        <v>0.6588000000000001</v>
      </c>
      <c r="K228" t="n">
        <v>0</v>
      </c>
      <c r="L228" t="n">
        <v>0.577</v>
      </c>
      <c r="M228" t="n">
        <v>0.423</v>
      </c>
    </row>
    <row r="229" spans="1:13">
      <c r="A229" s="1">
        <f>HYPERLINK("http://www.twitter.com/NathanBLawrence/status/997657719116058626", "997657719116058626")</f>
        <v/>
      </c>
      <c r="B229" s="2" t="n">
        <v>43239.08229166667</v>
      </c>
      <c r="C229" t="n">
        <v>0</v>
      </c>
      <c r="D229" t="n">
        <v>33</v>
      </c>
      <c r="E229" t="s">
        <v>236</v>
      </c>
      <c r="F229" t="s"/>
      <c r="G229" t="s"/>
      <c r="H229" t="s"/>
      <c r="I229" t="s"/>
      <c r="J229" t="n">
        <v>-0.7258</v>
      </c>
      <c r="K229" t="n">
        <v>0.307</v>
      </c>
      <c r="L229" t="n">
        <v>0.6929999999999999</v>
      </c>
      <c r="M229" t="n">
        <v>0</v>
      </c>
    </row>
    <row r="230" spans="1:13">
      <c r="A230" s="1">
        <f>HYPERLINK("http://www.twitter.com/NathanBLawrence/status/997650226893721600", "997650226893721600")</f>
        <v/>
      </c>
      <c r="B230" s="2" t="n">
        <v>43239.06162037037</v>
      </c>
      <c r="C230" t="n">
        <v>0</v>
      </c>
      <c r="D230" t="n">
        <v>2</v>
      </c>
      <c r="E230" t="s">
        <v>237</v>
      </c>
      <c r="F230" t="s"/>
      <c r="G230" t="s"/>
      <c r="H230" t="s"/>
      <c r="I230" t="s"/>
      <c r="J230" t="n">
        <v>0</v>
      </c>
      <c r="K230" t="n">
        <v>0</v>
      </c>
      <c r="L230" t="n">
        <v>1</v>
      </c>
      <c r="M230" t="n">
        <v>0</v>
      </c>
    </row>
    <row r="231" spans="1:13">
      <c r="A231" s="1">
        <f>HYPERLINK("http://www.twitter.com/NathanBLawrence/status/997649712844075008", "997649712844075008")</f>
        <v/>
      </c>
      <c r="B231" s="2" t="n">
        <v>43239.06019675926</v>
      </c>
      <c r="C231" t="n">
        <v>2</v>
      </c>
      <c r="D231" t="n">
        <v>2</v>
      </c>
      <c r="E231" t="s">
        <v>238</v>
      </c>
      <c r="F231" t="s"/>
      <c r="G231" t="s"/>
      <c r="H231" t="s"/>
      <c r="I231" t="s"/>
      <c r="J231" t="n">
        <v>-0.5931999999999999</v>
      </c>
      <c r="K231" t="n">
        <v>0.22</v>
      </c>
      <c r="L231" t="n">
        <v>0.709</v>
      </c>
      <c r="M231" t="n">
        <v>0.07099999999999999</v>
      </c>
    </row>
    <row r="232" spans="1:13">
      <c r="A232" s="1">
        <f>HYPERLINK("http://www.twitter.com/NathanBLawrence/status/997648452778590208", "997648452778590208")</f>
        <v/>
      </c>
      <c r="B232" s="2" t="n">
        <v>43239.05672453704</v>
      </c>
      <c r="C232" t="n">
        <v>0</v>
      </c>
      <c r="D232" t="n">
        <v>5</v>
      </c>
      <c r="E232" t="s">
        <v>239</v>
      </c>
      <c r="F232" t="s"/>
      <c r="G232" t="s"/>
      <c r="H232" t="s"/>
      <c r="I232" t="s"/>
      <c r="J232" t="n">
        <v>-0.2411</v>
      </c>
      <c r="K232" t="n">
        <v>0.094</v>
      </c>
      <c r="L232" t="n">
        <v>0.906</v>
      </c>
      <c r="M232" t="n">
        <v>0</v>
      </c>
    </row>
    <row r="233" spans="1:13">
      <c r="A233" s="1">
        <f>HYPERLINK("http://www.twitter.com/NathanBLawrence/status/997647975022243841", "997647975022243841")</f>
        <v/>
      </c>
      <c r="B233" s="2" t="n">
        <v>43239.05540509259</v>
      </c>
      <c r="C233" t="n">
        <v>7</v>
      </c>
      <c r="D233" t="n">
        <v>5</v>
      </c>
      <c r="E233" t="s">
        <v>240</v>
      </c>
      <c r="F233" t="s"/>
      <c r="G233" t="s"/>
      <c r="H233" t="s"/>
      <c r="I233" t="s"/>
      <c r="J233" t="n">
        <v>-0.6555</v>
      </c>
      <c r="K233" t="n">
        <v>0.109</v>
      </c>
      <c r="L233" t="n">
        <v>0.891</v>
      </c>
      <c r="M233" t="n">
        <v>0</v>
      </c>
    </row>
    <row r="234" spans="1:13">
      <c r="A234" s="1">
        <f>HYPERLINK("http://www.twitter.com/NathanBLawrence/status/997638690712313860", "997638690712313860")</f>
        <v/>
      </c>
      <c r="B234" s="2" t="n">
        <v>43239.02978009259</v>
      </c>
      <c r="C234" t="n">
        <v>0</v>
      </c>
      <c r="D234" t="n">
        <v>5</v>
      </c>
      <c r="E234" t="s">
        <v>241</v>
      </c>
      <c r="F234" t="s"/>
      <c r="G234" t="s"/>
      <c r="H234" t="s"/>
      <c r="I234" t="s"/>
      <c r="J234" t="n">
        <v>0</v>
      </c>
      <c r="K234" t="n">
        <v>0</v>
      </c>
      <c r="L234" t="n">
        <v>1</v>
      </c>
      <c r="M234" t="n">
        <v>0</v>
      </c>
    </row>
    <row r="235" spans="1:13">
      <c r="A235" s="1">
        <f>HYPERLINK("http://www.twitter.com/NathanBLawrence/status/997633790905380864", "997633790905380864")</f>
        <v/>
      </c>
      <c r="B235" s="2" t="n">
        <v>43239.01626157408</v>
      </c>
      <c r="C235" t="n">
        <v>0</v>
      </c>
      <c r="D235" t="n">
        <v>2</v>
      </c>
      <c r="E235" t="s">
        <v>242</v>
      </c>
      <c r="F235">
        <f>HYPERLINK("http://pbs.twimg.com/media/DdhOS5bUwAA9DxI.jpg", "http://pbs.twimg.com/media/DdhOS5bUwAA9DxI.jpg")</f>
        <v/>
      </c>
      <c r="G235" t="s"/>
      <c r="H235" t="s"/>
      <c r="I235" t="s"/>
      <c r="J235" t="n">
        <v>0.25</v>
      </c>
      <c r="K235" t="n">
        <v>0</v>
      </c>
      <c r="L235" t="n">
        <v>0.909</v>
      </c>
      <c r="M235" t="n">
        <v>0.091</v>
      </c>
    </row>
    <row r="236" spans="1:13">
      <c r="A236" s="1">
        <f>HYPERLINK("http://www.twitter.com/NathanBLawrence/status/997624098112106497", "997624098112106497")</f>
        <v/>
      </c>
      <c r="B236" s="2" t="n">
        <v>43238.98951388889</v>
      </c>
      <c r="C236" t="n">
        <v>0</v>
      </c>
      <c r="D236" t="n">
        <v>1</v>
      </c>
      <c r="E236" t="s">
        <v>243</v>
      </c>
      <c r="F236" t="s"/>
      <c r="G236" t="s"/>
      <c r="H236" t="s"/>
      <c r="I236" t="s"/>
      <c r="J236" t="n">
        <v>0.1761</v>
      </c>
      <c r="K236" t="n">
        <v>0.101</v>
      </c>
      <c r="L236" t="n">
        <v>0.766</v>
      </c>
      <c r="M236" t="n">
        <v>0.134</v>
      </c>
    </row>
    <row r="237" spans="1:13">
      <c r="A237" s="1">
        <f>HYPERLINK("http://www.twitter.com/NathanBLawrence/status/997624083327090689", "997624083327090689")</f>
        <v/>
      </c>
      <c r="B237" s="2" t="n">
        <v>43238.98947916667</v>
      </c>
      <c r="C237" t="n">
        <v>2</v>
      </c>
      <c r="D237" t="n">
        <v>1</v>
      </c>
      <c r="E237" t="s">
        <v>244</v>
      </c>
      <c r="F237" t="s"/>
      <c r="G237" t="s"/>
      <c r="H237" t="s"/>
      <c r="I237" t="s"/>
      <c r="J237" t="n">
        <v>-0.4492</v>
      </c>
      <c r="K237" t="n">
        <v>0.19</v>
      </c>
      <c r="L237" t="n">
        <v>0.732</v>
      </c>
      <c r="M237" t="n">
        <v>0.079</v>
      </c>
    </row>
    <row r="238" spans="1:13">
      <c r="A238" s="1">
        <f>HYPERLINK("http://www.twitter.com/NathanBLawrence/status/997621143044612101", "997621143044612101")</f>
        <v/>
      </c>
      <c r="B238" s="2" t="n">
        <v>43238.98136574074</v>
      </c>
      <c r="C238" t="n">
        <v>0</v>
      </c>
      <c r="D238" t="n">
        <v>13</v>
      </c>
      <c r="E238" t="s">
        <v>245</v>
      </c>
      <c r="F238">
        <f>HYPERLINK("http://pbs.twimg.com/media/DdhDGqOXcAIZH-l.jpg", "http://pbs.twimg.com/media/DdhDGqOXcAIZH-l.jpg")</f>
        <v/>
      </c>
      <c r="G238" t="s"/>
      <c r="H238" t="s"/>
      <c r="I238" t="s"/>
      <c r="J238" t="n">
        <v>0</v>
      </c>
      <c r="K238" t="n">
        <v>0</v>
      </c>
      <c r="L238" t="n">
        <v>1</v>
      </c>
      <c r="M238" t="n">
        <v>0</v>
      </c>
    </row>
    <row r="239" spans="1:13">
      <c r="A239" s="1">
        <f>HYPERLINK("http://www.twitter.com/NathanBLawrence/status/997617897114669056", "997617897114669056")</f>
        <v/>
      </c>
      <c r="B239" s="2" t="n">
        <v>43238.9724074074</v>
      </c>
      <c r="C239" t="n">
        <v>0</v>
      </c>
      <c r="D239" t="n">
        <v>1</v>
      </c>
      <c r="E239" t="s">
        <v>246</v>
      </c>
      <c r="F239" t="s"/>
      <c r="G239" t="s"/>
      <c r="H239" t="s"/>
      <c r="I239" t="s"/>
      <c r="J239" t="n">
        <v>0.0516</v>
      </c>
      <c r="K239" t="n">
        <v>0.108</v>
      </c>
      <c r="L239" t="n">
        <v>0.776</v>
      </c>
      <c r="M239" t="n">
        <v>0.116</v>
      </c>
    </row>
    <row r="240" spans="1:13">
      <c r="A240" s="1">
        <f>HYPERLINK("http://www.twitter.com/NathanBLawrence/status/997617347946078209", "997617347946078209")</f>
        <v/>
      </c>
      <c r="B240" s="2" t="n">
        <v>43238.9708912037</v>
      </c>
      <c r="C240" t="n">
        <v>0</v>
      </c>
      <c r="D240" t="n">
        <v>2</v>
      </c>
      <c r="E240" t="s">
        <v>247</v>
      </c>
      <c r="F240" t="s"/>
      <c r="G240" t="s"/>
      <c r="H240" t="s"/>
      <c r="I240" t="s"/>
      <c r="J240" t="n">
        <v>0.4019</v>
      </c>
      <c r="K240" t="n">
        <v>0</v>
      </c>
      <c r="L240" t="n">
        <v>0.6899999999999999</v>
      </c>
      <c r="M240" t="n">
        <v>0.31</v>
      </c>
    </row>
    <row r="241" spans="1:13">
      <c r="A241" s="1">
        <f>HYPERLINK("http://www.twitter.com/NathanBLawrence/status/997617327037468672", "997617327037468672")</f>
        <v/>
      </c>
      <c r="B241" s="2" t="n">
        <v>43238.97083333333</v>
      </c>
      <c r="C241" t="n">
        <v>3</v>
      </c>
      <c r="D241" t="n">
        <v>2</v>
      </c>
      <c r="E241" t="s">
        <v>248</v>
      </c>
      <c r="F241" t="s"/>
      <c r="G241" t="s"/>
      <c r="H241" t="s"/>
      <c r="I241" t="s"/>
      <c r="J241" t="n">
        <v>0.4019</v>
      </c>
      <c r="K241" t="n">
        <v>0</v>
      </c>
      <c r="L241" t="n">
        <v>0.597</v>
      </c>
      <c r="M241" t="n">
        <v>0.403</v>
      </c>
    </row>
    <row r="242" spans="1:13">
      <c r="A242" s="1">
        <f>HYPERLINK("http://www.twitter.com/NathanBLawrence/status/997617005325963265", "997617005325963265")</f>
        <v/>
      </c>
      <c r="B242" s="2" t="n">
        <v>43238.96994212963</v>
      </c>
      <c r="C242" t="n">
        <v>1</v>
      </c>
      <c r="D242" t="n">
        <v>1</v>
      </c>
      <c r="E242" t="s">
        <v>249</v>
      </c>
      <c r="F242" t="s"/>
      <c r="G242" t="s"/>
      <c r="H242" t="s"/>
      <c r="I242" t="s"/>
      <c r="J242" t="n">
        <v>0.0516</v>
      </c>
      <c r="K242" t="n">
        <v>0.118</v>
      </c>
      <c r="L242" t="n">
        <v>0.755</v>
      </c>
      <c r="M242" t="n">
        <v>0.127</v>
      </c>
    </row>
    <row r="243" spans="1:13">
      <c r="A243" s="1">
        <f>HYPERLINK("http://www.twitter.com/NathanBLawrence/status/997616500197519360", "997616500197519360")</f>
        <v/>
      </c>
      <c r="B243" s="2" t="n">
        <v>43238.96855324074</v>
      </c>
      <c r="C243" t="n">
        <v>0</v>
      </c>
      <c r="D243" t="n">
        <v>4</v>
      </c>
      <c r="E243" t="s">
        <v>250</v>
      </c>
      <c r="F243" t="s"/>
      <c r="G243" t="s"/>
      <c r="H243" t="s"/>
      <c r="I243" t="s"/>
      <c r="J243" t="n">
        <v>0</v>
      </c>
      <c r="K243" t="n">
        <v>0</v>
      </c>
      <c r="L243" t="n">
        <v>1</v>
      </c>
      <c r="M243" t="n">
        <v>0</v>
      </c>
    </row>
    <row r="244" spans="1:13">
      <c r="A244" s="1">
        <f>HYPERLINK("http://www.twitter.com/NathanBLawrence/status/997612820626903042", "997612820626903042")</f>
        <v/>
      </c>
      <c r="B244" s="2" t="n">
        <v>43238.95839120371</v>
      </c>
      <c r="C244" t="n">
        <v>0</v>
      </c>
      <c r="D244" t="n">
        <v>1</v>
      </c>
      <c r="E244" t="s">
        <v>251</v>
      </c>
      <c r="F244" t="s"/>
      <c r="G244" t="s"/>
      <c r="H244" t="s"/>
      <c r="I244" t="s"/>
      <c r="J244" t="n">
        <v>-0.1406</v>
      </c>
      <c r="K244" t="n">
        <v>0.066</v>
      </c>
      <c r="L244" t="n">
        <v>0.9340000000000001</v>
      </c>
      <c r="M244" t="n">
        <v>0</v>
      </c>
    </row>
    <row r="245" spans="1:13">
      <c r="A245" s="1">
        <f>HYPERLINK("http://www.twitter.com/NathanBLawrence/status/997612607275261952", "997612607275261952")</f>
        <v/>
      </c>
      <c r="B245" s="2" t="n">
        <v>43238.95780092593</v>
      </c>
      <c r="C245" t="n">
        <v>1</v>
      </c>
      <c r="D245" t="n">
        <v>1</v>
      </c>
      <c r="E245" t="s">
        <v>252</v>
      </c>
      <c r="F245" t="s"/>
      <c r="G245" t="s"/>
      <c r="H245" t="s"/>
      <c r="I245" t="s"/>
      <c r="J245" t="n">
        <v>-0.1406</v>
      </c>
      <c r="K245" t="n">
        <v>0.07199999999999999</v>
      </c>
      <c r="L245" t="n">
        <v>0.928</v>
      </c>
      <c r="M245" t="n">
        <v>0</v>
      </c>
    </row>
    <row r="246" spans="1:13">
      <c r="A246" s="1">
        <f>HYPERLINK("http://www.twitter.com/NathanBLawrence/status/997612366249562112", "997612366249562112")</f>
        <v/>
      </c>
      <c r="B246" s="2" t="n">
        <v>43238.9571412037</v>
      </c>
      <c r="C246" t="n">
        <v>0</v>
      </c>
      <c r="D246" t="n">
        <v>16</v>
      </c>
      <c r="E246" t="s">
        <v>253</v>
      </c>
      <c r="F246" t="s"/>
      <c r="G246" t="s"/>
      <c r="H246" t="s"/>
      <c r="I246" t="s"/>
      <c r="J246" t="n">
        <v>0</v>
      </c>
      <c r="K246" t="n">
        <v>0</v>
      </c>
      <c r="L246" t="n">
        <v>1</v>
      </c>
      <c r="M246" t="n">
        <v>0</v>
      </c>
    </row>
    <row r="247" spans="1:13">
      <c r="A247" s="1">
        <f>HYPERLINK("http://www.twitter.com/NathanBLawrence/status/997612310163263494", "997612310163263494")</f>
        <v/>
      </c>
      <c r="B247" s="2" t="n">
        <v>43238.95699074074</v>
      </c>
      <c r="C247" t="n">
        <v>0</v>
      </c>
      <c r="D247" t="n">
        <v>9</v>
      </c>
      <c r="E247" t="s">
        <v>254</v>
      </c>
      <c r="F247">
        <f>HYPERLINK("http://pbs.twimg.com/media/Ddgm5WTVwAEaySx.jpg", "http://pbs.twimg.com/media/Ddgm5WTVwAEaySx.jpg")</f>
        <v/>
      </c>
      <c r="G247" t="s"/>
      <c r="H247" t="s"/>
      <c r="I247" t="s"/>
      <c r="J247" t="n">
        <v>0.6249</v>
      </c>
      <c r="K247" t="n">
        <v>0</v>
      </c>
      <c r="L247" t="n">
        <v>0.8139999999999999</v>
      </c>
      <c r="M247" t="n">
        <v>0.186</v>
      </c>
    </row>
    <row r="248" spans="1:13">
      <c r="A248" s="1">
        <f>HYPERLINK("http://www.twitter.com/NathanBLawrence/status/997611957632077825", "997611957632077825")</f>
        <v/>
      </c>
      <c r="B248" s="2" t="n">
        <v>43238.95601851852</v>
      </c>
      <c r="C248" t="n">
        <v>0</v>
      </c>
      <c r="D248" t="n">
        <v>2</v>
      </c>
      <c r="E248" t="s">
        <v>255</v>
      </c>
      <c r="F248" t="s"/>
      <c r="G248" t="s"/>
      <c r="H248" t="s"/>
      <c r="I248" t="s"/>
      <c r="J248" t="n">
        <v>-0.34</v>
      </c>
      <c r="K248" t="n">
        <v>0.103</v>
      </c>
      <c r="L248" t="n">
        <v>0.897</v>
      </c>
      <c r="M248" t="n">
        <v>0</v>
      </c>
    </row>
    <row r="249" spans="1:13">
      <c r="A249" s="1">
        <f>HYPERLINK("http://www.twitter.com/NathanBLawrence/status/997611918322958336", "997611918322958336")</f>
        <v/>
      </c>
      <c r="B249" s="2" t="n">
        <v>43238.95590277778</v>
      </c>
      <c r="C249" t="n">
        <v>4</v>
      </c>
      <c r="D249" t="n">
        <v>2</v>
      </c>
      <c r="E249" t="s">
        <v>256</v>
      </c>
      <c r="F249" t="s"/>
      <c r="G249" t="s"/>
      <c r="H249" t="s"/>
      <c r="I249" t="s"/>
      <c r="J249" t="n">
        <v>-0.5719</v>
      </c>
      <c r="K249" t="n">
        <v>0.183</v>
      </c>
      <c r="L249" t="n">
        <v>0.8169999999999999</v>
      </c>
      <c r="M249" t="n">
        <v>0</v>
      </c>
    </row>
    <row r="250" spans="1:13">
      <c r="A250" s="1">
        <f>HYPERLINK("http://www.twitter.com/NathanBLawrence/status/997611588147449861", "997611588147449861")</f>
        <v/>
      </c>
      <c r="B250" s="2" t="n">
        <v>43238.95498842592</v>
      </c>
      <c r="C250" t="n">
        <v>0</v>
      </c>
      <c r="D250" t="n">
        <v>2</v>
      </c>
      <c r="E250" t="s">
        <v>257</v>
      </c>
      <c r="F250" t="s"/>
      <c r="G250" t="s"/>
      <c r="H250" t="s"/>
      <c r="I250" t="s"/>
      <c r="J250" t="n">
        <v>-0.2247</v>
      </c>
      <c r="K250" t="n">
        <v>0.1</v>
      </c>
      <c r="L250" t="n">
        <v>0.9</v>
      </c>
      <c r="M250" t="n">
        <v>0</v>
      </c>
    </row>
    <row r="251" spans="1:13">
      <c r="A251" s="1">
        <f>HYPERLINK("http://www.twitter.com/NathanBLawrence/status/997611284375003137", "997611284375003137")</f>
        <v/>
      </c>
      <c r="B251" s="2" t="n">
        <v>43238.95415509259</v>
      </c>
      <c r="C251" t="n">
        <v>3</v>
      </c>
      <c r="D251" t="n">
        <v>2</v>
      </c>
      <c r="E251" t="s">
        <v>258</v>
      </c>
      <c r="F251" t="s"/>
      <c r="G251" t="s"/>
      <c r="H251" t="s"/>
      <c r="I251" t="s"/>
      <c r="J251" t="n">
        <v>-0.4376</v>
      </c>
      <c r="K251" t="n">
        <v>0.173</v>
      </c>
      <c r="L251" t="n">
        <v>0.752</v>
      </c>
      <c r="M251" t="n">
        <v>0.075</v>
      </c>
    </row>
    <row r="252" spans="1:13">
      <c r="A252" s="1">
        <f>HYPERLINK("http://www.twitter.com/NathanBLawrence/status/997611003620790272", "997611003620790272")</f>
        <v/>
      </c>
      <c r="B252" s="2" t="n">
        <v>43238.95337962963</v>
      </c>
      <c r="C252" t="n">
        <v>0</v>
      </c>
      <c r="D252" t="n">
        <v>3</v>
      </c>
      <c r="E252" t="s">
        <v>259</v>
      </c>
      <c r="F252">
        <f>HYPERLINK("http://pbs.twimg.com/media/Ddg5UR4U0AA-Nq7.jpg", "http://pbs.twimg.com/media/Ddg5UR4U0AA-Nq7.jpg")</f>
        <v/>
      </c>
      <c r="G252" t="s"/>
      <c r="H252" t="s"/>
      <c r="I252" t="s"/>
      <c r="J252" t="n">
        <v>0</v>
      </c>
      <c r="K252" t="n">
        <v>0</v>
      </c>
      <c r="L252" t="n">
        <v>1</v>
      </c>
      <c r="M252" t="n">
        <v>0</v>
      </c>
    </row>
    <row r="253" spans="1:13">
      <c r="A253" s="1">
        <f>HYPERLINK("http://www.twitter.com/NathanBLawrence/status/997605124058034176", "997605124058034176")</f>
        <v/>
      </c>
      <c r="B253" s="2" t="n">
        <v>43238.93715277778</v>
      </c>
      <c r="C253" t="n">
        <v>0</v>
      </c>
      <c r="D253" t="n">
        <v>2</v>
      </c>
      <c r="E253" t="s">
        <v>260</v>
      </c>
      <c r="F253" t="s"/>
      <c r="G253" t="s"/>
      <c r="H253" t="s"/>
      <c r="I253" t="s"/>
      <c r="J253" t="n">
        <v>0.6124000000000001</v>
      </c>
      <c r="K253" t="n">
        <v>0</v>
      </c>
      <c r="L253" t="n">
        <v>0.783</v>
      </c>
      <c r="M253" t="n">
        <v>0.217</v>
      </c>
    </row>
    <row r="254" spans="1:13">
      <c r="A254" s="1">
        <f>HYPERLINK("http://www.twitter.com/NathanBLawrence/status/997605105137520640", "997605105137520640")</f>
        <v/>
      </c>
      <c r="B254" s="2" t="n">
        <v>43238.93710648148</v>
      </c>
      <c r="C254" t="n">
        <v>0</v>
      </c>
      <c r="D254" t="n">
        <v>3</v>
      </c>
      <c r="E254" t="s">
        <v>261</v>
      </c>
      <c r="F254" t="s"/>
      <c r="G254" t="s"/>
      <c r="H254" t="s"/>
      <c r="I254" t="s"/>
      <c r="J254" t="n">
        <v>-0.4588</v>
      </c>
      <c r="K254" t="n">
        <v>0.154</v>
      </c>
      <c r="L254" t="n">
        <v>0.846</v>
      </c>
      <c r="M254" t="n">
        <v>0</v>
      </c>
    </row>
    <row r="255" spans="1:13">
      <c r="A255" s="1">
        <f>HYPERLINK("http://www.twitter.com/NathanBLawrence/status/997604634846953472", "997604634846953472")</f>
        <v/>
      </c>
      <c r="B255" s="2" t="n">
        <v>43238.93581018518</v>
      </c>
      <c r="C255" t="n">
        <v>1</v>
      </c>
      <c r="D255" t="n">
        <v>0</v>
      </c>
      <c r="E255" t="s">
        <v>262</v>
      </c>
      <c r="F255" t="s"/>
      <c r="G255" t="s"/>
      <c r="H255" t="s"/>
      <c r="I255" t="s"/>
      <c r="J255" t="n">
        <v>0</v>
      </c>
      <c r="K255" t="n">
        <v>0</v>
      </c>
      <c r="L255" t="n">
        <v>1</v>
      </c>
      <c r="M255" t="n">
        <v>0</v>
      </c>
    </row>
    <row r="256" spans="1:13">
      <c r="A256" s="1">
        <f>HYPERLINK("http://www.twitter.com/NathanBLawrence/status/997603209999978496", "997603209999978496")</f>
        <v/>
      </c>
      <c r="B256" s="2" t="n">
        <v>43238.931875</v>
      </c>
      <c r="C256" t="n">
        <v>0</v>
      </c>
      <c r="D256" t="n">
        <v>2</v>
      </c>
      <c r="E256" t="s">
        <v>263</v>
      </c>
      <c r="F256" t="s"/>
      <c r="G256" t="s"/>
      <c r="H256" t="s"/>
      <c r="I256" t="s"/>
      <c r="J256" t="n">
        <v>0.891</v>
      </c>
      <c r="K256" t="n">
        <v>0</v>
      </c>
      <c r="L256" t="n">
        <v>0.594</v>
      </c>
      <c r="M256" t="n">
        <v>0.406</v>
      </c>
    </row>
    <row r="257" spans="1:13">
      <c r="A257" s="1">
        <f>HYPERLINK("http://www.twitter.com/NathanBLawrence/status/997603136905863168", "997603136905863168")</f>
        <v/>
      </c>
      <c r="B257" s="2" t="n">
        <v>43238.93167824074</v>
      </c>
      <c r="C257" t="n">
        <v>3</v>
      </c>
      <c r="D257" t="n">
        <v>1</v>
      </c>
      <c r="E257" t="s">
        <v>264</v>
      </c>
      <c r="F257" t="s"/>
      <c r="G257" t="s"/>
      <c r="H257" t="s"/>
      <c r="I257" t="s"/>
      <c r="J257" t="n">
        <v>0</v>
      </c>
      <c r="K257" t="n">
        <v>0</v>
      </c>
      <c r="L257" t="n">
        <v>1</v>
      </c>
      <c r="M257" t="n">
        <v>0</v>
      </c>
    </row>
    <row r="258" spans="1:13">
      <c r="A258" s="1">
        <f>HYPERLINK("http://www.twitter.com/NathanBLawrence/status/997602895519502337", "997602895519502337")</f>
        <v/>
      </c>
      <c r="B258" s="2" t="n">
        <v>43238.93100694445</v>
      </c>
      <c r="C258" t="n">
        <v>0</v>
      </c>
      <c r="D258" t="n">
        <v>22</v>
      </c>
      <c r="E258" t="s">
        <v>265</v>
      </c>
      <c r="F258" t="s"/>
      <c r="G258" t="s"/>
      <c r="H258" t="s"/>
      <c r="I258" t="s"/>
      <c r="J258" t="n">
        <v>0.4926</v>
      </c>
      <c r="K258" t="n">
        <v>0.054</v>
      </c>
      <c r="L258" t="n">
        <v>0.8080000000000001</v>
      </c>
      <c r="M258" t="n">
        <v>0.138</v>
      </c>
    </row>
    <row r="259" spans="1:13">
      <c r="A259" s="1">
        <f>HYPERLINK("http://www.twitter.com/NathanBLawrence/status/997602058441297920", "997602058441297920")</f>
        <v/>
      </c>
      <c r="B259" s="2" t="n">
        <v>43238.92869212963</v>
      </c>
      <c r="C259" t="n">
        <v>0</v>
      </c>
      <c r="D259" t="n">
        <v>5</v>
      </c>
      <c r="E259" t="s">
        <v>266</v>
      </c>
      <c r="F259" t="s"/>
      <c r="G259" t="s"/>
      <c r="H259" t="s"/>
      <c r="I259" t="s"/>
      <c r="J259" t="n">
        <v>-0.0772</v>
      </c>
      <c r="K259" t="n">
        <v>0.111</v>
      </c>
      <c r="L259" t="n">
        <v>0.791</v>
      </c>
      <c r="M259" t="n">
        <v>0.099</v>
      </c>
    </row>
    <row r="260" spans="1:13">
      <c r="A260" s="1">
        <f>HYPERLINK("http://www.twitter.com/NathanBLawrence/status/997596373821394944", "997596373821394944")</f>
        <v/>
      </c>
      <c r="B260" s="2" t="n">
        <v>43238.91300925926</v>
      </c>
      <c r="C260" t="n">
        <v>0</v>
      </c>
      <c r="D260" t="n">
        <v>16</v>
      </c>
      <c r="E260" t="s">
        <v>267</v>
      </c>
      <c r="F260">
        <f>HYPERLINK("http://pbs.twimg.com/media/DdgZjAKWsAAtKh8.jpg", "http://pbs.twimg.com/media/DdgZjAKWsAAtKh8.jpg")</f>
        <v/>
      </c>
      <c r="G260" t="s"/>
      <c r="H260" t="s"/>
      <c r="I260" t="s"/>
      <c r="J260" t="n">
        <v>-0.2387</v>
      </c>
      <c r="K260" t="n">
        <v>0.176</v>
      </c>
      <c r="L260" t="n">
        <v>0.6889999999999999</v>
      </c>
      <c r="M260" t="n">
        <v>0.135</v>
      </c>
    </row>
    <row r="261" spans="1:13">
      <c r="A261" s="1">
        <f>HYPERLINK("http://www.twitter.com/NathanBLawrence/status/997578934735777795", "997578934735777795")</f>
        <v/>
      </c>
      <c r="B261" s="2" t="n">
        <v>43238.86488425926</v>
      </c>
      <c r="C261" t="n">
        <v>0</v>
      </c>
      <c r="D261" t="n">
        <v>5</v>
      </c>
      <c r="E261" t="s">
        <v>268</v>
      </c>
      <c r="F261" t="s"/>
      <c r="G261" t="s"/>
      <c r="H261" t="s"/>
      <c r="I261" t="s"/>
      <c r="J261" t="n">
        <v>-0.5093</v>
      </c>
      <c r="K261" t="n">
        <v>0.215</v>
      </c>
      <c r="L261" t="n">
        <v>0.785</v>
      </c>
      <c r="M261" t="n">
        <v>0</v>
      </c>
    </row>
    <row r="262" spans="1:13">
      <c r="A262" s="1">
        <f>HYPERLINK("http://www.twitter.com/NathanBLawrence/status/997578871292792833", "997578871292792833")</f>
        <v/>
      </c>
      <c r="B262" s="2" t="n">
        <v>43238.86471064815</v>
      </c>
      <c r="C262" t="n">
        <v>0</v>
      </c>
      <c r="D262" t="n">
        <v>8</v>
      </c>
      <c r="E262" t="s">
        <v>269</v>
      </c>
      <c r="F262" t="s"/>
      <c r="G262" t="s"/>
      <c r="H262" t="s"/>
      <c r="I262" t="s"/>
      <c r="J262" t="n">
        <v>0.0108</v>
      </c>
      <c r="K262" t="n">
        <v>0.08799999999999999</v>
      </c>
      <c r="L262" t="n">
        <v>0.822</v>
      </c>
      <c r="M262" t="n">
        <v>0.09</v>
      </c>
    </row>
    <row r="263" spans="1:13">
      <c r="A263" s="1">
        <f>HYPERLINK("http://www.twitter.com/NathanBLawrence/status/997574766683983872", "997574766683983872")</f>
        <v/>
      </c>
      <c r="B263" s="2" t="n">
        <v>43238.8533912037</v>
      </c>
      <c r="C263" t="n">
        <v>0</v>
      </c>
      <c r="D263" t="n">
        <v>2</v>
      </c>
      <c r="E263" t="s">
        <v>270</v>
      </c>
      <c r="F263" t="s"/>
      <c r="G263" t="s"/>
      <c r="H263" t="s"/>
      <c r="I263" t="s"/>
      <c r="J263" t="n">
        <v>0.1027</v>
      </c>
      <c r="K263" t="n">
        <v>0.18</v>
      </c>
      <c r="L263" t="n">
        <v>0.625</v>
      </c>
      <c r="M263" t="n">
        <v>0.195</v>
      </c>
    </row>
    <row r="264" spans="1:13">
      <c r="A264" s="1">
        <f>HYPERLINK("http://www.twitter.com/NathanBLawrence/status/997574741518102529", "997574741518102529")</f>
        <v/>
      </c>
      <c r="B264" s="2" t="n">
        <v>43238.85332175926</v>
      </c>
      <c r="C264" t="n">
        <v>0</v>
      </c>
      <c r="D264" t="n">
        <v>2</v>
      </c>
      <c r="E264" t="s">
        <v>271</v>
      </c>
      <c r="F264" t="s"/>
      <c r="G264" t="s"/>
      <c r="H264" t="s"/>
      <c r="I264" t="s"/>
      <c r="J264" t="n">
        <v>0.1759</v>
      </c>
      <c r="K264" t="n">
        <v>0.118</v>
      </c>
      <c r="L264" t="n">
        <v>0.746</v>
      </c>
      <c r="M264" t="n">
        <v>0.136</v>
      </c>
    </row>
    <row r="265" spans="1:13">
      <c r="A265" s="1">
        <f>HYPERLINK("http://www.twitter.com/NathanBLawrence/status/997560879284662273", "997560879284662273")</f>
        <v/>
      </c>
      <c r="B265" s="2" t="n">
        <v>43238.81506944444</v>
      </c>
      <c r="C265" t="n">
        <v>0</v>
      </c>
      <c r="D265" t="n">
        <v>1</v>
      </c>
      <c r="E265" t="s">
        <v>272</v>
      </c>
      <c r="F265" t="s"/>
      <c r="G265" t="s"/>
      <c r="H265" t="s"/>
      <c r="I265" t="s"/>
      <c r="J265" t="n">
        <v>-0.7096</v>
      </c>
      <c r="K265" t="n">
        <v>0.211</v>
      </c>
      <c r="L265" t="n">
        <v>0.789</v>
      </c>
      <c r="M265" t="n">
        <v>0</v>
      </c>
    </row>
    <row r="266" spans="1:13">
      <c r="A266" s="1">
        <f>HYPERLINK("http://www.twitter.com/NathanBLawrence/status/997550091480326144", "997550091480326144")</f>
        <v/>
      </c>
      <c r="B266" s="2" t="n">
        <v>43238.78530092593</v>
      </c>
      <c r="C266" t="n">
        <v>3</v>
      </c>
      <c r="D266" t="n">
        <v>0</v>
      </c>
      <c r="E266" t="s">
        <v>273</v>
      </c>
      <c r="F266" t="s"/>
      <c r="G266" t="s"/>
      <c r="H266" t="s"/>
      <c r="I266" t="s"/>
      <c r="J266" t="n">
        <v>0.2057</v>
      </c>
      <c r="K266" t="n">
        <v>0</v>
      </c>
      <c r="L266" t="n">
        <v>0.92</v>
      </c>
      <c r="M266" t="n">
        <v>0.08</v>
      </c>
    </row>
    <row r="267" spans="1:13">
      <c r="A267" s="1">
        <f>HYPERLINK("http://www.twitter.com/NathanBLawrence/status/997549849330569216", "997549849330569216")</f>
        <v/>
      </c>
      <c r="B267" s="2" t="n">
        <v>43238.78462962963</v>
      </c>
      <c r="C267" t="n">
        <v>0</v>
      </c>
      <c r="D267" t="n">
        <v>9</v>
      </c>
      <c r="E267" t="s">
        <v>274</v>
      </c>
      <c r="F267" t="s"/>
      <c r="G267" t="s"/>
      <c r="H267" t="s"/>
      <c r="I267" t="s"/>
      <c r="J267" t="n">
        <v>0.2023</v>
      </c>
      <c r="K267" t="n">
        <v>0</v>
      </c>
      <c r="L267" t="n">
        <v>0.878</v>
      </c>
      <c r="M267" t="n">
        <v>0.122</v>
      </c>
    </row>
    <row r="268" spans="1:13">
      <c r="A268" s="1">
        <f>HYPERLINK("http://www.twitter.com/NathanBLawrence/status/997542121967181824", "997542121967181824")</f>
        <v/>
      </c>
      <c r="B268" s="2" t="n">
        <v>43238.76329861111</v>
      </c>
      <c r="C268" t="n">
        <v>0</v>
      </c>
      <c r="D268" t="n">
        <v>6</v>
      </c>
      <c r="E268" t="s">
        <v>275</v>
      </c>
      <c r="F268" t="s"/>
      <c r="G268" t="s"/>
      <c r="H268" t="s"/>
      <c r="I268" t="s"/>
      <c r="J268" t="n">
        <v>0.6124000000000001</v>
      </c>
      <c r="K268" t="n">
        <v>0</v>
      </c>
      <c r="L268" t="n">
        <v>0.762</v>
      </c>
      <c r="M268" t="n">
        <v>0.238</v>
      </c>
    </row>
    <row r="269" spans="1:13">
      <c r="A269" s="1">
        <f>HYPERLINK("http://www.twitter.com/NathanBLawrence/status/997542028119601153", "997542028119601153")</f>
        <v/>
      </c>
      <c r="B269" s="2" t="n">
        <v>43238.76304398148</v>
      </c>
      <c r="C269" t="n">
        <v>0</v>
      </c>
      <c r="D269" t="n">
        <v>4</v>
      </c>
      <c r="E269" t="s">
        <v>276</v>
      </c>
      <c r="F269" t="s"/>
      <c r="G269" t="s"/>
      <c r="H269" t="s"/>
      <c r="I269" t="s"/>
      <c r="J269" t="n">
        <v>0.2732</v>
      </c>
      <c r="K269" t="n">
        <v>0</v>
      </c>
      <c r="L269" t="n">
        <v>0.896</v>
      </c>
      <c r="M269" t="n">
        <v>0.104</v>
      </c>
    </row>
    <row r="270" spans="1:13">
      <c r="A270" s="1">
        <f>HYPERLINK("http://www.twitter.com/NathanBLawrence/status/997542009786261506", "997542009786261506")</f>
        <v/>
      </c>
      <c r="B270" s="2" t="n">
        <v>43238.76299768518</v>
      </c>
      <c r="C270" t="n">
        <v>3</v>
      </c>
      <c r="D270" t="n">
        <v>4</v>
      </c>
      <c r="E270" t="s">
        <v>277</v>
      </c>
      <c r="F270" t="s"/>
      <c r="G270" t="s"/>
      <c r="H270" t="s"/>
      <c r="I270" t="s"/>
      <c r="J270" t="n">
        <v>-0.1007</v>
      </c>
      <c r="K270" t="n">
        <v>0.049</v>
      </c>
      <c r="L270" t="n">
        <v>0.909</v>
      </c>
      <c r="M270" t="n">
        <v>0.042</v>
      </c>
    </row>
    <row r="271" spans="1:13">
      <c r="A271" s="1">
        <f>HYPERLINK("http://www.twitter.com/NathanBLawrence/status/997541382175842305", "997541382175842305")</f>
        <v/>
      </c>
      <c r="B271" s="2" t="n">
        <v>43238.76126157407</v>
      </c>
      <c r="C271" t="n">
        <v>9</v>
      </c>
      <c r="D271" t="n">
        <v>6</v>
      </c>
      <c r="E271" t="s">
        <v>278</v>
      </c>
      <c r="F271" t="s"/>
      <c r="G271" t="s"/>
      <c r="H271" t="s"/>
      <c r="I271" t="s"/>
      <c r="J271" t="n">
        <v>0.6124000000000001</v>
      </c>
      <c r="K271" t="n">
        <v>0</v>
      </c>
      <c r="L271" t="n">
        <v>0.737</v>
      </c>
      <c r="M271" t="n">
        <v>0.263</v>
      </c>
    </row>
    <row r="272" spans="1:13">
      <c r="A272" s="1">
        <f>HYPERLINK("http://www.twitter.com/NathanBLawrence/status/997540820277518337", "997540820277518337")</f>
        <v/>
      </c>
      <c r="B272" s="2" t="n">
        <v>43238.75971064815</v>
      </c>
      <c r="C272" t="n">
        <v>0</v>
      </c>
      <c r="D272" t="n">
        <v>0</v>
      </c>
      <c r="E272" t="s">
        <v>279</v>
      </c>
      <c r="F272" t="s"/>
      <c r="G272" t="s"/>
      <c r="H272" t="s"/>
      <c r="I272" t="s"/>
      <c r="J272" t="n">
        <v>-0.0516</v>
      </c>
      <c r="K272" t="n">
        <v>0.152</v>
      </c>
      <c r="L272" t="n">
        <v>0.702</v>
      </c>
      <c r="M272" t="n">
        <v>0.146</v>
      </c>
    </row>
    <row r="273" spans="1:13">
      <c r="A273" s="1">
        <f>HYPERLINK("http://www.twitter.com/NathanBLawrence/status/997540084336529410", "997540084336529410")</f>
        <v/>
      </c>
      <c r="B273" s="2" t="n">
        <v>43238.75768518518</v>
      </c>
      <c r="C273" t="n">
        <v>0</v>
      </c>
      <c r="D273" t="n">
        <v>4</v>
      </c>
      <c r="E273" t="s">
        <v>280</v>
      </c>
      <c r="F273" t="s"/>
      <c r="G273" t="s"/>
      <c r="H273" t="s"/>
      <c r="I273" t="s"/>
      <c r="J273" t="n">
        <v>0.2057</v>
      </c>
      <c r="K273" t="n">
        <v>0</v>
      </c>
      <c r="L273" t="n">
        <v>0.904</v>
      </c>
      <c r="M273" t="n">
        <v>0.096</v>
      </c>
    </row>
    <row r="274" spans="1:13">
      <c r="A274" s="1">
        <f>HYPERLINK("http://www.twitter.com/NathanBLawrence/status/997540037926539265", "997540037926539265")</f>
        <v/>
      </c>
      <c r="B274" s="2" t="n">
        <v>43238.75755787037</v>
      </c>
      <c r="C274" t="n">
        <v>0</v>
      </c>
      <c r="D274" t="n">
        <v>11</v>
      </c>
      <c r="E274" t="s">
        <v>281</v>
      </c>
      <c r="F274" t="s"/>
      <c r="G274" t="s"/>
      <c r="H274" t="s"/>
      <c r="I274" t="s"/>
      <c r="J274" t="n">
        <v>-0.3182</v>
      </c>
      <c r="K274" t="n">
        <v>0.095</v>
      </c>
      <c r="L274" t="n">
        <v>0.905</v>
      </c>
      <c r="M274" t="n">
        <v>0</v>
      </c>
    </row>
    <row r="275" spans="1:13">
      <c r="A275" s="1">
        <f>HYPERLINK("http://www.twitter.com/NathanBLawrence/status/997539626989604864", "997539626989604864")</f>
        <v/>
      </c>
      <c r="B275" s="2" t="n">
        <v>43238.75642361111</v>
      </c>
      <c r="C275" t="n">
        <v>0</v>
      </c>
      <c r="D275" t="n">
        <v>1</v>
      </c>
      <c r="E275" t="s">
        <v>282</v>
      </c>
      <c r="F275" t="s"/>
      <c r="G275" t="s"/>
      <c r="H275" t="s"/>
      <c r="I275" t="s"/>
      <c r="J275" t="n">
        <v>0.6124000000000001</v>
      </c>
      <c r="K275" t="n">
        <v>0</v>
      </c>
      <c r="L275" t="n">
        <v>0.722</v>
      </c>
      <c r="M275" t="n">
        <v>0.278</v>
      </c>
    </row>
    <row r="276" spans="1:13">
      <c r="A276" s="1">
        <f>HYPERLINK("http://www.twitter.com/NathanBLawrence/status/997539573373849601", "997539573373849601")</f>
        <v/>
      </c>
      <c r="B276" s="2" t="n">
        <v>43238.75627314814</v>
      </c>
      <c r="C276" t="n">
        <v>1</v>
      </c>
      <c r="D276" t="n">
        <v>1</v>
      </c>
      <c r="E276" t="s">
        <v>283</v>
      </c>
      <c r="F276" t="s"/>
      <c r="G276" t="s"/>
      <c r="H276" t="s"/>
      <c r="I276" t="s"/>
      <c r="J276" t="n">
        <v>0.6124000000000001</v>
      </c>
      <c r="K276" t="n">
        <v>0</v>
      </c>
      <c r="L276" t="n">
        <v>0.783</v>
      </c>
      <c r="M276" t="n">
        <v>0.217</v>
      </c>
    </row>
    <row r="277" spans="1:13">
      <c r="A277" s="1">
        <f>HYPERLINK("http://www.twitter.com/NathanBLawrence/status/997534440053190656", "997534440053190656")</f>
        <v/>
      </c>
      <c r="B277" s="2" t="n">
        <v>43238.74210648148</v>
      </c>
      <c r="C277" t="n">
        <v>0</v>
      </c>
      <c r="D277" t="n">
        <v>5</v>
      </c>
      <c r="E277" t="s">
        <v>284</v>
      </c>
      <c r="F277" t="s"/>
      <c r="G277" t="s"/>
      <c r="H277" t="s"/>
      <c r="I277" t="s"/>
      <c r="J277" t="n">
        <v>0.4019</v>
      </c>
      <c r="K277" t="n">
        <v>0</v>
      </c>
      <c r="L277" t="n">
        <v>0.748</v>
      </c>
      <c r="M277" t="n">
        <v>0.252</v>
      </c>
    </row>
    <row r="278" spans="1:13">
      <c r="A278" s="1">
        <f>HYPERLINK("http://www.twitter.com/NathanBLawrence/status/997534385107800064", "997534385107800064")</f>
        <v/>
      </c>
      <c r="B278" s="2" t="n">
        <v>43238.74195601852</v>
      </c>
      <c r="C278" t="n">
        <v>6</v>
      </c>
      <c r="D278" t="n">
        <v>5</v>
      </c>
      <c r="E278" t="s">
        <v>285</v>
      </c>
      <c r="F278" t="s"/>
      <c r="G278" t="s"/>
      <c r="H278" t="s"/>
      <c r="I278" t="s"/>
      <c r="J278" t="n">
        <v>0.4019</v>
      </c>
      <c r="K278" t="n">
        <v>0</v>
      </c>
      <c r="L278" t="n">
        <v>0.6899999999999999</v>
      </c>
      <c r="M278" t="n">
        <v>0.31</v>
      </c>
    </row>
    <row r="279" spans="1:13">
      <c r="A279" s="1">
        <f>HYPERLINK("http://www.twitter.com/NathanBLawrence/status/997533767580422144", "997533767580422144")</f>
        <v/>
      </c>
      <c r="B279" s="2" t="n">
        <v>43238.74025462963</v>
      </c>
      <c r="C279" t="n">
        <v>0</v>
      </c>
      <c r="D279" t="n">
        <v>21</v>
      </c>
      <c r="E279" t="s">
        <v>286</v>
      </c>
      <c r="F279" t="s"/>
      <c r="G279" t="s"/>
      <c r="H279" t="s"/>
      <c r="I279" t="s"/>
      <c r="J279" t="n">
        <v>0.1531</v>
      </c>
      <c r="K279" t="n">
        <v>0</v>
      </c>
      <c r="L279" t="n">
        <v>0.9379999999999999</v>
      </c>
      <c r="M279" t="n">
        <v>0.062</v>
      </c>
    </row>
    <row r="280" spans="1:13">
      <c r="A280" s="1">
        <f>HYPERLINK("http://www.twitter.com/NathanBLawrence/status/997533303279415296", "997533303279415296")</f>
        <v/>
      </c>
      <c r="B280" s="2" t="n">
        <v>43238.7389699074</v>
      </c>
      <c r="C280" t="n">
        <v>0</v>
      </c>
      <c r="D280" t="n">
        <v>5</v>
      </c>
      <c r="E280" t="s">
        <v>287</v>
      </c>
      <c r="F280" t="s"/>
      <c r="G280" t="s"/>
      <c r="H280" t="s"/>
      <c r="I280" t="s"/>
      <c r="J280" t="n">
        <v>-0.296</v>
      </c>
      <c r="K280" t="n">
        <v>0.128</v>
      </c>
      <c r="L280" t="n">
        <v>0.872</v>
      </c>
      <c r="M280" t="n">
        <v>0</v>
      </c>
    </row>
    <row r="281" spans="1:13">
      <c r="A281" s="1">
        <f>HYPERLINK("http://www.twitter.com/NathanBLawrence/status/997533265224458240", "997533265224458240")</f>
        <v/>
      </c>
      <c r="B281" s="2" t="n">
        <v>43238.73886574074</v>
      </c>
      <c r="C281" t="n">
        <v>0</v>
      </c>
      <c r="D281" t="n">
        <v>6</v>
      </c>
      <c r="E281" t="s">
        <v>288</v>
      </c>
      <c r="F281" t="s"/>
      <c r="G281" t="s"/>
      <c r="H281" t="s"/>
      <c r="I281" t="s"/>
      <c r="J281" t="n">
        <v>-0.3566</v>
      </c>
      <c r="K281" t="n">
        <v>0.133</v>
      </c>
      <c r="L281" t="n">
        <v>0.799</v>
      </c>
      <c r="M281" t="n">
        <v>0.068</v>
      </c>
    </row>
    <row r="282" spans="1:13">
      <c r="A282" s="1">
        <f>HYPERLINK("http://www.twitter.com/NathanBLawrence/status/997530658741383169", "997530658741383169")</f>
        <v/>
      </c>
      <c r="B282" s="2" t="n">
        <v>43238.73166666667</v>
      </c>
      <c r="C282" t="n">
        <v>0</v>
      </c>
      <c r="D282" t="n">
        <v>5</v>
      </c>
      <c r="E282" t="s">
        <v>289</v>
      </c>
      <c r="F282" t="s"/>
      <c r="G282" t="s"/>
      <c r="H282" t="s"/>
      <c r="I282" t="s"/>
      <c r="J282" t="n">
        <v>0.4939</v>
      </c>
      <c r="K282" t="n">
        <v>0.089</v>
      </c>
      <c r="L282" t="n">
        <v>0.6909999999999999</v>
      </c>
      <c r="M282" t="n">
        <v>0.22</v>
      </c>
    </row>
    <row r="283" spans="1:13">
      <c r="A283" s="1">
        <f>HYPERLINK("http://www.twitter.com/NathanBLawrence/status/997530618308255746", "997530618308255746")</f>
        <v/>
      </c>
      <c r="B283" s="2" t="n">
        <v>43238.7315625</v>
      </c>
      <c r="C283" t="n">
        <v>0</v>
      </c>
      <c r="D283" t="n">
        <v>1</v>
      </c>
      <c r="E283" t="s">
        <v>290</v>
      </c>
      <c r="F283" t="s"/>
      <c r="G283" t="s"/>
      <c r="H283" t="s"/>
      <c r="I283" t="s"/>
      <c r="J283" t="n">
        <v>0.4939</v>
      </c>
      <c r="K283" t="n">
        <v>0.093</v>
      </c>
      <c r="L283" t="n">
        <v>0.678</v>
      </c>
      <c r="M283" t="n">
        <v>0.229</v>
      </c>
    </row>
    <row r="284" spans="1:13">
      <c r="A284" s="1">
        <f>HYPERLINK("http://www.twitter.com/NathanBLawrence/status/997530541607018503", "997530541607018503")</f>
        <v/>
      </c>
      <c r="B284" s="2" t="n">
        <v>43238.73134259259</v>
      </c>
      <c r="C284" t="n">
        <v>1</v>
      </c>
      <c r="D284" t="n">
        <v>1</v>
      </c>
      <c r="E284" t="s">
        <v>291</v>
      </c>
      <c r="F284" t="s"/>
      <c r="G284" t="s"/>
      <c r="H284" t="s"/>
      <c r="I284" t="s"/>
      <c r="J284" t="n">
        <v>0.4939</v>
      </c>
      <c r="K284" t="n">
        <v>0.056</v>
      </c>
      <c r="L284" t="n">
        <v>0.8080000000000001</v>
      </c>
      <c r="M284" t="n">
        <v>0.136</v>
      </c>
    </row>
    <row r="285" spans="1:13">
      <c r="A285" s="1">
        <f>HYPERLINK("http://www.twitter.com/NathanBLawrence/status/997530466000539648", "997530466000539648")</f>
        <v/>
      </c>
      <c r="B285" s="2" t="n">
        <v>43238.73113425926</v>
      </c>
      <c r="C285" t="n">
        <v>6</v>
      </c>
      <c r="D285" t="n">
        <v>5</v>
      </c>
      <c r="E285" t="s">
        <v>292</v>
      </c>
      <c r="F285" t="s"/>
      <c r="G285" t="s"/>
      <c r="H285" t="s"/>
      <c r="I285" t="s"/>
      <c r="J285" t="n">
        <v>0.4939</v>
      </c>
      <c r="K285" t="n">
        <v>0.057</v>
      </c>
      <c r="L285" t="n">
        <v>0.803</v>
      </c>
      <c r="M285" t="n">
        <v>0.14</v>
      </c>
    </row>
    <row r="286" spans="1:13">
      <c r="A286" s="1">
        <f>HYPERLINK("http://www.twitter.com/NathanBLawrence/status/997527215758893056", "997527215758893056")</f>
        <v/>
      </c>
      <c r="B286" s="2" t="n">
        <v>43238.72217592593</v>
      </c>
      <c r="C286" t="n">
        <v>0</v>
      </c>
      <c r="D286" t="n">
        <v>1</v>
      </c>
      <c r="E286" t="s">
        <v>293</v>
      </c>
      <c r="F286" t="s"/>
      <c r="G286" t="s"/>
      <c r="H286" t="s"/>
      <c r="I286" t="s"/>
      <c r="J286" t="n">
        <v>0.7579</v>
      </c>
      <c r="K286" t="n">
        <v>0</v>
      </c>
      <c r="L286" t="n">
        <v>0.694</v>
      </c>
      <c r="M286" t="n">
        <v>0.306</v>
      </c>
    </row>
    <row r="287" spans="1:13">
      <c r="A287" s="1">
        <f>HYPERLINK("http://www.twitter.com/NathanBLawrence/status/997527143302287361", "997527143302287361")</f>
        <v/>
      </c>
      <c r="B287" s="2" t="n">
        <v>43238.7219675926</v>
      </c>
      <c r="C287" t="n">
        <v>0</v>
      </c>
      <c r="D287" t="n">
        <v>1</v>
      </c>
      <c r="E287" t="s">
        <v>294</v>
      </c>
      <c r="F287" t="s"/>
      <c r="G287" t="s"/>
      <c r="H287" t="s"/>
      <c r="I287" t="s"/>
      <c r="J287" t="n">
        <v>0.7579</v>
      </c>
      <c r="K287" t="n">
        <v>0</v>
      </c>
      <c r="L287" t="n">
        <v>0.667</v>
      </c>
      <c r="M287" t="n">
        <v>0.333</v>
      </c>
    </row>
    <row r="288" spans="1:13">
      <c r="A288" s="1">
        <f>HYPERLINK("http://www.twitter.com/NathanBLawrence/status/997521208395620352", "997521208395620352")</f>
        <v/>
      </c>
      <c r="B288" s="2" t="n">
        <v>43238.70559027778</v>
      </c>
      <c r="C288" t="n">
        <v>0</v>
      </c>
      <c r="D288" t="n">
        <v>1</v>
      </c>
      <c r="E288" t="s">
        <v>295</v>
      </c>
      <c r="F288" t="s"/>
      <c r="G288" t="s"/>
      <c r="H288" t="s"/>
      <c r="I288" t="s"/>
      <c r="J288" t="n">
        <v>0.6124000000000001</v>
      </c>
      <c r="K288" t="n">
        <v>0</v>
      </c>
      <c r="L288" t="n">
        <v>0.773</v>
      </c>
      <c r="M288" t="n">
        <v>0.227</v>
      </c>
    </row>
    <row r="289" spans="1:13">
      <c r="A289" s="1">
        <f>HYPERLINK("http://www.twitter.com/NathanBLawrence/status/997521136039677953", "997521136039677953")</f>
        <v/>
      </c>
      <c r="B289" s="2" t="n">
        <v>43238.70539351852</v>
      </c>
      <c r="C289" t="n">
        <v>0</v>
      </c>
      <c r="D289" t="n">
        <v>1</v>
      </c>
      <c r="E289" t="s">
        <v>296</v>
      </c>
      <c r="F289" t="s"/>
      <c r="G289" t="s"/>
      <c r="H289" t="s"/>
      <c r="I289" t="s"/>
      <c r="J289" t="n">
        <v>0.6124000000000001</v>
      </c>
      <c r="K289" t="n">
        <v>0</v>
      </c>
      <c r="L289" t="n">
        <v>0.75</v>
      </c>
      <c r="M289" t="n">
        <v>0.25</v>
      </c>
    </row>
    <row r="290" spans="1:13">
      <c r="A290" s="1">
        <f>HYPERLINK("http://www.twitter.com/NathanBLawrence/status/997520897119522816", "997520897119522816")</f>
        <v/>
      </c>
      <c r="B290" s="2" t="n">
        <v>43238.70473379629</v>
      </c>
      <c r="C290" t="n">
        <v>0</v>
      </c>
      <c r="D290" t="n">
        <v>36</v>
      </c>
      <c r="E290" t="s">
        <v>297</v>
      </c>
      <c r="F290" t="s"/>
      <c r="G290" t="s"/>
      <c r="H290" t="s"/>
      <c r="I290" t="s"/>
      <c r="J290" t="n">
        <v>0.2732</v>
      </c>
      <c r="K290" t="n">
        <v>0</v>
      </c>
      <c r="L290" t="n">
        <v>0.877</v>
      </c>
      <c r="M290" t="n">
        <v>0.123</v>
      </c>
    </row>
    <row r="291" spans="1:13">
      <c r="A291" s="1">
        <f>HYPERLINK("http://www.twitter.com/NathanBLawrence/status/997516528508702721", "997516528508702721")</f>
        <v/>
      </c>
      <c r="B291" s="2" t="n">
        <v>43238.69268518518</v>
      </c>
      <c r="C291" t="n">
        <v>0</v>
      </c>
      <c r="D291" t="n">
        <v>1</v>
      </c>
      <c r="E291" t="s">
        <v>298</v>
      </c>
      <c r="F291" t="s"/>
      <c r="G291" t="s"/>
      <c r="H291" t="s"/>
      <c r="I291" t="s"/>
      <c r="J291" t="n">
        <v>0</v>
      </c>
      <c r="K291" t="n">
        <v>0</v>
      </c>
      <c r="L291" t="n">
        <v>1</v>
      </c>
      <c r="M291" t="n">
        <v>0</v>
      </c>
    </row>
    <row r="292" spans="1:13">
      <c r="A292" s="1">
        <f>HYPERLINK("http://www.twitter.com/NathanBLawrence/status/997516465870966784", "997516465870966784")</f>
        <v/>
      </c>
      <c r="B292" s="2" t="n">
        <v>43238.69251157407</v>
      </c>
      <c r="C292" t="n">
        <v>0</v>
      </c>
      <c r="D292" t="n">
        <v>25</v>
      </c>
      <c r="E292" t="s">
        <v>299</v>
      </c>
      <c r="F292">
        <f>HYPERLINK("http://pbs.twimg.com/media/DdfjhYKVQAA0ifT.jpg", "http://pbs.twimg.com/media/DdfjhYKVQAA0ifT.jpg")</f>
        <v/>
      </c>
      <c r="G292" t="s"/>
      <c r="H292" t="s"/>
      <c r="I292" t="s"/>
      <c r="J292" t="n">
        <v>0</v>
      </c>
      <c r="K292" t="n">
        <v>0</v>
      </c>
      <c r="L292" t="n">
        <v>1</v>
      </c>
      <c r="M292" t="n">
        <v>0</v>
      </c>
    </row>
    <row r="293" spans="1:13">
      <c r="A293" s="1">
        <f>HYPERLINK("http://www.twitter.com/NathanBLawrence/status/997515281198182400", "997515281198182400")</f>
        <v/>
      </c>
      <c r="B293" s="2" t="n">
        <v>43238.68923611111</v>
      </c>
      <c r="C293" t="n">
        <v>0</v>
      </c>
      <c r="D293" t="n">
        <v>2</v>
      </c>
      <c r="E293" t="s">
        <v>300</v>
      </c>
      <c r="F293" t="s"/>
      <c r="G293" t="s"/>
      <c r="H293" t="s"/>
      <c r="I293" t="s"/>
      <c r="J293" t="n">
        <v>0</v>
      </c>
      <c r="K293" t="n">
        <v>0</v>
      </c>
      <c r="L293" t="n">
        <v>1</v>
      </c>
      <c r="M293" t="n">
        <v>0</v>
      </c>
    </row>
    <row r="294" spans="1:13">
      <c r="A294" s="1">
        <f>HYPERLINK("http://www.twitter.com/NathanBLawrence/status/997515201036550144", "997515201036550144")</f>
        <v/>
      </c>
      <c r="B294" s="2" t="n">
        <v>43238.6890162037</v>
      </c>
      <c r="C294" t="n">
        <v>2</v>
      </c>
      <c r="D294" t="n">
        <v>2</v>
      </c>
      <c r="E294" t="s">
        <v>301</v>
      </c>
      <c r="F294" t="s"/>
      <c r="G294" t="s"/>
      <c r="H294" t="s"/>
      <c r="I294" t="s"/>
      <c r="J294" t="n">
        <v>0.25</v>
      </c>
      <c r="K294" t="n">
        <v>0.094</v>
      </c>
      <c r="L294" t="n">
        <v>0.769</v>
      </c>
      <c r="M294" t="n">
        <v>0.137</v>
      </c>
    </row>
    <row r="295" spans="1:13">
      <c r="A295" s="1">
        <f>HYPERLINK("http://www.twitter.com/NathanBLawrence/status/997514195125133312", "997514195125133312")</f>
        <v/>
      </c>
      <c r="B295" s="2" t="n">
        <v>43238.68623842593</v>
      </c>
      <c r="C295" t="n">
        <v>0</v>
      </c>
      <c r="D295" t="n">
        <v>2</v>
      </c>
      <c r="E295" t="s">
        <v>302</v>
      </c>
      <c r="F295">
        <f>HYPERLINK("http://pbs.twimg.com/media/Ddfhh1eUQAEbqNV.jpg", "http://pbs.twimg.com/media/Ddfhh1eUQAEbqNV.jpg")</f>
        <v/>
      </c>
      <c r="G295" t="s"/>
      <c r="H295" t="s"/>
      <c r="I295" t="s"/>
      <c r="J295" t="n">
        <v>-0.7507</v>
      </c>
      <c r="K295" t="n">
        <v>0.278</v>
      </c>
      <c r="L295" t="n">
        <v>0.722</v>
      </c>
      <c r="M295" t="n">
        <v>0</v>
      </c>
    </row>
    <row r="296" spans="1:13">
      <c r="A296" s="1">
        <f>HYPERLINK("http://www.twitter.com/NathanBLawrence/status/997495400226582531", "997495400226582531")</f>
        <v/>
      </c>
      <c r="B296" s="2" t="n">
        <v>43238.634375</v>
      </c>
      <c r="C296" t="n">
        <v>3</v>
      </c>
      <c r="D296" t="n">
        <v>0</v>
      </c>
      <c r="E296" t="s">
        <v>303</v>
      </c>
      <c r="F296" t="s"/>
      <c r="G296" t="s"/>
      <c r="H296" t="s"/>
      <c r="I296" t="s"/>
      <c r="J296" t="n">
        <v>0.3612</v>
      </c>
      <c r="K296" t="n">
        <v>0</v>
      </c>
      <c r="L296" t="n">
        <v>0.545</v>
      </c>
      <c r="M296" t="n">
        <v>0.455</v>
      </c>
    </row>
    <row r="297" spans="1:13">
      <c r="A297" s="1">
        <f>HYPERLINK("http://www.twitter.com/NathanBLawrence/status/997495374909722624", "997495374909722624")</f>
        <v/>
      </c>
      <c r="B297" s="2" t="n">
        <v>43238.63430555556</v>
      </c>
      <c r="C297" t="n">
        <v>0</v>
      </c>
      <c r="D297" t="n">
        <v>8</v>
      </c>
      <c r="E297" t="s">
        <v>304</v>
      </c>
      <c r="F297" t="s"/>
      <c r="G297" t="s"/>
      <c r="H297" t="s"/>
      <c r="I297" t="s"/>
      <c r="J297" t="n">
        <v>0</v>
      </c>
      <c r="K297" t="n">
        <v>0</v>
      </c>
      <c r="L297" t="n">
        <v>1</v>
      </c>
      <c r="M297" t="n">
        <v>0</v>
      </c>
    </row>
    <row r="298" spans="1:13">
      <c r="A298" s="1">
        <f>HYPERLINK("http://www.twitter.com/NathanBLawrence/status/997491726884458496", "997491726884458496")</f>
        <v/>
      </c>
      <c r="B298" s="2" t="n">
        <v>43238.62423611111</v>
      </c>
      <c r="C298" t="n">
        <v>0</v>
      </c>
      <c r="D298" t="n">
        <v>1</v>
      </c>
      <c r="E298" t="s">
        <v>305</v>
      </c>
      <c r="F298" t="s"/>
      <c r="G298" t="s"/>
      <c r="H298" t="s"/>
      <c r="I298" t="s"/>
      <c r="J298" t="n">
        <v>0.1027</v>
      </c>
      <c r="K298" t="n">
        <v>0.161</v>
      </c>
      <c r="L298" t="n">
        <v>0.664</v>
      </c>
      <c r="M298" t="n">
        <v>0.175</v>
      </c>
    </row>
    <row r="299" spans="1:13">
      <c r="A299" s="1">
        <f>HYPERLINK("http://www.twitter.com/NathanBLawrence/status/997491669955211264", "997491669955211264")</f>
        <v/>
      </c>
      <c r="B299" s="2" t="n">
        <v>43238.62408564815</v>
      </c>
      <c r="C299" t="n">
        <v>1</v>
      </c>
      <c r="D299" t="n">
        <v>1</v>
      </c>
      <c r="E299" t="s">
        <v>306</v>
      </c>
      <c r="F299" t="s"/>
      <c r="G299" t="s"/>
      <c r="H299" t="s"/>
      <c r="I299" t="s"/>
      <c r="J299" t="n">
        <v>0.4404</v>
      </c>
      <c r="K299" t="n">
        <v>0.148</v>
      </c>
      <c r="L299" t="n">
        <v>0.611</v>
      </c>
      <c r="M299" t="n">
        <v>0.241</v>
      </c>
    </row>
    <row r="300" spans="1:13">
      <c r="A300" s="1">
        <f>HYPERLINK("http://www.twitter.com/NathanBLawrence/status/997485024323698688", "997485024323698688")</f>
        <v/>
      </c>
      <c r="B300" s="2" t="n">
        <v>43238.60574074074</v>
      </c>
      <c r="C300" t="n">
        <v>0</v>
      </c>
      <c r="D300" t="n">
        <v>1</v>
      </c>
      <c r="E300" t="s">
        <v>307</v>
      </c>
      <c r="F300" t="s"/>
      <c r="G300" t="s"/>
      <c r="H300" t="s"/>
      <c r="I300" t="s"/>
      <c r="J300" t="n">
        <v>0.7717000000000001</v>
      </c>
      <c r="K300" t="n">
        <v>0</v>
      </c>
      <c r="L300" t="n">
        <v>0.609</v>
      </c>
      <c r="M300" t="n">
        <v>0.391</v>
      </c>
    </row>
    <row r="301" spans="1:13">
      <c r="A301" s="1">
        <f>HYPERLINK("http://www.twitter.com/NathanBLawrence/status/997484974398992386", "997484974398992386")</f>
        <v/>
      </c>
      <c r="B301" s="2" t="n">
        <v>43238.60560185185</v>
      </c>
      <c r="C301" t="n">
        <v>2</v>
      </c>
      <c r="D301" t="n">
        <v>1</v>
      </c>
      <c r="E301" t="s">
        <v>308</v>
      </c>
      <c r="F301" t="s"/>
      <c r="G301" t="s"/>
      <c r="H301" t="s"/>
      <c r="I301" t="s"/>
      <c r="J301" t="n">
        <v>0.7717000000000001</v>
      </c>
      <c r="K301" t="n">
        <v>0</v>
      </c>
      <c r="L301" t="n">
        <v>0.5649999999999999</v>
      </c>
      <c r="M301" t="n">
        <v>0.435</v>
      </c>
    </row>
    <row r="302" spans="1:13">
      <c r="A302" s="1">
        <f>HYPERLINK("http://www.twitter.com/NathanBLawrence/status/997475462661230598", "997475462661230598")</f>
        <v/>
      </c>
      <c r="B302" s="2" t="n">
        <v>43238.57936342592</v>
      </c>
      <c r="C302" t="n">
        <v>0</v>
      </c>
      <c r="D302" t="n">
        <v>5</v>
      </c>
      <c r="E302" t="s">
        <v>309</v>
      </c>
      <c r="F302" t="s"/>
      <c r="G302" t="s"/>
      <c r="H302" t="s"/>
      <c r="I302" t="s"/>
      <c r="J302" t="n">
        <v>0.6124000000000001</v>
      </c>
      <c r="K302" t="n">
        <v>0</v>
      </c>
      <c r="L302" t="n">
        <v>0.6879999999999999</v>
      </c>
      <c r="M302" t="n">
        <v>0.312</v>
      </c>
    </row>
    <row r="303" spans="1:13">
      <c r="A303" s="1">
        <f>HYPERLINK("http://www.twitter.com/NathanBLawrence/status/997475342913802240", "997475342913802240")</f>
        <v/>
      </c>
      <c r="B303" s="2" t="n">
        <v>43238.57902777778</v>
      </c>
      <c r="C303" t="n">
        <v>10</v>
      </c>
      <c r="D303" t="n">
        <v>5</v>
      </c>
      <c r="E303" t="s">
        <v>310</v>
      </c>
      <c r="F303" t="s"/>
      <c r="G303" t="s"/>
      <c r="H303" t="s"/>
      <c r="I303" t="s"/>
      <c r="J303" t="n">
        <v>0.6124000000000001</v>
      </c>
      <c r="K303" t="n">
        <v>0</v>
      </c>
      <c r="L303" t="n">
        <v>0.643</v>
      </c>
      <c r="M303" t="n">
        <v>0.357</v>
      </c>
    </row>
    <row r="304" spans="1:13">
      <c r="A304" s="1">
        <f>HYPERLINK("http://www.twitter.com/NathanBLawrence/status/997454952145539073", "997454952145539073")</f>
        <v/>
      </c>
      <c r="B304" s="2" t="n">
        <v>43238.52276620371</v>
      </c>
      <c r="C304" t="n">
        <v>0</v>
      </c>
      <c r="D304" t="n">
        <v>1</v>
      </c>
      <c r="E304" t="s">
        <v>311</v>
      </c>
      <c r="F304" t="s"/>
      <c r="G304" t="s"/>
      <c r="H304" t="s"/>
      <c r="I304" t="s"/>
      <c r="J304" t="n">
        <v>0.296</v>
      </c>
      <c r="K304" t="n">
        <v>0</v>
      </c>
      <c r="L304" t="n">
        <v>0.913</v>
      </c>
      <c r="M304" t="n">
        <v>0.08699999999999999</v>
      </c>
    </row>
    <row r="305" spans="1:13">
      <c r="A305" s="1">
        <f>HYPERLINK("http://www.twitter.com/NathanBLawrence/status/997450847855529985", "997450847855529985")</f>
        <v/>
      </c>
      <c r="B305" s="2" t="n">
        <v>43238.51143518519</v>
      </c>
      <c r="C305" t="n">
        <v>1</v>
      </c>
      <c r="D305" t="n">
        <v>1</v>
      </c>
      <c r="E305" t="s">
        <v>312</v>
      </c>
      <c r="F305" t="s"/>
      <c r="G305" t="s"/>
      <c r="H305" t="s"/>
      <c r="I305" t="s"/>
      <c r="J305" t="n">
        <v>0.5859</v>
      </c>
      <c r="K305" t="n">
        <v>0</v>
      </c>
      <c r="L305" t="n">
        <v>0.885</v>
      </c>
      <c r="M305" t="n">
        <v>0.115</v>
      </c>
    </row>
    <row r="306" spans="1:13">
      <c r="A306" s="1">
        <f>HYPERLINK("http://www.twitter.com/NathanBLawrence/status/997319725104402432", "997319725104402432")</f>
        <v/>
      </c>
      <c r="B306" s="2" t="n">
        <v>43238.14960648148</v>
      </c>
      <c r="C306" t="n">
        <v>0</v>
      </c>
      <c r="D306" t="n">
        <v>11</v>
      </c>
      <c r="E306" t="s">
        <v>313</v>
      </c>
      <c r="F306">
        <f>HYPERLINK("http://pbs.twimg.com/media/DdcwKkOUQAAfQve.jpg", "http://pbs.twimg.com/media/DdcwKkOUQAAfQve.jpg")</f>
        <v/>
      </c>
      <c r="G306" t="s"/>
      <c r="H306" t="s"/>
      <c r="I306" t="s"/>
      <c r="J306" t="n">
        <v>-0.4767</v>
      </c>
      <c r="K306" t="n">
        <v>0.134</v>
      </c>
      <c r="L306" t="n">
        <v>0.866</v>
      </c>
      <c r="M306" t="n">
        <v>0</v>
      </c>
    </row>
    <row r="307" spans="1:13">
      <c r="A307" s="1">
        <f>HYPERLINK("http://www.twitter.com/NathanBLawrence/status/997316710855213061", "997316710855213061")</f>
        <v/>
      </c>
      <c r="B307" s="2" t="n">
        <v>43238.14128472222</v>
      </c>
      <c r="C307" t="n">
        <v>0</v>
      </c>
      <c r="D307" t="n">
        <v>2</v>
      </c>
      <c r="E307" t="s">
        <v>314</v>
      </c>
      <c r="F307" t="s"/>
      <c r="G307" t="s"/>
      <c r="H307" t="s"/>
      <c r="I307" t="s"/>
      <c r="J307" t="n">
        <v>-0.3612</v>
      </c>
      <c r="K307" t="n">
        <v>0.122</v>
      </c>
      <c r="L307" t="n">
        <v>0.878</v>
      </c>
      <c r="M307" t="n">
        <v>0</v>
      </c>
    </row>
    <row r="308" spans="1:13">
      <c r="A308" s="1">
        <f>HYPERLINK("http://www.twitter.com/NathanBLawrence/status/997314467829551109", "997314467829551109")</f>
        <v/>
      </c>
      <c r="B308" s="2" t="n">
        <v>43238.13509259259</v>
      </c>
      <c r="C308" t="n">
        <v>0</v>
      </c>
      <c r="D308" t="n">
        <v>1</v>
      </c>
      <c r="E308" t="s">
        <v>315</v>
      </c>
      <c r="F308" t="s"/>
      <c r="G308" t="s"/>
      <c r="H308" t="s"/>
      <c r="I308" t="s"/>
      <c r="J308" t="n">
        <v>0</v>
      </c>
      <c r="K308" t="n">
        <v>0</v>
      </c>
      <c r="L308" t="n">
        <v>1</v>
      </c>
      <c r="M308" t="n">
        <v>0</v>
      </c>
    </row>
    <row r="309" spans="1:13">
      <c r="A309" s="1">
        <f>HYPERLINK("http://www.twitter.com/NathanBLawrence/status/997314410644418560", "997314410644418560")</f>
        <v/>
      </c>
      <c r="B309" s="2" t="n">
        <v>43238.13494212963</v>
      </c>
      <c r="C309" t="n">
        <v>0</v>
      </c>
      <c r="D309" t="n">
        <v>1</v>
      </c>
      <c r="E309" t="s">
        <v>316</v>
      </c>
      <c r="F309" t="s"/>
      <c r="G309" t="s"/>
      <c r="H309" t="s"/>
      <c r="I309" t="s"/>
      <c r="J309" t="n">
        <v>0</v>
      </c>
      <c r="K309" t="n">
        <v>0</v>
      </c>
      <c r="L309" t="n">
        <v>1</v>
      </c>
      <c r="M309" t="n">
        <v>0</v>
      </c>
    </row>
    <row r="310" spans="1:13">
      <c r="A310" s="1">
        <f>HYPERLINK("http://www.twitter.com/NathanBLawrence/status/997307994919571457", "997307994919571457")</f>
        <v/>
      </c>
      <c r="B310" s="2" t="n">
        <v>43238.1172337963</v>
      </c>
      <c r="C310" t="n">
        <v>0</v>
      </c>
      <c r="D310" t="n">
        <v>2</v>
      </c>
      <c r="E310" t="s">
        <v>317</v>
      </c>
      <c r="F310" t="s"/>
      <c r="G310" t="s"/>
      <c r="H310" t="s"/>
      <c r="I310" t="s"/>
      <c r="J310" t="n">
        <v>-0.3987</v>
      </c>
      <c r="K310" t="n">
        <v>0.161</v>
      </c>
      <c r="L310" t="n">
        <v>0.839</v>
      </c>
      <c r="M310" t="n">
        <v>0</v>
      </c>
    </row>
    <row r="311" spans="1:13">
      <c r="A311" s="1">
        <f>HYPERLINK("http://www.twitter.com/NathanBLawrence/status/997298870102188032", "997298870102188032")</f>
        <v/>
      </c>
      <c r="B311" s="2" t="n">
        <v>43238.09206018518</v>
      </c>
      <c r="C311" t="n">
        <v>0</v>
      </c>
      <c r="D311" t="n">
        <v>5</v>
      </c>
      <c r="E311" t="s">
        <v>318</v>
      </c>
      <c r="F311" t="s"/>
      <c r="G311" t="s"/>
      <c r="H311" t="s"/>
      <c r="I311" t="s"/>
      <c r="J311" t="n">
        <v>0</v>
      </c>
      <c r="K311" t="n">
        <v>0</v>
      </c>
      <c r="L311" t="n">
        <v>1</v>
      </c>
      <c r="M311" t="n">
        <v>0</v>
      </c>
    </row>
    <row r="312" spans="1:13">
      <c r="A312" s="1">
        <f>HYPERLINK("http://www.twitter.com/NathanBLawrence/status/997297184445026304", "997297184445026304")</f>
        <v/>
      </c>
      <c r="B312" s="2" t="n">
        <v>43238.08740740741</v>
      </c>
      <c r="C312" t="n">
        <v>0</v>
      </c>
      <c r="D312" t="n">
        <v>7</v>
      </c>
      <c r="E312" t="s">
        <v>319</v>
      </c>
      <c r="F312" t="s"/>
      <c r="G312" t="s"/>
      <c r="H312" t="s"/>
      <c r="I312" t="s"/>
      <c r="J312" t="n">
        <v>-0.4215</v>
      </c>
      <c r="K312" t="n">
        <v>0.141</v>
      </c>
      <c r="L312" t="n">
        <v>0.859</v>
      </c>
      <c r="M312" t="n">
        <v>0</v>
      </c>
    </row>
    <row r="313" spans="1:13">
      <c r="A313" s="1">
        <f>HYPERLINK("http://www.twitter.com/NathanBLawrence/status/997296285454684161", "997296285454684161")</f>
        <v/>
      </c>
      <c r="B313" s="2" t="n">
        <v>43238.08491898148</v>
      </c>
      <c r="C313" t="n">
        <v>0</v>
      </c>
      <c r="D313" t="n">
        <v>6</v>
      </c>
      <c r="E313" t="s">
        <v>320</v>
      </c>
      <c r="F313" t="s"/>
      <c r="G313" t="s"/>
      <c r="H313" t="s"/>
      <c r="I313" t="s"/>
      <c r="J313" t="n">
        <v>-0.5719</v>
      </c>
      <c r="K313" t="n">
        <v>0.144</v>
      </c>
      <c r="L313" t="n">
        <v>0.856</v>
      </c>
      <c r="M313" t="n">
        <v>0</v>
      </c>
    </row>
    <row r="314" spans="1:13">
      <c r="A314" s="1">
        <f>HYPERLINK("http://www.twitter.com/NathanBLawrence/status/997291216977973248", "997291216977973248")</f>
        <v/>
      </c>
      <c r="B314" s="2" t="n">
        <v>43238.0709375</v>
      </c>
      <c r="C314" t="n">
        <v>0</v>
      </c>
      <c r="D314" t="n">
        <v>1</v>
      </c>
      <c r="E314" t="s">
        <v>321</v>
      </c>
      <c r="F314" t="s"/>
      <c r="G314" t="s"/>
      <c r="H314" t="s"/>
      <c r="I314" t="s"/>
      <c r="J314" t="n">
        <v>0.4939</v>
      </c>
      <c r="K314" t="n">
        <v>0</v>
      </c>
      <c r="L314" t="n">
        <v>0.775</v>
      </c>
      <c r="M314" t="n">
        <v>0.225</v>
      </c>
    </row>
    <row r="315" spans="1:13">
      <c r="A315" s="1">
        <f>HYPERLINK("http://www.twitter.com/NathanBLawrence/status/997291196857896961", "997291196857896961")</f>
        <v/>
      </c>
      <c r="B315" s="2" t="n">
        <v>43238.07087962963</v>
      </c>
      <c r="C315" t="n">
        <v>0</v>
      </c>
      <c r="D315" t="n">
        <v>1</v>
      </c>
      <c r="E315" t="s">
        <v>322</v>
      </c>
      <c r="F315" t="s"/>
      <c r="G315" t="s"/>
      <c r="H315" t="s"/>
      <c r="I315" t="s"/>
      <c r="J315" t="n">
        <v>0.4939</v>
      </c>
      <c r="K315" t="n">
        <v>0</v>
      </c>
      <c r="L315" t="n">
        <v>0.738</v>
      </c>
      <c r="M315" t="n">
        <v>0.262</v>
      </c>
    </row>
    <row r="316" spans="1:13">
      <c r="A316" s="1">
        <f>HYPERLINK("http://www.twitter.com/NathanBLawrence/status/997290873439350785", "997290873439350785")</f>
        <v/>
      </c>
      <c r="B316" s="2" t="n">
        <v>43238.06998842592</v>
      </c>
      <c r="C316" t="n">
        <v>0</v>
      </c>
      <c r="D316" t="n">
        <v>3</v>
      </c>
      <c r="E316" t="s">
        <v>323</v>
      </c>
      <c r="F316" t="s"/>
      <c r="G316" t="s"/>
      <c r="H316" t="s"/>
      <c r="I316" t="s"/>
      <c r="J316" t="n">
        <v>0.4019</v>
      </c>
      <c r="K316" t="n">
        <v>0</v>
      </c>
      <c r="L316" t="n">
        <v>0.828</v>
      </c>
      <c r="M316" t="n">
        <v>0.172</v>
      </c>
    </row>
    <row r="317" spans="1:13">
      <c r="A317" s="1">
        <f>HYPERLINK("http://www.twitter.com/NathanBLawrence/status/997290832062541826", "997290832062541826")</f>
        <v/>
      </c>
      <c r="B317" s="2" t="n">
        <v>43238.06987268518</v>
      </c>
      <c r="C317" t="n">
        <v>4</v>
      </c>
      <c r="D317" t="n">
        <v>3</v>
      </c>
      <c r="E317" t="s">
        <v>324</v>
      </c>
      <c r="F317" t="s"/>
      <c r="G317" t="s"/>
      <c r="H317" t="s"/>
      <c r="I317" t="s"/>
      <c r="J317" t="n">
        <v>0.4019</v>
      </c>
      <c r="K317" t="n">
        <v>0</v>
      </c>
      <c r="L317" t="n">
        <v>0.838</v>
      </c>
      <c r="M317" t="n">
        <v>0.162</v>
      </c>
    </row>
    <row r="318" spans="1:13">
      <c r="A318" s="1">
        <f>HYPERLINK("http://www.twitter.com/NathanBLawrence/status/997288865802211328", "997288865802211328")</f>
        <v/>
      </c>
      <c r="B318" s="2" t="n">
        <v>43238.06444444445</v>
      </c>
      <c r="C318" t="n">
        <v>0</v>
      </c>
      <c r="D318" t="n">
        <v>13</v>
      </c>
      <c r="E318" t="s">
        <v>325</v>
      </c>
      <c r="F318" t="s"/>
      <c r="G318" t="s"/>
      <c r="H318" t="s"/>
      <c r="I318" t="s"/>
      <c r="J318" t="n">
        <v>0.8176</v>
      </c>
      <c r="K318" t="n">
        <v>0</v>
      </c>
      <c r="L318" t="n">
        <v>0.681</v>
      </c>
      <c r="M318" t="n">
        <v>0.319</v>
      </c>
    </row>
    <row r="319" spans="1:13">
      <c r="A319" s="1">
        <f>HYPERLINK("http://www.twitter.com/NathanBLawrence/status/997288541146304513", "997288541146304513")</f>
        <v/>
      </c>
      <c r="B319" s="2" t="n">
        <v>43238.06355324074</v>
      </c>
      <c r="C319" t="n">
        <v>0</v>
      </c>
      <c r="D319" t="n">
        <v>2</v>
      </c>
      <c r="E319" t="s">
        <v>326</v>
      </c>
      <c r="F319" t="s"/>
      <c r="G319" t="s"/>
      <c r="H319" t="s"/>
      <c r="I319" t="s"/>
      <c r="J319" t="n">
        <v>-0.3612</v>
      </c>
      <c r="K319" t="n">
        <v>0.172</v>
      </c>
      <c r="L319" t="n">
        <v>0.828</v>
      </c>
      <c r="M319" t="n">
        <v>0</v>
      </c>
    </row>
    <row r="320" spans="1:13">
      <c r="A320" s="1">
        <f>HYPERLINK("http://www.twitter.com/NathanBLawrence/status/997282359736258560", "997282359736258560")</f>
        <v/>
      </c>
      <c r="B320" s="2" t="n">
        <v>43238.04649305555</v>
      </c>
      <c r="C320" t="n">
        <v>0</v>
      </c>
      <c r="D320" t="n">
        <v>3</v>
      </c>
      <c r="E320" t="s">
        <v>327</v>
      </c>
      <c r="F320" t="s"/>
      <c r="G320" t="s"/>
      <c r="H320" t="s"/>
      <c r="I320" t="s"/>
      <c r="J320" t="n">
        <v>0.4019</v>
      </c>
      <c r="K320" t="n">
        <v>0</v>
      </c>
      <c r="L320" t="n">
        <v>0.787</v>
      </c>
      <c r="M320" t="n">
        <v>0.213</v>
      </c>
    </row>
    <row r="321" spans="1:13">
      <c r="A321" s="1">
        <f>HYPERLINK("http://www.twitter.com/NathanBLawrence/status/997282317017198593", "997282317017198593")</f>
        <v/>
      </c>
      <c r="B321" s="2" t="n">
        <v>43238.04637731481</v>
      </c>
      <c r="C321" t="n">
        <v>2</v>
      </c>
      <c r="D321" t="n">
        <v>3</v>
      </c>
      <c r="E321" t="s">
        <v>328</v>
      </c>
      <c r="F321" t="s"/>
      <c r="G321" t="s"/>
      <c r="H321" t="s"/>
      <c r="I321" t="s"/>
      <c r="J321" t="n">
        <v>0.4019</v>
      </c>
      <c r="K321" t="n">
        <v>0</v>
      </c>
      <c r="L321" t="n">
        <v>0.748</v>
      </c>
      <c r="M321" t="n">
        <v>0.252</v>
      </c>
    </row>
    <row r="322" spans="1:13">
      <c r="A322" s="1">
        <f>HYPERLINK("http://www.twitter.com/NathanBLawrence/status/997278563731755010", "997278563731755010")</f>
        <v/>
      </c>
      <c r="B322" s="2" t="n">
        <v>43238.03601851852</v>
      </c>
      <c r="C322" t="n">
        <v>0</v>
      </c>
      <c r="D322" t="n">
        <v>1</v>
      </c>
      <c r="E322" t="s">
        <v>329</v>
      </c>
      <c r="F322" t="s"/>
      <c r="G322" t="s"/>
      <c r="H322" t="s"/>
      <c r="I322" t="s"/>
      <c r="J322" t="n">
        <v>-0.1027</v>
      </c>
      <c r="K322" t="n">
        <v>0.174</v>
      </c>
      <c r="L322" t="n">
        <v>0.704</v>
      </c>
      <c r="M322" t="n">
        <v>0.122</v>
      </c>
    </row>
    <row r="323" spans="1:13">
      <c r="A323" s="1">
        <f>HYPERLINK("http://www.twitter.com/NathanBLawrence/status/997271656212107264", "997271656212107264")</f>
        <v/>
      </c>
      <c r="B323" s="2" t="n">
        <v>43238.01695601852</v>
      </c>
      <c r="C323" t="n">
        <v>0</v>
      </c>
      <c r="D323" t="n">
        <v>5</v>
      </c>
      <c r="E323" t="s">
        <v>330</v>
      </c>
      <c r="F323" t="s"/>
      <c r="G323" t="s"/>
      <c r="H323" t="s"/>
      <c r="I323" t="s"/>
      <c r="J323" t="n">
        <v>-0.5266999999999999</v>
      </c>
      <c r="K323" t="n">
        <v>0.221</v>
      </c>
      <c r="L323" t="n">
        <v>0.779</v>
      </c>
      <c r="M323" t="n">
        <v>0</v>
      </c>
    </row>
    <row r="324" spans="1:13">
      <c r="A324" s="1">
        <f>HYPERLINK("http://www.twitter.com/NathanBLawrence/status/997264350778986496", "997264350778986496")</f>
        <v/>
      </c>
      <c r="B324" s="2" t="n">
        <v>43237.99680555556</v>
      </c>
      <c r="C324" t="n">
        <v>0</v>
      </c>
      <c r="D324" t="n">
        <v>2</v>
      </c>
      <c r="E324" t="s">
        <v>331</v>
      </c>
      <c r="F324" t="s"/>
      <c r="G324" t="s"/>
      <c r="H324" t="s"/>
      <c r="I324" t="s"/>
      <c r="J324" t="n">
        <v>0.5994</v>
      </c>
      <c r="K324" t="n">
        <v>0</v>
      </c>
      <c r="L324" t="n">
        <v>0.8179999999999999</v>
      </c>
      <c r="M324" t="n">
        <v>0.182</v>
      </c>
    </row>
    <row r="325" spans="1:13">
      <c r="A325" s="1">
        <f>HYPERLINK("http://www.twitter.com/NathanBLawrence/status/997253041450446848", "997253041450446848")</f>
        <v/>
      </c>
      <c r="B325" s="2" t="n">
        <v>43237.96559027778</v>
      </c>
      <c r="C325" t="n">
        <v>0</v>
      </c>
      <c r="D325" t="n">
        <v>3</v>
      </c>
      <c r="E325" t="s">
        <v>332</v>
      </c>
      <c r="F325" t="s"/>
      <c r="G325" t="s"/>
      <c r="H325" t="s"/>
      <c r="I325" t="s"/>
      <c r="J325" t="n">
        <v>0.4404</v>
      </c>
      <c r="K325" t="n">
        <v>0</v>
      </c>
      <c r="L325" t="n">
        <v>0.791</v>
      </c>
      <c r="M325" t="n">
        <v>0.209</v>
      </c>
    </row>
    <row r="326" spans="1:13">
      <c r="A326" s="1">
        <f>HYPERLINK("http://www.twitter.com/NathanBLawrence/status/997252740739821568", "997252740739821568")</f>
        <v/>
      </c>
      <c r="B326" s="2" t="n">
        <v>43237.96476851852</v>
      </c>
      <c r="C326" t="n">
        <v>18</v>
      </c>
      <c r="D326" t="n">
        <v>3</v>
      </c>
      <c r="E326" t="s">
        <v>333</v>
      </c>
      <c r="F326" t="s"/>
      <c r="G326" t="s"/>
      <c r="H326" t="s"/>
      <c r="I326" t="s"/>
      <c r="J326" t="n">
        <v>0.4404</v>
      </c>
      <c r="K326" t="n">
        <v>0</v>
      </c>
      <c r="L326" t="n">
        <v>0.756</v>
      </c>
      <c r="M326" t="n">
        <v>0.244</v>
      </c>
    </row>
    <row r="327" spans="1:13">
      <c r="A327" s="1">
        <f>HYPERLINK("http://www.twitter.com/NathanBLawrence/status/997248458611478528", "997248458611478528")</f>
        <v/>
      </c>
      <c r="B327" s="2" t="n">
        <v>43237.95295138889</v>
      </c>
      <c r="C327" t="n">
        <v>0</v>
      </c>
      <c r="D327" t="n">
        <v>16</v>
      </c>
      <c r="E327" t="s">
        <v>334</v>
      </c>
      <c r="F327" t="s"/>
      <c r="G327" t="s"/>
      <c r="H327" t="s"/>
      <c r="I327" t="s"/>
      <c r="J327" t="n">
        <v>0.8469</v>
      </c>
      <c r="K327" t="n">
        <v>0</v>
      </c>
      <c r="L327" t="n">
        <v>0.72</v>
      </c>
      <c r="M327" t="n">
        <v>0.28</v>
      </c>
    </row>
    <row r="328" spans="1:13">
      <c r="A328" s="1">
        <f>HYPERLINK("http://www.twitter.com/NathanBLawrence/status/997244440715649032", "997244440715649032")</f>
        <v/>
      </c>
      <c r="B328" s="2" t="n">
        <v>43237.94186342593</v>
      </c>
      <c r="C328" t="n">
        <v>2</v>
      </c>
      <c r="D328" t="n">
        <v>0</v>
      </c>
      <c r="E328" t="s">
        <v>335</v>
      </c>
      <c r="F328" t="s"/>
      <c r="G328" t="s"/>
      <c r="H328" t="s"/>
      <c r="I328" t="s"/>
      <c r="J328" t="n">
        <v>0.4019</v>
      </c>
      <c r="K328" t="n">
        <v>0</v>
      </c>
      <c r="L328" t="n">
        <v>0.8159999999999999</v>
      </c>
      <c r="M328" t="n">
        <v>0.184</v>
      </c>
    </row>
    <row r="329" spans="1:13">
      <c r="A329" s="1">
        <f>HYPERLINK("http://www.twitter.com/NathanBLawrence/status/997232294057402368", "997232294057402368")</f>
        <v/>
      </c>
      <c r="B329" s="2" t="n">
        <v>43237.90834490741</v>
      </c>
      <c r="C329" t="n">
        <v>0</v>
      </c>
      <c r="D329" t="n">
        <v>11</v>
      </c>
      <c r="E329" t="s">
        <v>336</v>
      </c>
      <c r="F329">
        <f>HYPERLINK("http://pbs.twimg.com/media/DdbgJ_hV4AECj2F.jpg", "http://pbs.twimg.com/media/DdbgJ_hV4AECj2F.jpg")</f>
        <v/>
      </c>
      <c r="G329" t="s"/>
      <c r="H329" t="s"/>
      <c r="I329" t="s"/>
      <c r="J329" t="n">
        <v>0.4215</v>
      </c>
      <c r="K329" t="n">
        <v>0</v>
      </c>
      <c r="L329" t="n">
        <v>0.872</v>
      </c>
      <c r="M329" t="n">
        <v>0.128</v>
      </c>
    </row>
    <row r="330" spans="1:13">
      <c r="A330" s="1">
        <f>HYPERLINK("http://www.twitter.com/NathanBLawrence/status/997211349217431552", "997211349217431552")</f>
        <v/>
      </c>
      <c r="B330" s="2" t="n">
        <v>43237.85054398148</v>
      </c>
      <c r="C330" t="n">
        <v>0</v>
      </c>
      <c r="D330" t="n">
        <v>5</v>
      </c>
      <c r="E330" t="s">
        <v>337</v>
      </c>
      <c r="F330" t="s"/>
      <c r="G330" t="s"/>
      <c r="H330" t="s"/>
      <c r="I330" t="s"/>
      <c r="J330" t="n">
        <v>0.25</v>
      </c>
      <c r="K330" t="n">
        <v>0.111</v>
      </c>
      <c r="L330" t="n">
        <v>0.704</v>
      </c>
      <c r="M330" t="n">
        <v>0.185</v>
      </c>
    </row>
    <row r="331" spans="1:13">
      <c r="A331" s="1">
        <f>HYPERLINK("http://www.twitter.com/NathanBLawrence/status/997211305001017346", "997211305001017346")</f>
        <v/>
      </c>
      <c r="B331" s="2" t="n">
        <v>43237.85042824074</v>
      </c>
      <c r="C331" t="n">
        <v>4</v>
      </c>
      <c r="D331" t="n">
        <v>5</v>
      </c>
      <c r="E331" t="s">
        <v>338</v>
      </c>
      <c r="F331" t="s"/>
      <c r="G331" t="s"/>
      <c r="H331" t="s"/>
      <c r="I331" t="s"/>
      <c r="J331" t="n">
        <v>0.25</v>
      </c>
      <c r="K331" t="n">
        <v>0.1</v>
      </c>
      <c r="L331" t="n">
        <v>0.733</v>
      </c>
      <c r="M331" t="n">
        <v>0.167</v>
      </c>
    </row>
    <row r="332" spans="1:13">
      <c r="A332" s="1">
        <f>HYPERLINK("http://www.twitter.com/NathanBLawrence/status/997203132089294848", "997203132089294848")</f>
        <v/>
      </c>
      <c r="B332" s="2" t="n">
        <v>43237.82787037037</v>
      </c>
      <c r="C332" t="n">
        <v>1</v>
      </c>
      <c r="D332" t="n">
        <v>0</v>
      </c>
      <c r="E332" t="s">
        <v>339</v>
      </c>
      <c r="F332" t="s"/>
      <c r="G332" t="s"/>
      <c r="H332" t="s"/>
      <c r="I332" t="s"/>
      <c r="J332" t="n">
        <v>0</v>
      </c>
      <c r="K332" t="n">
        <v>0</v>
      </c>
      <c r="L332" t="n">
        <v>1</v>
      </c>
      <c r="M332" t="n">
        <v>0</v>
      </c>
    </row>
    <row r="333" spans="1:13">
      <c r="A333" s="1">
        <f>HYPERLINK("http://www.twitter.com/NathanBLawrence/status/997202070389362699", "997202070389362699")</f>
        <v/>
      </c>
      <c r="B333" s="2" t="n">
        <v>43237.82494212963</v>
      </c>
      <c r="C333" t="n">
        <v>0</v>
      </c>
      <c r="D333" t="n">
        <v>2</v>
      </c>
      <c r="E333" t="s">
        <v>340</v>
      </c>
      <c r="F333" t="s"/>
      <c r="G333" t="s"/>
      <c r="H333" t="s"/>
      <c r="I333" t="s"/>
      <c r="J333" t="n">
        <v>0.6124000000000001</v>
      </c>
      <c r="K333" t="n">
        <v>0</v>
      </c>
      <c r="L333" t="n">
        <v>0.792</v>
      </c>
      <c r="M333" t="n">
        <v>0.208</v>
      </c>
    </row>
    <row r="334" spans="1:13">
      <c r="A334" s="1">
        <f>HYPERLINK("http://www.twitter.com/NathanBLawrence/status/997202052563562497", "997202052563562497")</f>
        <v/>
      </c>
      <c r="B334" s="2" t="n">
        <v>43237.82489583334</v>
      </c>
      <c r="C334" t="n">
        <v>0</v>
      </c>
      <c r="D334" t="n">
        <v>2</v>
      </c>
      <c r="E334" t="s">
        <v>341</v>
      </c>
      <c r="F334" t="s"/>
      <c r="G334" t="s"/>
      <c r="H334" t="s"/>
      <c r="I334" t="s"/>
      <c r="J334" t="n">
        <v>0.6124000000000001</v>
      </c>
      <c r="K334" t="n">
        <v>0</v>
      </c>
      <c r="L334" t="n">
        <v>0.783</v>
      </c>
      <c r="M334" t="n">
        <v>0.217</v>
      </c>
    </row>
    <row r="335" spans="1:13">
      <c r="A335" s="1">
        <f>HYPERLINK("http://www.twitter.com/NathanBLawrence/status/997196288658759680", "997196288658759680")</f>
        <v/>
      </c>
      <c r="B335" s="2" t="n">
        <v>43237.80898148148</v>
      </c>
      <c r="C335" t="n">
        <v>0</v>
      </c>
      <c r="D335" t="n">
        <v>2</v>
      </c>
      <c r="E335" t="s">
        <v>342</v>
      </c>
      <c r="F335" t="s"/>
      <c r="G335" t="s"/>
      <c r="H335" t="s"/>
      <c r="I335" t="s"/>
      <c r="J335" t="n">
        <v>0.0516</v>
      </c>
      <c r="K335" t="n">
        <v>0.108</v>
      </c>
      <c r="L335" t="n">
        <v>0.773</v>
      </c>
      <c r="M335" t="n">
        <v>0.119</v>
      </c>
    </row>
    <row r="336" spans="1:13">
      <c r="A336" s="1">
        <f>HYPERLINK("http://www.twitter.com/NathanBLawrence/status/997196212766957576", "997196212766957576")</f>
        <v/>
      </c>
      <c r="B336" s="2" t="n">
        <v>43237.80877314815</v>
      </c>
      <c r="C336" t="n">
        <v>1</v>
      </c>
      <c r="D336" t="n">
        <v>2</v>
      </c>
      <c r="E336" t="s">
        <v>343</v>
      </c>
      <c r="F336" t="s"/>
      <c r="G336" t="s"/>
      <c r="H336" t="s"/>
      <c r="I336" t="s"/>
      <c r="J336" t="n">
        <v>0.4767</v>
      </c>
      <c r="K336" t="n">
        <v>0.09</v>
      </c>
      <c r="L336" t="n">
        <v>0.6870000000000001</v>
      </c>
      <c r="M336" t="n">
        <v>0.223</v>
      </c>
    </row>
    <row r="337" spans="1:13">
      <c r="A337" s="1">
        <f>HYPERLINK("http://www.twitter.com/NathanBLawrence/status/997193755190087681", "997193755190087681")</f>
        <v/>
      </c>
      <c r="B337" s="2" t="n">
        <v>43237.80199074074</v>
      </c>
      <c r="C337" t="n">
        <v>0</v>
      </c>
      <c r="D337" t="n">
        <v>2</v>
      </c>
      <c r="E337" t="s">
        <v>344</v>
      </c>
      <c r="F337" t="s"/>
      <c r="G337" t="s"/>
      <c r="H337" t="s"/>
      <c r="I337" t="s"/>
      <c r="J337" t="n">
        <v>-0.4003</v>
      </c>
      <c r="K337" t="n">
        <v>0.109</v>
      </c>
      <c r="L337" t="n">
        <v>0.891</v>
      </c>
      <c r="M337" t="n">
        <v>0</v>
      </c>
    </row>
    <row r="338" spans="1:13">
      <c r="A338" s="1">
        <f>HYPERLINK("http://www.twitter.com/NathanBLawrence/status/997188163947855874", "997188163947855874")</f>
        <v/>
      </c>
      <c r="B338" s="2" t="n">
        <v>43237.7865625</v>
      </c>
      <c r="C338" t="n">
        <v>0</v>
      </c>
      <c r="D338" t="n">
        <v>2</v>
      </c>
      <c r="E338" t="s">
        <v>345</v>
      </c>
      <c r="F338" t="s"/>
      <c r="G338" t="s"/>
      <c r="H338" t="s"/>
      <c r="I338" t="s"/>
      <c r="J338" t="n">
        <v>0.4019</v>
      </c>
      <c r="K338" t="n">
        <v>0</v>
      </c>
      <c r="L338" t="n">
        <v>0.803</v>
      </c>
      <c r="M338" t="n">
        <v>0.197</v>
      </c>
    </row>
    <row r="339" spans="1:13">
      <c r="A339" s="1">
        <f>HYPERLINK("http://www.twitter.com/NathanBLawrence/status/997188145409126406", "997188145409126406")</f>
        <v/>
      </c>
      <c r="B339" s="2" t="n">
        <v>43237.78651620371</v>
      </c>
      <c r="C339" t="n">
        <v>0</v>
      </c>
      <c r="D339" t="n">
        <v>2</v>
      </c>
      <c r="E339" t="s">
        <v>346</v>
      </c>
      <c r="F339" t="s"/>
      <c r="G339" t="s"/>
      <c r="H339" t="s"/>
      <c r="I339" t="s"/>
      <c r="J339" t="n">
        <v>0.4019</v>
      </c>
      <c r="K339" t="n">
        <v>0</v>
      </c>
      <c r="L339" t="n">
        <v>0.769</v>
      </c>
      <c r="M339" t="n">
        <v>0.231</v>
      </c>
    </row>
    <row r="340" spans="1:13">
      <c r="A340" s="1">
        <f>HYPERLINK("http://www.twitter.com/NathanBLawrence/status/997186695035523076", "997186695035523076")</f>
        <v/>
      </c>
      <c r="B340" s="2" t="n">
        <v>43237.78251157407</v>
      </c>
      <c r="C340" t="n">
        <v>0</v>
      </c>
      <c r="D340" t="n">
        <v>2</v>
      </c>
      <c r="E340" t="s">
        <v>347</v>
      </c>
      <c r="F340" t="s"/>
      <c r="G340" t="s"/>
      <c r="H340" t="s"/>
      <c r="I340" t="s"/>
      <c r="J340" t="n">
        <v>0.2263</v>
      </c>
      <c r="K340" t="n">
        <v>0.11</v>
      </c>
      <c r="L340" t="n">
        <v>0.712</v>
      </c>
      <c r="M340" t="n">
        <v>0.178</v>
      </c>
    </row>
    <row r="341" spans="1:13">
      <c r="A341" s="1">
        <f>HYPERLINK("http://www.twitter.com/NathanBLawrence/status/997186627079409664", "997186627079409664")</f>
        <v/>
      </c>
      <c r="B341" s="2" t="n">
        <v>43237.78232638889</v>
      </c>
      <c r="C341" t="n">
        <v>0</v>
      </c>
      <c r="D341" t="n">
        <v>2</v>
      </c>
      <c r="E341" t="s">
        <v>348</v>
      </c>
      <c r="F341" t="s"/>
      <c r="G341" t="s"/>
      <c r="H341" t="s"/>
      <c r="I341" t="s"/>
      <c r="J341" t="n">
        <v>-0.8225</v>
      </c>
      <c r="K341" t="n">
        <v>0.254</v>
      </c>
      <c r="L341" t="n">
        <v>0.645</v>
      </c>
      <c r="M341" t="n">
        <v>0.101</v>
      </c>
    </row>
    <row r="342" spans="1:13">
      <c r="A342" s="1">
        <f>HYPERLINK("http://www.twitter.com/NathanBLawrence/status/997182225417416705", "997182225417416705")</f>
        <v/>
      </c>
      <c r="B342" s="2" t="n">
        <v>43237.77017361111</v>
      </c>
      <c r="C342" t="n">
        <v>0</v>
      </c>
      <c r="D342" t="n">
        <v>7</v>
      </c>
      <c r="E342" t="s">
        <v>349</v>
      </c>
      <c r="F342" t="s"/>
      <c r="G342" t="s"/>
      <c r="H342" t="s"/>
      <c r="I342" t="s"/>
      <c r="J342" t="n">
        <v>0.4939</v>
      </c>
      <c r="K342" t="n">
        <v>0.076</v>
      </c>
      <c r="L342" t="n">
        <v>0.76</v>
      </c>
      <c r="M342" t="n">
        <v>0.164</v>
      </c>
    </row>
    <row r="343" spans="1:13">
      <c r="A343" s="1">
        <f>HYPERLINK("http://www.twitter.com/NathanBLawrence/status/997181829168934917", "997181829168934917")</f>
        <v/>
      </c>
      <c r="B343" s="2" t="n">
        <v>43237.76908564815</v>
      </c>
      <c r="C343" t="n">
        <v>0</v>
      </c>
      <c r="D343" t="n">
        <v>23</v>
      </c>
      <c r="E343" t="s">
        <v>350</v>
      </c>
      <c r="F343" t="s"/>
      <c r="G343" t="s"/>
      <c r="H343" t="s"/>
      <c r="I343" t="s"/>
      <c r="J343" t="n">
        <v>0.7845</v>
      </c>
      <c r="K343" t="n">
        <v>0</v>
      </c>
      <c r="L343" t="n">
        <v>0.706</v>
      </c>
      <c r="M343" t="n">
        <v>0.294</v>
      </c>
    </row>
    <row r="344" spans="1:13">
      <c r="A344" s="1">
        <f>HYPERLINK("http://www.twitter.com/NathanBLawrence/status/997181770272567296", "997181770272567296")</f>
        <v/>
      </c>
      <c r="B344" s="2" t="n">
        <v>43237.76892361111</v>
      </c>
      <c r="C344" t="n">
        <v>21</v>
      </c>
      <c r="D344" t="n">
        <v>23</v>
      </c>
      <c r="E344" t="s">
        <v>351</v>
      </c>
      <c r="F344" t="s"/>
      <c r="G344" t="s"/>
      <c r="H344" t="s"/>
      <c r="I344" t="s"/>
      <c r="J344" t="n">
        <v>0.8016</v>
      </c>
      <c r="K344" t="n">
        <v>0.064</v>
      </c>
      <c r="L344" t="n">
        <v>0.663</v>
      </c>
      <c r="M344" t="n">
        <v>0.273</v>
      </c>
    </row>
    <row r="345" spans="1:13">
      <c r="A345" s="1">
        <f>HYPERLINK("http://www.twitter.com/NathanBLawrence/status/997180693213057024", "997180693213057024")</f>
        <v/>
      </c>
      <c r="B345" s="2" t="n">
        <v>43237.76594907408</v>
      </c>
      <c r="C345" t="n">
        <v>0</v>
      </c>
      <c r="D345" t="n">
        <v>2</v>
      </c>
      <c r="E345" t="s">
        <v>352</v>
      </c>
      <c r="F345" t="s"/>
      <c r="G345" t="s"/>
      <c r="H345" t="s"/>
      <c r="I345" t="s"/>
      <c r="J345" t="n">
        <v>0.4019</v>
      </c>
      <c r="K345" t="n">
        <v>0</v>
      </c>
      <c r="L345" t="n">
        <v>0.891</v>
      </c>
      <c r="M345" t="n">
        <v>0.109</v>
      </c>
    </row>
    <row r="346" spans="1:13">
      <c r="A346" s="1">
        <f>HYPERLINK("http://www.twitter.com/NathanBLawrence/status/997180677585035264", "997180677585035264")</f>
        <v/>
      </c>
      <c r="B346" s="2" t="n">
        <v>43237.76590277778</v>
      </c>
      <c r="C346" t="n">
        <v>1</v>
      </c>
      <c r="D346" t="n">
        <v>2</v>
      </c>
      <c r="E346" t="s">
        <v>353</v>
      </c>
      <c r="F346" t="s"/>
      <c r="G346" t="s"/>
      <c r="H346" t="s"/>
      <c r="I346" t="s"/>
      <c r="J346" t="n">
        <v>0.4574</v>
      </c>
      <c r="K346" t="n">
        <v>0</v>
      </c>
      <c r="L346" t="n">
        <v>0.897</v>
      </c>
      <c r="M346" t="n">
        <v>0.103</v>
      </c>
    </row>
    <row r="347" spans="1:13">
      <c r="A347" s="1">
        <f>HYPERLINK("http://www.twitter.com/NathanBLawrence/status/997176034758885377", "997176034758885377")</f>
        <v/>
      </c>
      <c r="B347" s="2" t="n">
        <v>43237.75309027778</v>
      </c>
      <c r="C347" t="n">
        <v>0</v>
      </c>
      <c r="D347" t="n">
        <v>15</v>
      </c>
      <c r="E347" t="s">
        <v>354</v>
      </c>
      <c r="F347" t="s"/>
      <c r="G347" t="s"/>
      <c r="H347" t="s"/>
      <c r="I347" t="s"/>
      <c r="J347" t="n">
        <v>0.1477</v>
      </c>
      <c r="K347" t="n">
        <v>0.108</v>
      </c>
      <c r="L347" t="n">
        <v>0.73</v>
      </c>
      <c r="M347" t="n">
        <v>0.163</v>
      </c>
    </row>
    <row r="348" spans="1:13">
      <c r="A348" s="1">
        <f>HYPERLINK("http://www.twitter.com/NathanBLawrence/status/997175890097463297", "997175890097463297")</f>
        <v/>
      </c>
      <c r="B348" s="2" t="n">
        <v>43237.75269675926</v>
      </c>
      <c r="C348" t="n">
        <v>19</v>
      </c>
      <c r="D348" t="n">
        <v>15</v>
      </c>
      <c r="E348" t="s">
        <v>355</v>
      </c>
      <c r="F348" t="s"/>
      <c r="G348" t="s"/>
      <c r="H348" t="s"/>
      <c r="I348" t="s"/>
      <c r="J348" t="n">
        <v>-0.2551</v>
      </c>
      <c r="K348" t="n">
        <v>0.157</v>
      </c>
      <c r="L348" t="n">
        <v>0.715</v>
      </c>
      <c r="M348" t="n">
        <v>0.129</v>
      </c>
    </row>
    <row r="349" spans="1:13">
      <c r="A349" s="1">
        <f>HYPERLINK("http://www.twitter.com/NathanBLawrence/status/997175476518117378", "997175476518117378")</f>
        <v/>
      </c>
      <c r="B349" s="2" t="n">
        <v>43237.75155092592</v>
      </c>
      <c r="C349" t="n">
        <v>0</v>
      </c>
      <c r="D349" t="n">
        <v>7</v>
      </c>
      <c r="E349" t="s">
        <v>356</v>
      </c>
      <c r="F349" t="s"/>
      <c r="G349" t="s"/>
      <c r="H349" t="s"/>
      <c r="I349" t="s"/>
      <c r="J349" t="n">
        <v>0.5688</v>
      </c>
      <c r="K349" t="n">
        <v>0</v>
      </c>
      <c r="L349" t="n">
        <v>0.794</v>
      </c>
      <c r="M349" t="n">
        <v>0.206</v>
      </c>
    </row>
    <row r="350" spans="1:13">
      <c r="A350" s="1">
        <f>HYPERLINK("http://www.twitter.com/NathanBLawrence/status/997175421383925761", "997175421383925761")</f>
        <v/>
      </c>
      <c r="B350" s="2" t="n">
        <v>43237.75140046296</v>
      </c>
      <c r="C350" t="n">
        <v>8</v>
      </c>
      <c r="D350" t="n">
        <v>7</v>
      </c>
      <c r="E350" t="s">
        <v>357</v>
      </c>
      <c r="F350" t="s"/>
      <c r="G350" t="s"/>
      <c r="H350" t="s"/>
      <c r="I350" t="s"/>
      <c r="J350" t="n">
        <v>-0.2551</v>
      </c>
      <c r="K350" t="n">
        <v>0.145</v>
      </c>
      <c r="L350" t="n">
        <v>0.736</v>
      </c>
      <c r="M350" t="n">
        <v>0.119</v>
      </c>
    </row>
    <row r="351" spans="1:13">
      <c r="A351" s="1">
        <f>HYPERLINK("http://www.twitter.com/NathanBLawrence/status/997173655690973185", "997173655690973185")</f>
        <v/>
      </c>
      <c r="B351" s="2" t="n">
        <v>43237.74652777778</v>
      </c>
      <c r="C351" t="n">
        <v>0</v>
      </c>
      <c r="D351" t="n">
        <v>1</v>
      </c>
      <c r="E351" t="s">
        <v>358</v>
      </c>
      <c r="F351" t="s"/>
      <c r="G351" t="s"/>
      <c r="H351" t="s"/>
      <c r="I351" t="s"/>
      <c r="J351" t="n">
        <v>0.4019</v>
      </c>
      <c r="K351" t="n">
        <v>0</v>
      </c>
      <c r="L351" t="n">
        <v>0.722</v>
      </c>
      <c r="M351" t="n">
        <v>0.278</v>
      </c>
    </row>
    <row r="352" spans="1:13">
      <c r="A352" s="1">
        <f>HYPERLINK("http://www.twitter.com/NathanBLawrence/status/997173632823648256", "997173632823648256")</f>
        <v/>
      </c>
      <c r="B352" s="2" t="n">
        <v>43237.7464699074</v>
      </c>
      <c r="C352" t="n">
        <v>0</v>
      </c>
      <c r="D352" t="n">
        <v>1</v>
      </c>
      <c r="E352" t="s">
        <v>359</v>
      </c>
      <c r="F352" t="s"/>
      <c r="G352" t="s"/>
      <c r="H352" t="s"/>
      <c r="I352" t="s"/>
      <c r="J352" t="n">
        <v>0.4019</v>
      </c>
      <c r="K352" t="n">
        <v>0</v>
      </c>
      <c r="L352" t="n">
        <v>0.649</v>
      </c>
      <c r="M352" t="n">
        <v>0.351</v>
      </c>
    </row>
    <row r="353" spans="1:13">
      <c r="A353" s="1">
        <f>HYPERLINK("http://www.twitter.com/NathanBLawrence/status/997172495735193600", "997172495735193600")</f>
        <v/>
      </c>
      <c r="B353" s="2" t="n">
        <v>43237.74333333333</v>
      </c>
      <c r="C353" t="n">
        <v>0</v>
      </c>
      <c r="D353" t="n">
        <v>1</v>
      </c>
      <c r="E353" t="s">
        <v>360</v>
      </c>
      <c r="F353" t="s"/>
      <c r="G353" t="s"/>
      <c r="H353" t="s"/>
      <c r="I353" t="s"/>
      <c r="J353" t="n">
        <v>0.4019</v>
      </c>
      <c r="K353" t="n">
        <v>0</v>
      </c>
      <c r="L353" t="n">
        <v>0.787</v>
      </c>
      <c r="M353" t="n">
        <v>0.213</v>
      </c>
    </row>
    <row r="354" spans="1:13">
      <c r="A354" s="1">
        <f>HYPERLINK("http://www.twitter.com/NathanBLawrence/status/997172466039644161", "997172466039644161")</f>
        <v/>
      </c>
      <c r="B354" s="2" t="n">
        <v>43237.74325231482</v>
      </c>
      <c r="C354" t="n">
        <v>0</v>
      </c>
      <c r="D354" t="n">
        <v>1</v>
      </c>
      <c r="E354" t="s">
        <v>361</v>
      </c>
      <c r="F354" t="s"/>
      <c r="G354" t="s"/>
      <c r="H354" t="s"/>
      <c r="I354" t="s"/>
      <c r="J354" t="n">
        <v>0.4019</v>
      </c>
      <c r="K354" t="n">
        <v>0</v>
      </c>
      <c r="L354" t="n">
        <v>0.748</v>
      </c>
      <c r="M354" t="n">
        <v>0.252</v>
      </c>
    </row>
    <row r="355" spans="1:13">
      <c r="A355" s="1">
        <f>HYPERLINK("http://www.twitter.com/NathanBLawrence/status/997170191942504448", "997170191942504448")</f>
        <v/>
      </c>
      <c r="B355" s="2" t="n">
        <v>43237.73696759259</v>
      </c>
      <c r="C355" t="n">
        <v>0</v>
      </c>
      <c r="D355" t="n">
        <v>3</v>
      </c>
      <c r="E355" t="s">
        <v>362</v>
      </c>
      <c r="F355" t="s"/>
      <c r="G355" t="s"/>
      <c r="H355" t="s"/>
      <c r="I355" t="s"/>
      <c r="J355" t="n">
        <v>0</v>
      </c>
      <c r="K355" t="n">
        <v>0</v>
      </c>
      <c r="L355" t="n">
        <v>1</v>
      </c>
      <c r="M355" t="n">
        <v>0</v>
      </c>
    </row>
    <row r="356" spans="1:13">
      <c r="A356" s="1">
        <f>HYPERLINK("http://www.twitter.com/NathanBLawrence/status/997165675276914688", "997165675276914688")</f>
        <v/>
      </c>
      <c r="B356" s="2" t="n">
        <v>43237.72451388889</v>
      </c>
      <c r="C356" t="n">
        <v>5</v>
      </c>
      <c r="D356" t="n">
        <v>3</v>
      </c>
      <c r="E356" t="s">
        <v>363</v>
      </c>
      <c r="F356" t="s"/>
      <c r="G356" t="s"/>
      <c r="H356" t="s"/>
      <c r="I356" t="s"/>
      <c r="J356" t="n">
        <v>0</v>
      </c>
      <c r="K356" t="n">
        <v>0</v>
      </c>
      <c r="L356" t="n">
        <v>1</v>
      </c>
      <c r="M356" t="n">
        <v>0</v>
      </c>
    </row>
    <row r="357" spans="1:13">
      <c r="A357" s="1">
        <f>HYPERLINK("http://www.twitter.com/NathanBLawrence/status/997153628933668865", "997153628933668865")</f>
        <v/>
      </c>
      <c r="B357" s="2" t="n">
        <v>43237.69127314815</v>
      </c>
      <c r="C357" t="n">
        <v>2</v>
      </c>
      <c r="D357" t="n">
        <v>0</v>
      </c>
      <c r="E357" t="s">
        <v>364</v>
      </c>
      <c r="F357" t="s"/>
      <c r="G357" t="s"/>
      <c r="H357" t="s"/>
      <c r="I357" t="s"/>
      <c r="J357" t="n">
        <v>0</v>
      </c>
      <c r="K357" t="n">
        <v>0</v>
      </c>
      <c r="L357" t="n">
        <v>1</v>
      </c>
      <c r="M357" t="n">
        <v>0</v>
      </c>
    </row>
    <row r="358" spans="1:13">
      <c r="A358" s="1">
        <f>HYPERLINK("http://www.twitter.com/NathanBLawrence/status/997147266451374081", "997147266451374081")</f>
        <v/>
      </c>
      <c r="B358" s="2" t="n">
        <v>43237.67371527778</v>
      </c>
      <c r="C358" t="n">
        <v>0</v>
      </c>
      <c r="D358" t="n">
        <v>13</v>
      </c>
      <c r="E358" t="s">
        <v>365</v>
      </c>
      <c r="F358">
        <f>HYPERLINK("http://pbs.twimg.com/media/DdaUHBUVAAA9WDr.jpg", "http://pbs.twimg.com/media/DdaUHBUVAAA9WDr.jpg")</f>
        <v/>
      </c>
      <c r="G358" t="s"/>
      <c r="H358" t="s"/>
      <c r="I358" t="s"/>
      <c r="J358" t="n">
        <v>0.4019</v>
      </c>
      <c r="K358" t="n">
        <v>0</v>
      </c>
      <c r="L358" t="n">
        <v>0.881</v>
      </c>
      <c r="M358" t="n">
        <v>0.119</v>
      </c>
    </row>
    <row r="359" spans="1:13">
      <c r="A359" s="1">
        <f>HYPERLINK("http://www.twitter.com/NathanBLawrence/status/997147229956669441", "997147229956669441")</f>
        <v/>
      </c>
      <c r="B359" s="2" t="n">
        <v>43237.67361111111</v>
      </c>
      <c r="C359" t="n">
        <v>17</v>
      </c>
      <c r="D359" t="n">
        <v>13</v>
      </c>
      <c r="E359" t="s">
        <v>366</v>
      </c>
      <c r="F359">
        <f>HYPERLINK("http://pbs.twimg.com/media/DdaUHBUVAAA9WDr.jpg", "http://pbs.twimg.com/media/DdaUHBUVAAA9WDr.jpg")</f>
        <v/>
      </c>
      <c r="G359" t="s"/>
      <c r="H359" t="s"/>
      <c r="I359" t="s"/>
      <c r="J359" t="n">
        <v>0.4019</v>
      </c>
      <c r="K359" t="n">
        <v>0</v>
      </c>
      <c r="L359" t="n">
        <v>0.92</v>
      </c>
      <c r="M359" t="n">
        <v>0.08</v>
      </c>
    </row>
    <row r="360" spans="1:13">
      <c r="A360" s="1">
        <f>HYPERLINK("http://www.twitter.com/NathanBLawrence/status/997142950156099585", "997142950156099585")</f>
        <v/>
      </c>
      <c r="B360" s="2" t="n">
        <v>43237.66179398148</v>
      </c>
      <c r="C360" t="n">
        <v>0</v>
      </c>
      <c r="D360" t="n">
        <v>4</v>
      </c>
      <c r="E360" t="s">
        <v>367</v>
      </c>
      <c r="F360" t="s"/>
      <c r="G360" t="s"/>
      <c r="H360" t="s"/>
      <c r="I360" t="s"/>
      <c r="J360" t="n">
        <v>0</v>
      </c>
      <c r="K360" t="n">
        <v>0</v>
      </c>
      <c r="L360" t="n">
        <v>1</v>
      </c>
      <c r="M360" t="n">
        <v>0</v>
      </c>
    </row>
    <row r="361" spans="1:13">
      <c r="A361" s="1">
        <f>HYPERLINK("http://www.twitter.com/NathanBLawrence/status/997121456713666561", "997121456713666561")</f>
        <v/>
      </c>
      <c r="B361" s="2" t="n">
        <v>43237.60248842592</v>
      </c>
      <c r="C361" t="n">
        <v>0</v>
      </c>
      <c r="D361" t="n">
        <v>1</v>
      </c>
      <c r="E361" t="s">
        <v>368</v>
      </c>
      <c r="F361" t="s"/>
      <c r="G361" t="s"/>
      <c r="H361" t="s"/>
      <c r="I361" t="s"/>
      <c r="J361" t="n">
        <v>0</v>
      </c>
      <c r="K361" t="n">
        <v>0</v>
      </c>
      <c r="L361" t="n">
        <v>1</v>
      </c>
      <c r="M361" t="n">
        <v>0</v>
      </c>
    </row>
    <row r="362" spans="1:13">
      <c r="A362" s="1">
        <f>HYPERLINK("http://www.twitter.com/NathanBLawrence/status/997114334194094080", "997114334194094080")</f>
        <v/>
      </c>
      <c r="B362" s="2" t="n">
        <v>43237.58283564815</v>
      </c>
      <c r="C362" t="n">
        <v>0</v>
      </c>
      <c r="D362" t="n">
        <v>9</v>
      </c>
      <c r="E362" t="s">
        <v>369</v>
      </c>
      <c r="F362" t="s"/>
      <c r="G362" t="s"/>
      <c r="H362" t="s"/>
      <c r="I362" t="s"/>
      <c r="J362" t="n">
        <v>0.2081</v>
      </c>
      <c r="K362" t="n">
        <v>0.091</v>
      </c>
      <c r="L362" t="n">
        <v>0.782</v>
      </c>
      <c r="M362" t="n">
        <v>0.127</v>
      </c>
    </row>
    <row r="363" spans="1:13">
      <c r="A363" s="1">
        <f>HYPERLINK("http://www.twitter.com/NathanBLawrence/status/997104358339891200", "997104358339891200")</f>
        <v/>
      </c>
      <c r="B363" s="2" t="n">
        <v>43237.55530092592</v>
      </c>
      <c r="C363" t="n">
        <v>0</v>
      </c>
      <c r="D363" t="n">
        <v>1</v>
      </c>
      <c r="E363" t="s">
        <v>370</v>
      </c>
      <c r="F363">
        <f>HYPERLINK("http://pbs.twimg.com/media/DdZs-F-V4AASzSd.jpg", "http://pbs.twimg.com/media/DdZs-F-V4AASzSd.jpg")</f>
        <v/>
      </c>
      <c r="G363" t="s"/>
      <c r="H363" t="s"/>
      <c r="I363" t="s"/>
      <c r="J363" t="n">
        <v>0</v>
      </c>
      <c r="K363" t="n">
        <v>0</v>
      </c>
      <c r="L363" t="n">
        <v>1</v>
      </c>
      <c r="M363" t="n">
        <v>0</v>
      </c>
    </row>
    <row r="364" spans="1:13">
      <c r="A364" s="1">
        <f>HYPERLINK("http://www.twitter.com/NathanBLawrence/status/997104234779828224", "997104234779828224")</f>
        <v/>
      </c>
      <c r="B364" s="2" t="n">
        <v>43237.55496527778</v>
      </c>
      <c r="C364" t="n">
        <v>0</v>
      </c>
      <c r="D364" t="n">
        <v>1</v>
      </c>
      <c r="E364" t="s">
        <v>371</v>
      </c>
      <c r="F364">
        <f>HYPERLINK("http://pbs.twimg.com/media/DdZs-F-V4AASzSd.jpg", "http://pbs.twimg.com/media/DdZs-F-V4AASzSd.jpg")</f>
        <v/>
      </c>
      <c r="G364" t="s"/>
      <c r="H364" t="s"/>
      <c r="I364" t="s"/>
      <c r="J364" t="n">
        <v>0</v>
      </c>
      <c r="K364" t="n">
        <v>0</v>
      </c>
      <c r="L364" t="n">
        <v>1</v>
      </c>
      <c r="M364" t="n">
        <v>0</v>
      </c>
    </row>
    <row r="365" spans="1:13">
      <c r="A365" s="1">
        <f>HYPERLINK("http://www.twitter.com/NathanBLawrence/status/997096651172057089", "997096651172057089")</f>
        <v/>
      </c>
      <c r="B365" s="2" t="n">
        <v>43237.53403935185</v>
      </c>
      <c r="C365" t="n">
        <v>0</v>
      </c>
      <c r="D365" t="n">
        <v>7</v>
      </c>
      <c r="E365" t="s">
        <v>372</v>
      </c>
      <c r="F365">
        <f>HYPERLINK("http://pbs.twimg.com/media/DdZlNlSWAAIQgm4.jpg", "http://pbs.twimg.com/media/DdZlNlSWAAIQgm4.jpg")</f>
        <v/>
      </c>
      <c r="G365" t="s"/>
      <c r="H365" t="s"/>
      <c r="I365" t="s"/>
      <c r="J365" t="n">
        <v>0</v>
      </c>
      <c r="K365" t="n">
        <v>0</v>
      </c>
      <c r="L365" t="n">
        <v>1</v>
      </c>
      <c r="M365" t="n">
        <v>0</v>
      </c>
    </row>
    <row r="366" spans="1:13">
      <c r="A366" s="1">
        <f>HYPERLINK("http://www.twitter.com/NathanBLawrence/status/997094349858107393", "997094349858107393")</f>
        <v/>
      </c>
      <c r="B366" s="2" t="n">
        <v>43237.52768518519</v>
      </c>
      <c r="C366" t="n">
        <v>0</v>
      </c>
      <c r="D366" t="n">
        <v>10</v>
      </c>
      <c r="E366" t="s">
        <v>373</v>
      </c>
      <c r="F366" t="s"/>
      <c r="G366" t="s"/>
      <c r="H366" t="s"/>
      <c r="I366" t="s"/>
      <c r="J366" t="n">
        <v>-0.34</v>
      </c>
      <c r="K366" t="n">
        <v>0.155</v>
      </c>
      <c r="L366" t="n">
        <v>0.762</v>
      </c>
      <c r="M366" t="n">
        <v>0.082</v>
      </c>
    </row>
    <row r="367" spans="1:13">
      <c r="A367" s="1">
        <f>HYPERLINK("http://www.twitter.com/NathanBLawrence/status/997094243071070208", "997094243071070208")</f>
        <v/>
      </c>
      <c r="B367" s="2" t="n">
        <v>43237.52739583333</v>
      </c>
      <c r="C367" t="n">
        <v>0</v>
      </c>
      <c r="D367" t="n">
        <v>14</v>
      </c>
      <c r="E367" t="s">
        <v>374</v>
      </c>
      <c r="F367" t="s"/>
      <c r="G367" t="s"/>
      <c r="H367" t="s"/>
      <c r="I367" t="s"/>
      <c r="J367" t="n">
        <v>0.4215</v>
      </c>
      <c r="K367" t="n">
        <v>0</v>
      </c>
      <c r="L367" t="n">
        <v>0.877</v>
      </c>
      <c r="M367" t="n">
        <v>0.123</v>
      </c>
    </row>
    <row r="368" spans="1:13">
      <c r="A368" s="1">
        <f>HYPERLINK("http://www.twitter.com/NathanBLawrence/status/997090196972851200", "997090196972851200")</f>
        <v/>
      </c>
      <c r="B368" s="2" t="n">
        <v>43237.51622685185</v>
      </c>
      <c r="C368" t="n">
        <v>0</v>
      </c>
      <c r="D368" t="n">
        <v>1</v>
      </c>
      <c r="E368" t="s">
        <v>375</v>
      </c>
      <c r="F368" t="s"/>
      <c r="G368" t="s"/>
      <c r="H368" t="s"/>
      <c r="I368" t="s"/>
      <c r="J368" t="n">
        <v>0</v>
      </c>
      <c r="K368" t="n">
        <v>0</v>
      </c>
      <c r="L368" t="n">
        <v>1</v>
      </c>
      <c r="M368" t="n">
        <v>0</v>
      </c>
    </row>
    <row r="369" spans="1:13">
      <c r="A369" s="1">
        <f>HYPERLINK("http://www.twitter.com/NathanBLawrence/status/997090082812301312", "997090082812301312")</f>
        <v/>
      </c>
      <c r="B369" s="2" t="n">
        <v>43237.51591435185</v>
      </c>
      <c r="C369" t="n">
        <v>1</v>
      </c>
      <c r="D369" t="n">
        <v>1</v>
      </c>
      <c r="E369" t="s">
        <v>376</v>
      </c>
      <c r="F369" t="s"/>
      <c r="G369" t="s"/>
      <c r="H369" t="s"/>
      <c r="I369" t="s"/>
      <c r="J369" t="n">
        <v>0</v>
      </c>
      <c r="K369" t="n">
        <v>0</v>
      </c>
      <c r="L369" t="n">
        <v>1</v>
      </c>
      <c r="M369" t="n">
        <v>0</v>
      </c>
    </row>
    <row r="370" spans="1:13">
      <c r="A370" s="1">
        <f>HYPERLINK("http://www.twitter.com/NathanBLawrence/status/997060165789736960", "997060165789736960")</f>
        <v/>
      </c>
      <c r="B370" s="2" t="n">
        <v>43237.43335648148</v>
      </c>
      <c r="C370" t="n">
        <v>0</v>
      </c>
      <c r="D370" t="n">
        <v>3</v>
      </c>
      <c r="E370" t="s">
        <v>377</v>
      </c>
      <c r="F370" t="s"/>
      <c r="G370" t="s"/>
      <c r="H370" t="s"/>
      <c r="I370" t="s"/>
      <c r="J370" t="n">
        <v>-0</v>
      </c>
      <c r="K370" t="n">
        <v>0.115</v>
      </c>
      <c r="L370" t="n">
        <v>0.731</v>
      </c>
      <c r="M370" t="n">
        <v>0.154</v>
      </c>
    </row>
    <row r="371" spans="1:13">
      <c r="A371" s="1">
        <f>HYPERLINK("http://www.twitter.com/NathanBLawrence/status/997060152221192192", "997060152221192192")</f>
        <v/>
      </c>
      <c r="B371" s="2" t="n">
        <v>43237.43332175926</v>
      </c>
      <c r="C371" t="n">
        <v>0</v>
      </c>
      <c r="D371" t="n">
        <v>6</v>
      </c>
      <c r="E371" t="s">
        <v>378</v>
      </c>
      <c r="F371" t="s"/>
      <c r="G371" t="s"/>
      <c r="H371" t="s"/>
      <c r="I371" t="s"/>
      <c r="J371" t="n">
        <v>-0.296</v>
      </c>
      <c r="K371" t="n">
        <v>0.203</v>
      </c>
      <c r="L371" t="n">
        <v>0.6899999999999999</v>
      </c>
      <c r="M371" t="n">
        <v>0.108</v>
      </c>
    </row>
    <row r="372" spans="1:13">
      <c r="A372" s="1">
        <f>HYPERLINK("http://www.twitter.com/NathanBLawrence/status/996945088432558080", "996945088432558080")</f>
        <v/>
      </c>
      <c r="B372" s="2" t="n">
        <v>43237.11581018518</v>
      </c>
      <c r="C372" t="n">
        <v>0</v>
      </c>
      <c r="D372" t="n">
        <v>5</v>
      </c>
      <c r="E372" t="s">
        <v>379</v>
      </c>
      <c r="F372" t="s"/>
      <c r="G372" t="s"/>
      <c r="H372" t="s"/>
      <c r="I372" t="s"/>
      <c r="J372" t="n">
        <v>0</v>
      </c>
      <c r="K372" t="n">
        <v>0</v>
      </c>
      <c r="L372" t="n">
        <v>1</v>
      </c>
      <c r="M372" t="n">
        <v>0</v>
      </c>
    </row>
    <row r="373" spans="1:13">
      <c r="A373" s="1">
        <f>HYPERLINK("http://www.twitter.com/NathanBLawrence/status/996945067872055296", "996945067872055296")</f>
        <v/>
      </c>
      <c r="B373" s="2" t="n">
        <v>43237.11575231481</v>
      </c>
      <c r="C373" t="n">
        <v>18</v>
      </c>
      <c r="D373" t="n">
        <v>5</v>
      </c>
      <c r="E373" t="s">
        <v>380</v>
      </c>
      <c r="F373" t="s"/>
      <c r="G373" t="s"/>
      <c r="H373" t="s"/>
      <c r="I373" t="s"/>
      <c r="J373" t="n">
        <v>-0.8270999999999999</v>
      </c>
      <c r="K373" t="n">
        <v>0.195</v>
      </c>
      <c r="L373" t="n">
        <v>0.805</v>
      </c>
      <c r="M373" t="n">
        <v>0</v>
      </c>
    </row>
    <row r="374" spans="1:13">
      <c r="A374" s="1">
        <f>HYPERLINK("http://www.twitter.com/NathanBLawrence/status/996938259593945088", "996938259593945088")</f>
        <v/>
      </c>
      <c r="B374" s="2" t="n">
        <v>43237.09695601852</v>
      </c>
      <c r="C374" t="n">
        <v>0</v>
      </c>
      <c r="D374" t="n">
        <v>3</v>
      </c>
      <c r="E374" t="s">
        <v>381</v>
      </c>
      <c r="F374" t="s"/>
      <c r="G374" t="s"/>
      <c r="H374" t="s"/>
      <c r="I374" t="s"/>
      <c r="J374" t="n">
        <v>0.3612</v>
      </c>
      <c r="K374" t="n">
        <v>0</v>
      </c>
      <c r="L374" t="n">
        <v>0.898</v>
      </c>
      <c r="M374" t="n">
        <v>0.102</v>
      </c>
    </row>
    <row r="375" spans="1:13">
      <c r="A375" s="1">
        <f>HYPERLINK("http://www.twitter.com/NathanBLawrence/status/996932779400155137", "996932779400155137")</f>
        <v/>
      </c>
      <c r="B375" s="2" t="n">
        <v>43237.08184027778</v>
      </c>
      <c r="C375" t="n">
        <v>0</v>
      </c>
      <c r="D375" t="n">
        <v>1</v>
      </c>
      <c r="E375" t="s">
        <v>382</v>
      </c>
      <c r="F375" t="s"/>
      <c r="G375" t="s"/>
      <c r="H375" t="s"/>
      <c r="I375" t="s"/>
      <c r="J375" t="n">
        <v>0</v>
      </c>
      <c r="K375" t="n">
        <v>0</v>
      </c>
      <c r="L375" t="n">
        <v>1</v>
      </c>
      <c r="M375" t="n">
        <v>0</v>
      </c>
    </row>
    <row r="376" spans="1:13">
      <c r="A376" s="1">
        <f>HYPERLINK("http://www.twitter.com/NathanBLawrence/status/996921998570872834", "996921998570872834")</f>
        <v/>
      </c>
      <c r="B376" s="2" t="n">
        <v>43237.05209490741</v>
      </c>
      <c r="C376" t="n">
        <v>0</v>
      </c>
      <c r="D376" t="n">
        <v>8</v>
      </c>
      <c r="E376" t="s">
        <v>383</v>
      </c>
      <c r="F376" t="s"/>
      <c r="G376" t="s"/>
      <c r="H376" t="s"/>
      <c r="I376" t="s"/>
      <c r="J376" t="n">
        <v>0</v>
      </c>
      <c r="K376" t="n">
        <v>0</v>
      </c>
      <c r="L376" t="n">
        <v>1</v>
      </c>
      <c r="M376" t="n">
        <v>0</v>
      </c>
    </row>
    <row r="377" spans="1:13">
      <c r="A377" s="1">
        <f>HYPERLINK("http://www.twitter.com/NathanBLawrence/status/996921949556178945", "996921949556178945")</f>
        <v/>
      </c>
      <c r="B377" s="2" t="n">
        <v>43237.05195601852</v>
      </c>
      <c r="C377" t="n">
        <v>8</v>
      </c>
      <c r="D377" t="n">
        <v>8</v>
      </c>
      <c r="E377" t="s">
        <v>384</v>
      </c>
      <c r="F377" t="s"/>
      <c r="G377" t="s"/>
      <c r="H377" t="s"/>
      <c r="I377" t="s"/>
      <c r="J377" t="n">
        <v>0</v>
      </c>
      <c r="K377" t="n">
        <v>0</v>
      </c>
      <c r="L377" t="n">
        <v>1</v>
      </c>
      <c r="M377" t="n">
        <v>0</v>
      </c>
    </row>
    <row r="378" spans="1:13">
      <c r="A378" s="1">
        <f>HYPERLINK("http://www.twitter.com/NathanBLawrence/status/996921333601759232", "996921333601759232")</f>
        <v/>
      </c>
      <c r="B378" s="2" t="n">
        <v>43237.05025462963</v>
      </c>
      <c r="C378" t="n">
        <v>0</v>
      </c>
      <c r="D378" t="n">
        <v>1</v>
      </c>
      <c r="E378" t="s">
        <v>385</v>
      </c>
      <c r="F378" t="s"/>
      <c r="G378" t="s"/>
      <c r="H378" t="s"/>
      <c r="I378" t="s"/>
      <c r="J378" t="n">
        <v>0.6808</v>
      </c>
      <c r="K378" t="n">
        <v>0</v>
      </c>
      <c r="L378" t="n">
        <v>0.772</v>
      </c>
      <c r="M378" t="n">
        <v>0.228</v>
      </c>
    </row>
    <row r="379" spans="1:13">
      <c r="A379" s="1">
        <f>HYPERLINK("http://www.twitter.com/NathanBLawrence/status/996921260419448832", "996921260419448832")</f>
        <v/>
      </c>
      <c r="B379" s="2" t="n">
        <v>43237.05005787037</v>
      </c>
      <c r="C379" t="n">
        <v>0</v>
      </c>
      <c r="D379" t="n">
        <v>1</v>
      </c>
      <c r="E379" t="s">
        <v>386</v>
      </c>
      <c r="F379" t="s"/>
      <c r="G379" t="s"/>
      <c r="H379" t="s"/>
      <c r="I379" t="s"/>
      <c r="J379" t="n">
        <v>0.6808</v>
      </c>
      <c r="K379" t="n">
        <v>0</v>
      </c>
      <c r="L379" t="n">
        <v>0.828</v>
      </c>
      <c r="M379" t="n">
        <v>0.172</v>
      </c>
    </row>
    <row r="380" spans="1:13">
      <c r="A380" s="1">
        <f>HYPERLINK("http://www.twitter.com/NathanBLawrence/status/996895697281699840", "996895697281699840")</f>
        <v/>
      </c>
      <c r="B380" s="2" t="n">
        <v>43236.97951388889</v>
      </c>
      <c r="C380" t="n">
        <v>0</v>
      </c>
      <c r="D380" t="n">
        <v>2</v>
      </c>
      <c r="E380" t="s">
        <v>387</v>
      </c>
      <c r="F380" t="s"/>
      <c r="G380" t="s"/>
      <c r="H380" t="s"/>
      <c r="I380" t="s"/>
      <c r="J380" t="n">
        <v>0.1531</v>
      </c>
      <c r="K380" t="n">
        <v>0</v>
      </c>
      <c r="L380" t="n">
        <v>0.926</v>
      </c>
      <c r="M380" t="n">
        <v>0.074</v>
      </c>
    </row>
    <row r="381" spans="1:13">
      <c r="A381" s="1">
        <f>HYPERLINK("http://www.twitter.com/NathanBLawrence/status/996895089002795009", "996895089002795009")</f>
        <v/>
      </c>
      <c r="B381" s="2" t="n">
        <v>43236.97783564815</v>
      </c>
      <c r="C381" t="n">
        <v>2</v>
      </c>
      <c r="D381" t="n">
        <v>2</v>
      </c>
      <c r="E381" t="s">
        <v>388</v>
      </c>
      <c r="F381" t="s"/>
      <c r="G381" t="s"/>
      <c r="H381" t="s"/>
      <c r="I381" t="s"/>
      <c r="J381" t="n">
        <v>-0.296</v>
      </c>
      <c r="K381" t="n">
        <v>0.089</v>
      </c>
      <c r="L381" t="n">
        <v>0.86</v>
      </c>
      <c r="M381" t="n">
        <v>0.051</v>
      </c>
    </row>
    <row r="382" spans="1:13">
      <c r="A382" s="1">
        <f>HYPERLINK("http://www.twitter.com/NathanBLawrence/status/996894396481265665", "996894396481265665")</f>
        <v/>
      </c>
      <c r="B382" s="2" t="n">
        <v>43236.97592592592</v>
      </c>
      <c r="C382" t="n">
        <v>0</v>
      </c>
      <c r="D382" t="n">
        <v>0</v>
      </c>
      <c r="E382" t="s">
        <v>389</v>
      </c>
      <c r="F382" t="s"/>
      <c r="G382" t="s"/>
      <c r="H382" t="s"/>
      <c r="I382" t="s"/>
      <c r="J382" t="n">
        <v>-0.4939</v>
      </c>
      <c r="K382" t="n">
        <v>0.158</v>
      </c>
      <c r="L382" t="n">
        <v>0.842</v>
      </c>
      <c r="M382" t="n">
        <v>0</v>
      </c>
    </row>
    <row r="383" spans="1:13">
      <c r="A383" s="1">
        <f>HYPERLINK("http://www.twitter.com/NathanBLawrence/status/996886870230519808", "996886870230519808")</f>
        <v/>
      </c>
      <c r="B383" s="2" t="n">
        <v>43236.95515046296</v>
      </c>
      <c r="C383" t="n">
        <v>0</v>
      </c>
      <c r="D383" t="n">
        <v>0</v>
      </c>
      <c r="E383" t="s">
        <v>390</v>
      </c>
      <c r="F383" t="s"/>
      <c r="G383" t="s"/>
      <c r="H383" t="s"/>
      <c r="I383" t="s"/>
      <c r="J383" t="n">
        <v>0.4199</v>
      </c>
      <c r="K383" t="n">
        <v>0</v>
      </c>
      <c r="L383" t="n">
        <v>0.834</v>
      </c>
      <c r="M383" t="n">
        <v>0.166</v>
      </c>
    </row>
    <row r="384" spans="1:13">
      <c r="A384" s="1">
        <f>HYPERLINK("http://www.twitter.com/NathanBLawrence/status/996885843494174721", "996885843494174721")</f>
        <v/>
      </c>
      <c r="B384" s="2" t="n">
        <v>43236.95231481481</v>
      </c>
      <c r="C384" t="n">
        <v>0</v>
      </c>
      <c r="D384" t="n">
        <v>1</v>
      </c>
      <c r="E384" t="s">
        <v>391</v>
      </c>
      <c r="F384" t="s"/>
      <c r="G384" t="s"/>
      <c r="H384" t="s"/>
      <c r="I384" t="s"/>
      <c r="J384" t="n">
        <v>0</v>
      </c>
      <c r="K384" t="n">
        <v>0</v>
      </c>
      <c r="L384" t="n">
        <v>1</v>
      </c>
      <c r="M384" t="n">
        <v>0</v>
      </c>
    </row>
    <row r="385" spans="1:13">
      <c r="A385" s="1">
        <f>HYPERLINK("http://www.twitter.com/NathanBLawrence/status/996885834493243392", "996885834493243392")</f>
        <v/>
      </c>
      <c r="B385" s="2" t="n">
        <v>43236.95229166667</v>
      </c>
      <c r="C385" t="n">
        <v>0</v>
      </c>
      <c r="D385" t="n">
        <v>1</v>
      </c>
      <c r="E385" t="s">
        <v>392</v>
      </c>
      <c r="F385" t="s"/>
      <c r="G385" t="s"/>
      <c r="H385" t="s"/>
      <c r="I385" t="s"/>
      <c r="J385" t="n">
        <v>0.5859</v>
      </c>
      <c r="K385" t="n">
        <v>0</v>
      </c>
      <c r="L385" t="n">
        <v>0.821</v>
      </c>
      <c r="M385" t="n">
        <v>0.179</v>
      </c>
    </row>
    <row r="386" spans="1:13">
      <c r="A386" s="1">
        <f>HYPERLINK("http://www.twitter.com/NathanBLawrence/status/996885785075945484", "996885785075945484")</f>
        <v/>
      </c>
      <c r="B386" s="2" t="n">
        <v>43236.95216435185</v>
      </c>
      <c r="C386" t="n">
        <v>4</v>
      </c>
      <c r="D386" t="n">
        <v>1</v>
      </c>
      <c r="E386" t="s">
        <v>393</v>
      </c>
      <c r="F386" t="s"/>
      <c r="G386" t="s"/>
      <c r="H386" t="s"/>
      <c r="I386" t="s"/>
      <c r="J386" t="n">
        <v>0.1531</v>
      </c>
      <c r="K386" t="n">
        <v>0.045</v>
      </c>
      <c r="L386" t="n">
        <v>0.898</v>
      </c>
      <c r="M386" t="n">
        <v>0.057</v>
      </c>
    </row>
    <row r="387" spans="1:13">
      <c r="A387" s="1">
        <f>HYPERLINK("http://www.twitter.com/NathanBLawrence/status/996885404853948417", "996885404853948417")</f>
        <v/>
      </c>
      <c r="B387" s="2" t="n">
        <v>43236.95111111111</v>
      </c>
      <c r="C387" t="n">
        <v>4</v>
      </c>
      <c r="D387" t="n">
        <v>1</v>
      </c>
      <c r="E387" t="s">
        <v>394</v>
      </c>
      <c r="F387" t="s"/>
      <c r="G387" t="s"/>
      <c r="H387" t="s"/>
      <c r="I387" t="s"/>
      <c r="J387" t="n">
        <v>0.5859</v>
      </c>
      <c r="K387" t="n">
        <v>0</v>
      </c>
      <c r="L387" t="n">
        <v>0.897</v>
      </c>
      <c r="M387" t="n">
        <v>0.103</v>
      </c>
    </row>
    <row r="388" spans="1:13">
      <c r="A388" s="1">
        <f>HYPERLINK("http://www.twitter.com/NathanBLawrence/status/996883837723594752", "996883837723594752")</f>
        <v/>
      </c>
      <c r="B388" s="2" t="n">
        <v>43236.94678240741</v>
      </c>
      <c r="C388" t="n">
        <v>0</v>
      </c>
      <c r="D388" t="n">
        <v>1</v>
      </c>
      <c r="E388" t="s">
        <v>395</v>
      </c>
      <c r="F388" t="s"/>
      <c r="G388" t="s"/>
      <c r="H388" t="s"/>
      <c r="I388" t="s"/>
      <c r="J388" t="n">
        <v>0.2003</v>
      </c>
      <c r="K388" t="n">
        <v>0</v>
      </c>
      <c r="L388" t="n">
        <v>0.796</v>
      </c>
      <c r="M388" t="n">
        <v>0.204</v>
      </c>
    </row>
    <row r="389" spans="1:13">
      <c r="A389" s="1">
        <f>HYPERLINK("http://www.twitter.com/NathanBLawrence/status/996883154052046848", "996883154052046848")</f>
        <v/>
      </c>
      <c r="B389" s="2" t="n">
        <v>43236.94489583333</v>
      </c>
      <c r="C389" t="n">
        <v>3</v>
      </c>
      <c r="D389" t="n">
        <v>1</v>
      </c>
      <c r="E389" t="s">
        <v>396</v>
      </c>
      <c r="F389" t="s"/>
      <c r="G389" t="s"/>
      <c r="H389" t="s"/>
      <c r="I389" t="s"/>
      <c r="J389" t="n">
        <v>0.2003</v>
      </c>
      <c r="K389" t="n">
        <v>0</v>
      </c>
      <c r="L389" t="n">
        <v>0.736</v>
      </c>
      <c r="M389" t="n">
        <v>0.264</v>
      </c>
    </row>
    <row r="390" spans="1:13">
      <c r="A390" s="1">
        <f>HYPERLINK("http://www.twitter.com/NathanBLawrence/status/996872461076529152", "996872461076529152")</f>
        <v/>
      </c>
      <c r="B390" s="2" t="n">
        <v>43236.91539351852</v>
      </c>
      <c r="C390" t="n">
        <v>0</v>
      </c>
      <c r="D390" t="n">
        <v>2</v>
      </c>
      <c r="E390" t="s">
        <v>397</v>
      </c>
      <c r="F390" t="s"/>
      <c r="G390" t="s"/>
      <c r="H390" t="s"/>
      <c r="I390" t="s"/>
      <c r="J390" t="n">
        <v>-0.5106000000000001</v>
      </c>
      <c r="K390" t="n">
        <v>0.13</v>
      </c>
      <c r="L390" t="n">
        <v>0.87</v>
      </c>
      <c r="M390" t="n">
        <v>0</v>
      </c>
    </row>
    <row r="391" spans="1:13">
      <c r="A391" s="1">
        <f>HYPERLINK("http://www.twitter.com/NathanBLawrence/status/996872406068318208", "996872406068318208")</f>
        <v/>
      </c>
      <c r="B391" s="2" t="n">
        <v>43236.91524305556</v>
      </c>
      <c r="C391" t="n">
        <v>2</v>
      </c>
      <c r="D391" t="n">
        <v>2</v>
      </c>
      <c r="E391" t="s">
        <v>398</v>
      </c>
      <c r="F391" t="s"/>
      <c r="G391" t="s"/>
      <c r="H391" t="s"/>
      <c r="I391" t="s"/>
      <c r="J391" t="n">
        <v>-0.5106000000000001</v>
      </c>
      <c r="K391" t="n">
        <v>0.099</v>
      </c>
      <c r="L391" t="n">
        <v>0.901</v>
      </c>
      <c r="M391" t="n">
        <v>0</v>
      </c>
    </row>
    <row r="392" spans="1:13">
      <c r="A392" s="1">
        <f>HYPERLINK("http://www.twitter.com/NathanBLawrence/status/996870812648005632", "996870812648005632")</f>
        <v/>
      </c>
      <c r="B392" s="2" t="n">
        <v>43236.9108449074</v>
      </c>
      <c r="C392" t="n">
        <v>0</v>
      </c>
      <c r="D392" t="n">
        <v>3</v>
      </c>
      <c r="E392" t="s">
        <v>399</v>
      </c>
      <c r="F392" t="s"/>
      <c r="G392" t="s"/>
      <c r="H392" t="s"/>
      <c r="I392" t="s"/>
      <c r="J392" t="n">
        <v>0</v>
      </c>
      <c r="K392" t="n">
        <v>0</v>
      </c>
      <c r="L392" t="n">
        <v>1</v>
      </c>
      <c r="M392" t="n">
        <v>0</v>
      </c>
    </row>
    <row r="393" spans="1:13">
      <c r="A393" s="1">
        <f>HYPERLINK("http://www.twitter.com/NathanBLawrence/status/996870577733427202", "996870577733427202")</f>
        <v/>
      </c>
      <c r="B393" s="2" t="n">
        <v>43236.91019675926</v>
      </c>
      <c r="C393" t="n">
        <v>3</v>
      </c>
      <c r="D393" t="n">
        <v>3</v>
      </c>
      <c r="E393" t="s">
        <v>400</v>
      </c>
      <c r="F393" t="s"/>
      <c r="G393" t="s"/>
      <c r="H393" t="s"/>
      <c r="I393" t="s"/>
      <c r="J393" t="n">
        <v>0.0516</v>
      </c>
      <c r="K393" t="n">
        <v>0.09</v>
      </c>
      <c r="L393" t="n">
        <v>0.8120000000000001</v>
      </c>
      <c r="M393" t="n">
        <v>0.098</v>
      </c>
    </row>
    <row r="394" spans="1:13">
      <c r="A394" s="1">
        <f>HYPERLINK("http://www.twitter.com/NathanBLawrence/status/996863111238909956", "996863111238909956")</f>
        <v/>
      </c>
      <c r="B394" s="2" t="n">
        <v>43236.88959490741</v>
      </c>
      <c r="C394" t="n">
        <v>0</v>
      </c>
      <c r="D394" t="n">
        <v>5</v>
      </c>
      <c r="E394" t="s">
        <v>401</v>
      </c>
      <c r="F394" t="s"/>
      <c r="G394" t="s"/>
      <c r="H394" t="s"/>
      <c r="I394" t="s"/>
      <c r="J394" t="n">
        <v>0</v>
      </c>
      <c r="K394" t="n">
        <v>0</v>
      </c>
      <c r="L394" t="n">
        <v>1</v>
      </c>
      <c r="M394" t="n">
        <v>0</v>
      </c>
    </row>
    <row r="395" spans="1:13">
      <c r="A395" s="1">
        <f>HYPERLINK("http://www.twitter.com/NathanBLawrence/status/996863073809063936", "996863073809063936")</f>
        <v/>
      </c>
      <c r="B395" s="2" t="n">
        <v>43236.88949074074</v>
      </c>
      <c r="C395" t="n">
        <v>10</v>
      </c>
      <c r="D395" t="n">
        <v>5</v>
      </c>
      <c r="E395" t="s">
        <v>402</v>
      </c>
      <c r="F395" t="s"/>
      <c r="G395" t="s"/>
      <c r="H395" t="s"/>
      <c r="I395" t="s"/>
      <c r="J395" t="n">
        <v>0.2732</v>
      </c>
      <c r="K395" t="n">
        <v>0</v>
      </c>
      <c r="L395" t="n">
        <v>0.923</v>
      </c>
      <c r="M395" t="n">
        <v>0.077</v>
      </c>
    </row>
    <row r="396" spans="1:13">
      <c r="A396" s="1">
        <f>HYPERLINK("http://www.twitter.com/NathanBLawrence/status/996848360563888128", "996848360563888128")</f>
        <v/>
      </c>
      <c r="B396" s="2" t="n">
        <v>43236.84888888889</v>
      </c>
      <c r="C396" t="n">
        <v>0</v>
      </c>
      <c r="D396" t="n">
        <v>2</v>
      </c>
      <c r="E396" t="s">
        <v>403</v>
      </c>
      <c r="F396" t="s"/>
      <c r="G396" t="s"/>
      <c r="H396" t="s"/>
      <c r="I396" t="s"/>
      <c r="J396" t="n">
        <v>-0.3009</v>
      </c>
      <c r="K396" t="n">
        <v>0.133</v>
      </c>
      <c r="L396" t="n">
        <v>0.867</v>
      </c>
      <c r="M396" t="n">
        <v>0</v>
      </c>
    </row>
    <row r="397" spans="1:13">
      <c r="A397" s="1">
        <f>HYPERLINK("http://www.twitter.com/NathanBLawrence/status/996820542492684290", "996820542492684290")</f>
        <v/>
      </c>
      <c r="B397" s="2" t="n">
        <v>43236.77212962963</v>
      </c>
      <c r="C397" t="n">
        <v>0</v>
      </c>
      <c r="D397" t="n">
        <v>9</v>
      </c>
      <c r="E397" t="s">
        <v>404</v>
      </c>
      <c r="F397" t="s"/>
      <c r="G397" t="s"/>
      <c r="H397" t="s"/>
      <c r="I397" t="s"/>
      <c r="J397" t="n">
        <v>0</v>
      </c>
      <c r="K397" t="n">
        <v>0</v>
      </c>
      <c r="L397" t="n">
        <v>1</v>
      </c>
      <c r="M397" t="n">
        <v>0</v>
      </c>
    </row>
    <row r="398" spans="1:13">
      <c r="A398" s="1">
        <f>HYPERLINK("http://www.twitter.com/NathanBLawrence/status/996812791158919169", "996812791158919169")</f>
        <v/>
      </c>
      <c r="B398" s="2" t="n">
        <v>43236.75072916667</v>
      </c>
      <c r="C398" t="n">
        <v>0</v>
      </c>
      <c r="D398" t="n">
        <v>2</v>
      </c>
      <c r="E398" t="s">
        <v>405</v>
      </c>
      <c r="F398" t="s"/>
      <c r="G398" t="s"/>
      <c r="H398" t="s"/>
      <c r="I398" t="s"/>
      <c r="J398" t="n">
        <v>0.0772</v>
      </c>
      <c r="K398" t="n">
        <v>0</v>
      </c>
      <c r="L398" t="n">
        <v>0.9360000000000001</v>
      </c>
      <c r="M398" t="n">
        <v>0.064</v>
      </c>
    </row>
    <row r="399" spans="1:13">
      <c r="A399" s="1">
        <f>HYPERLINK("http://www.twitter.com/NathanBLawrence/status/996812579820527618", "996812579820527618")</f>
        <v/>
      </c>
      <c r="B399" s="2" t="n">
        <v>43236.75015046296</v>
      </c>
      <c r="C399" t="n">
        <v>0</v>
      </c>
      <c r="D399" t="n">
        <v>1</v>
      </c>
      <c r="E399" t="s">
        <v>406</v>
      </c>
      <c r="F399" t="s"/>
      <c r="G399" t="s"/>
      <c r="H399" t="s"/>
      <c r="I399" t="s"/>
      <c r="J399" t="n">
        <v>0.3612</v>
      </c>
      <c r="K399" t="n">
        <v>0</v>
      </c>
      <c r="L399" t="n">
        <v>0.615</v>
      </c>
      <c r="M399" t="n">
        <v>0.385</v>
      </c>
    </row>
    <row r="400" spans="1:13">
      <c r="A400" s="1">
        <f>HYPERLINK("http://www.twitter.com/NathanBLawrence/status/996806026413428736", "996806026413428736")</f>
        <v/>
      </c>
      <c r="B400" s="2" t="n">
        <v>43236.73207175926</v>
      </c>
      <c r="C400" t="n">
        <v>0</v>
      </c>
      <c r="D400" t="n">
        <v>6</v>
      </c>
      <c r="E400" t="s">
        <v>407</v>
      </c>
      <c r="F400" t="s"/>
      <c r="G400" t="s"/>
      <c r="H400" t="s"/>
      <c r="I400" t="s"/>
      <c r="J400" t="n">
        <v>0</v>
      </c>
      <c r="K400" t="n">
        <v>0</v>
      </c>
      <c r="L400" t="n">
        <v>1</v>
      </c>
      <c r="M400" t="n">
        <v>0</v>
      </c>
    </row>
    <row r="401" spans="1:13">
      <c r="A401" s="1">
        <f>HYPERLINK("http://www.twitter.com/NathanBLawrence/status/996764414178185217", "996764414178185217")</f>
        <v/>
      </c>
      <c r="B401" s="2" t="n">
        <v>43236.6172337963</v>
      </c>
      <c r="C401" t="n">
        <v>0</v>
      </c>
      <c r="D401" t="n">
        <v>2</v>
      </c>
      <c r="E401" t="s">
        <v>408</v>
      </c>
      <c r="F401">
        <f>HYPERLINK("http://pbs.twimg.com/media/DdU3dvoUwAAt-rM.jpg", "http://pbs.twimg.com/media/DdU3dvoUwAAt-rM.jpg")</f>
        <v/>
      </c>
      <c r="G401" t="s"/>
      <c r="H401" t="s"/>
      <c r="I401" t="s"/>
      <c r="J401" t="n">
        <v>0</v>
      </c>
      <c r="K401" t="n">
        <v>0</v>
      </c>
      <c r="L401" t="n">
        <v>1</v>
      </c>
      <c r="M401" t="n">
        <v>0</v>
      </c>
    </row>
    <row r="402" spans="1:13">
      <c r="A402" s="1">
        <f>HYPERLINK("http://www.twitter.com/NathanBLawrence/status/996753874718408705", "996753874718408705")</f>
        <v/>
      </c>
      <c r="B402" s="2" t="n">
        <v>43236.58815972223</v>
      </c>
      <c r="C402" t="n">
        <v>0</v>
      </c>
      <c r="D402" t="n">
        <v>4</v>
      </c>
      <c r="E402" t="s">
        <v>409</v>
      </c>
      <c r="F402" t="s"/>
      <c r="G402" t="s"/>
      <c r="H402" t="s"/>
      <c r="I402" t="s"/>
      <c r="J402" t="n">
        <v>-0.7096</v>
      </c>
      <c r="K402" t="n">
        <v>0.247</v>
      </c>
      <c r="L402" t="n">
        <v>0.753</v>
      </c>
      <c r="M402" t="n">
        <v>0</v>
      </c>
    </row>
    <row r="403" spans="1:13">
      <c r="A403" s="1">
        <f>HYPERLINK("http://www.twitter.com/NathanBLawrence/status/996753804547821569", "996753804547821569")</f>
        <v/>
      </c>
      <c r="B403" s="2" t="n">
        <v>43236.58796296296</v>
      </c>
      <c r="C403" t="n">
        <v>3</v>
      </c>
      <c r="D403" t="n">
        <v>4</v>
      </c>
      <c r="E403" t="s">
        <v>410</v>
      </c>
      <c r="F403" t="s"/>
      <c r="G403" t="s"/>
      <c r="H403" t="s"/>
      <c r="I403" t="s"/>
      <c r="J403" t="n">
        <v>-0.5859</v>
      </c>
      <c r="K403" t="n">
        <v>0.151</v>
      </c>
      <c r="L403" t="n">
        <v>0.795</v>
      </c>
      <c r="M403" t="n">
        <v>0.054</v>
      </c>
    </row>
    <row r="404" spans="1:13">
      <c r="A404" s="1">
        <f>HYPERLINK("http://www.twitter.com/NathanBLawrence/status/996750206933880839", "996750206933880839")</f>
        <v/>
      </c>
      <c r="B404" s="2" t="n">
        <v>43236.57803240741</v>
      </c>
      <c r="C404" t="n">
        <v>0</v>
      </c>
      <c r="D404" t="n">
        <v>5</v>
      </c>
      <c r="E404" t="s">
        <v>411</v>
      </c>
      <c r="F404" t="s"/>
      <c r="G404" t="s"/>
      <c r="H404" t="s"/>
      <c r="I404" t="s"/>
      <c r="J404" t="n">
        <v>-0.4019</v>
      </c>
      <c r="K404" t="n">
        <v>0.119</v>
      </c>
      <c r="L404" t="n">
        <v>0.881</v>
      </c>
      <c r="M404" t="n">
        <v>0</v>
      </c>
    </row>
    <row r="405" spans="1:13">
      <c r="A405" s="1">
        <f>HYPERLINK("http://www.twitter.com/NathanBLawrence/status/996750174369312768", "996750174369312768")</f>
        <v/>
      </c>
      <c r="B405" s="2" t="n">
        <v>43236.57793981482</v>
      </c>
      <c r="C405" t="n">
        <v>4</v>
      </c>
      <c r="D405" t="n">
        <v>5</v>
      </c>
      <c r="E405" t="s">
        <v>412</v>
      </c>
      <c r="F405" t="s"/>
      <c r="G405" t="s"/>
      <c r="H405" t="s"/>
      <c r="I405" t="s"/>
      <c r="J405" t="n">
        <v>-0.4019</v>
      </c>
      <c r="K405" t="n">
        <v>0.065</v>
      </c>
      <c r="L405" t="n">
        <v>0.9350000000000001</v>
      </c>
      <c r="M405" t="n">
        <v>0</v>
      </c>
    </row>
    <row r="406" spans="1:13">
      <c r="A406" s="1">
        <f>HYPERLINK("http://www.twitter.com/NathanBLawrence/status/996745453487181824", "996745453487181824")</f>
        <v/>
      </c>
      <c r="B406" s="2" t="n">
        <v>43236.56491898148</v>
      </c>
      <c r="C406" t="n">
        <v>0</v>
      </c>
      <c r="D406" t="n">
        <v>6</v>
      </c>
      <c r="E406" t="s">
        <v>413</v>
      </c>
      <c r="F406" t="s"/>
      <c r="G406" t="s"/>
      <c r="H406" t="s"/>
      <c r="I406" t="s"/>
      <c r="J406" t="n">
        <v>-0.296</v>
      </c>
      <c r="K406" t="n">
        <v>0.196</v>
      </c>
      <c r="L406" t="n">
        <v>0.804</v>
      </c>
      <c r="M406" t="n">
        <v>0</v>
      </c>
    </row>
    <row r="407" spans="1:13">
      <c r="A407" s="1">
        <f>HYPERLINK("http://www.twitter.com/NathanBLawrence/status/996715669080047616", "996715669080047616")</f>
        <v/>
      </c>
      <c r="B407" s="2" t="n">
        <v>43236.48273148148</v>
      </c>
      <c r="C407" t="n">
        <v>0</v>
      </c>
      <c r="D407" t="n">
        <v>10</v>
      </c>
      <c r="E407" t="s">
        <v>414</v>
      </c>
      <c r="F407" t="s"/>
      <c r="G407" t="s"/>
      <c r="H407" t="s"/>
      <c r="I407" t="s"/>
      <c r="J407" t="n">
        <v>-0.4588</v>
      </c>
      <c r="K407" t="n">
        <v>0.211</v>
      </c>
      <c r="L407" t="n">
        <v>0.789</v>
      </c>
      <c r="M407" t="n">
        <v>0</v>
      </c>
    </row>
    <row r="408" spans="1:13">
      <c r="A408" s="1">
        <f>HYPERLINK("http://www.twitter.com/NathanBLawrence/status/996606395968606209", "996606395968606209")</f>
        <v/>
      </c>
      <c r="B408" s="2" t="n">
        <v>43236.18119212963</v>
      </c>
      <c r="C408" t="n">
        <v>0</v>
      </c>
      <c r="D408" t="n">
        <v>16</v>
      </c>
      <c r="E408" t="s">
        <v>415</v>
      </c>
      <c r="F408" t="s"/>
      <c r="G408" t="s"/>
      <c r="H408" t="s"/>
      <c r="I408" t="s"/>
      <c r="J408" t="n">
        <v>0</v>
      </c>
      <c r="K408" t="n">
        <v>0</v>
      </c>
      <c r="L408" t="n">
        <v>1</v>
      </c>
      <c r="M408" t="n">
        <v>0</v>
      </c>
    </row>
    <row r="409" spans="1:13">
      <c r="A409" s="1">
        <f>HYPERLINK("http://www.twitter.com/NathanBLawrence/status/996564575498719232", "996564575498719232")</f>
        <v/>
      </c>
      <c r="B409" s="2" t="n">
        <v>43236.06578703703</v>
      </c>
      <c r="C409" t="n">
        <v>0</v>
      </c>
      <c r="D409" t="n">
        <v>9</v>
      </c>
      <c r="E409" t="s">
        <v>416</v>
      </c>
      <c r="F409" t="s"/>
      <c r="G409" t="s"/>
      <c r="H409" t="s"/>
      <c r="I409" t="s"/>
      <c r="J409" t="n">
        <v>0</v>
      </c>
      <c r="K409" t="n">
        <v>0</v>
      </c>
      <c r="L409" t="n">
        <v>1</v>
      </c>
      <c r="M409" t="n">
        <v>0</v>
      </c>
    </row>
    <row r="410" spans="1:13">
      <c r="A410" s="1">
        <f>HYPERLINK("http://www.twitter.com/NathanBLawrence/status/996510519002624000", "996510519002624000")</f>
        <v/>
      </c>
      <c r="B410" s="2" t="n">
        <v>43235.91662037037</v>
      </c>
      <c r="C410" t="n">
        <v>0</v>
      </c>
      <c r="D410" t="n">
        <v>18</v>
      </c>
      <c r="E410" t="s">
        <v>417</v>
      </c>
      <c r="F410" t="s"/>
      <c r="G410" t="s"/>
      <c r="H410" t="s"/>
      <c r="I410" t="s"/>
      <c r="J410" t="n">
        <v>-0.6705</v>
      </c>
      <c r="K410" t="n">
        <v>0.224</v>
      </c>
      <c r="L410" t="n">
        <v>0.776</v>
      </c>
      <c r="M410" t="n">
        <v>0</v>
      </c>
    </row>
    <row r="411" spans="1:13">
      <c r="A411" s="1">
        <f>HYPERLINK("http://www.twitter.com/NathanBLawrence/status/996509263655825410", "996509263655825410")</f>
        <v/>
      </c>
      <c r="B411" s="2" t="n">
        <v>43235.91315972222</v>
      </c>
      <c r="C411" t="n">
        <v>0</v>
      </c>
      <c r="D411" t="n">
        <v>60</v>
      </c>
      <c r="E411" t="s">
        <v>418</v>
      </c>
      <c r="F411" t="s"/>
      <c r="G411" t="s"/>
      <c r="H411" t="s"/>
      <c r="I411" t="s"/>
      <c r="J411" t="n">
        <v>0.6369</v>
      </c>
      <c r="K411" t="n">
        <v>0.092</v>
      </c>
      <c r="L411" t="n">
        <v>0.662</v>
      </c>
      <c r="M411" t="n">
        <v>0.246</v>
      </c>
    </row>
    <row r="412" spans="1:13">
      <c r="A412" s="1">
        <f>HYPERLINK("http://www.twitter.com/NathanBLawrence/status/996508601312251906", "996508601312251906")</f>
        <v/>
      </c>
      <c r="B412" s="2" t="n">
        <v>43235.91133101852</v>
      </c>
      <c r="C412" t="n">
        <v>0</v>
      </c>
      <c r="D412" t="n">
        <v>1</v>
      </c>
      <c r="E412" t="s">
        <v>419</v>
      </c>
      <c r="F412" t="s"/>
      <c r="G412" t="s"/>
      <c r="H412" t="s"/>
      <c r="I412" t="s"/>
      <c r="J412" t="n">
        <v>0.0772</v>
      </c>
      <c r="K412" t="n">
        <v>0.101</v>
      </c>
      <c r="L412" t="n">
        <v>0.783</v>
      </c>
      <c r="M412" t="n">
        <v>0.115</v>
      </c>
    </row>
    <row r="413" spans="1:13">
      <c r="A413" s="1">
        <f>HYPERLINK("http://www.twitter.com/NathanBLawrence/status/996508433154224128", "996508433154224128")</f>
        <v/>
      </c>
      <c r="B413" s="2" t="n">
        <v>43235.91086805556</v>
      </c>
      <c r="C413" t="n">
        <v>3</v>
      </c>
      <c r="D413" t="n">
        <v>1</v>
      </c>
      <c r="E413" t="s">
        <v>420</v>
      </c>
      <c r="F413" t="s"/>
      <c r="G413" t="s"/>
      <c r="H413" t="s"/>
      <c r="I413" t="s"/>
      <c r="J413" t="n">
        <v>0.0772</v>
      </c>
      <c r="K413" t="n">
        <v>0.112</v>
      </c>
      <c r="L413" t="n">
        <v>0.761</v>
      </c>
      <c r="M413" t="n">
        <v>0.127</v>
      </c>
    </row>
    <row r="414" spans="1:13">
      <c r="A414" s="1">
        <f>HYPERLINK("http://www.twitter.com/NathanBLawrence/status/996503158649171969", "996503158649171969")</f>
        <v/>
      </c>
      <c r="B414" s="2" t="n">
        <v>43235.89630787037</v>
      </c>
      <c r="C414" t="n">
        <v>0</v>
      </c>
      <c r="D414" t="n">
        <v>2</v>
      </c>
      <c r="E414" t="s">
        <v>421</v>
      </c>
      <c r="F414" t="s"/>
      <c r="G414" t="s"/>
      <c r="H414" t="s"/>
      <c r="I414" t="s"/>
      <c r="J414" t="n">
        <v>-0.3612</v>
      </c>
      <c r="K414" t="n">
        <v>0.102</v>
      </c>
      <c r="L414" t="n">
        <v>0.898</v>
      </c>
      <c r="M414" t="n">
        <v>0</v>
      </c>
    </row>
    <row r="415" spans="1:13">
      <c r="A415" s="1">
        <f>HYPERLINK("http://www.twitter.com/NathanBLawrence/status/996503027090632705", "996503027090632705")</f>
        <v/>
      </c>
      <c r="B415" s="2" t="n">
        <v>43235.89594907407</v>
      </c>
      <c r="C415" t="n">
        <v>4</v>
      </c>
      <c r="D415" t="n">
        <v>2</v>
      </c>
      <c r="E415" t="s">
        <v>422</v>
      </c>
      <c r="F415" t="s"/>
      <c r="G415" t="s"/>
      <c r="H415" t="s"/>
      <c r="I415" t="s"/>
      <c r="J415" t="n">
        <v>-0.4329</v>
      </c>
      <c r="K415" t="n">
        <v>0.068</v>
      </c>
      <c r="L415" t="n">
        <v>0.9320000000000001</v>
      </c>
      <c r="M415" t="n">
        <v>0</v>
      </c>
    </row>
    <row r="416" spans="1:13">
      <c r="A416" s="1">
        <f>HYPERLINK("http://www.twitter.com/NathanBLawrence/status/996502288977014784", "996502288977014784")</f>
        <v/>
      </c>
      <c r="B416" s="2" t="n">
        <v>43235.89391203703</v>
      </c>
      <c r="C416" t="n">
        <v>0</v>
      </c>
      <c r="D416" t="n">
        <v>4</v>
      </c>
      <c r="E416" t="s">
        <v>423</v>
      </c>
      <c r="F416" t="s"/>
      <c r="G416" t="s"/>
      <c r="H416" t="s"/>
      <c r="I416" t="s"/>
      <c r="J416" t="n">
        <v>-0.0572</v>
      </c>
      <c r="K416" t="n">
        <v>0.058</v>
      </c>
      <c r="L416" t="n">
        <v>0.9419999999999999</v>
      </c>
      <c r="M416" t="n">
        <v>0</v>
      </c>
    </row>
    <row r="417" spans="1:13">
      <c r="A417" s="1">
        <f>HYPERLINK("http://www.twitter.com/NathanBLawrence/status/996493738305314819", "996493738305314819")</f>
        <v/>
      </c>
      <c r="B417" s="2" t="n">
        <v>43235.8703125</v>
      </c>
      <c r="C417" t="n">
        <v>1</v>
      </c>
      <c r="D417" t="n">
        <v>0</v>
      </c>
      <c r="E417" t="s">
        <v>424</v>
      </c>
      <c r="F417" t="s"/>
      <c r="G417" t="s"/>
      <c r="H417" t="s"/>
      <c r="I417" t="s"/>
      <c r="J417" t="n">
        <v>-0.836</v>
      </c>
      <c r="K417" t="n">
        <v>0.406</v>
      </c>
      <c r="L417" t="n">
        <v>0.594</v>
      </c>
      <c r="M417" t="n">
        <v>0</v>
      </c>
    </row>
    <row r="418" spans="1:13">
      <c r="A418" s="1">
        <f>HYPERLINK("http://www.twitter.com/NathanBLawrence/status/996493052041625601", "996493052041625601")</f>
        <v/>
      </c>
      <c r="B418" s="2" t="n">
        <v>43235.86842592592</v>
      </c>
      <c r="C418" t="n">
        <v>0</v>
      </c>
      <c r="D418" t="n">
        <v>11</v>
      </c>
      <c r="E418" t="s">
        <v>425</v>
      </c>
      <c r="F418" t="s"/>
      <c r="G418" t="s"/>
      <c r="H418" t="s"/>
      <c r="I418" t="s"/>
      <c r="J418" t="n">
        <v>0.4939</v>
      </c>
      <c r="K418" t="n">
        <v>0</v>
      </c>
      <c r="L418" t="n">
        <v>0.824</v>
      </c>
      <c r="M418" t="n">
        <v>0.176</v>
      </c>
    </row>
    <row r="419" spans="1:13">
      <c r="A419" s="1">
        <f>HYPERLINK("http://www.twitter.com/NathanBLawrence/status/996492980352581632", "996492980352581632")</f>
        <v/>
      </c>
      <c r="B419" s="2" t="n">
        <v>43235.86822916667</v>
      </c>
      <c r="C419" t="n">
        <v>12</v>
      </c>
      <c r="D419" t="n">
        <v>11</v>
      </c>
      <c r="E419" t="s">
        <v>426</v>
      </c>
      <c r="F419" t="s"/>
      <c r="G419" t="s"/>
      <c r="H419" t="s"/>
      <c r="I419" t="s"/>
      <c r="J419" t="n">
        <v>0.7712</v>
      </c>
      <c r="K419" t="n">
        <v>0.054</v>
      </c>
      <c r="L419" t="n">
        <v>0.742</v>
      </c>
      <c r="M419" t="n">
        <v>0.204</v>
      </c>
    </row>
    <row r="420" spans="1:13">
      <c r="A420" s="1">
        <f>HYPERLINK("http://www.twitter.com/NathanBLawrence/status/996491803078615041", "996491803078615041")</f>
        <v/>
      </c>
      <c r="B420" s="2" t="n">
        <v>43235.86497685185</v>
      </c>
      <c r="C420" t="n">
        <v>0</v>
      </c>
      <c r="D420" t="n">
        <v>6</v>
      </c>
      <c r="E420" t="s">
        <v>427</v>
      </c>
      <c r="F420">
        <f>HYPERLINK("http://pbs.twimg.com/media/DdQ9U2RUQAA2O6U.jpg", "http://pbs.twimg.com/media/DdQ9U2RUQAA2O6U.jpg")</f>
        <v/>
      </c>
      <c r="G420" t="s"/>
      <c r="H420" t="s"/>
      <c r="I420" t="s"/>
      <c r="J420" t="n">
        <v>0</v>
      </c>
      <c r="K420" t="n">
        <v>0</v>
      </c>
      <c r="L420" t="n">
        <v>1</v>
      </c>
      <c r="M420" t="n">
        <v>0</v>
      </c>
    </row>
    <row r="421" spans="1:13">
      <c r="A421" s="1">
        <f>HYPERLINK("http://www.twitter.com/NathanBLawrence/status/996487316238749696", "996487316238749696")</f>
        <v/>
      </c>
      <c r="B421" s="2" t="n">
        <v>43235.85259259259</v>
      </c>
      <c r="C421" t="n">
        <v>0</v>
      </c>
      <c r="D421" t="n">
        <v>32</v>
      </c>
      <c r="E421" t="s">
        <v>428</v>
      </c>
      <c r="F421" t="s"/>
      <c r="G421" t="s"/>
      <c r="H421" t="s"/>
      <c r="I421" t="s"/>
      <c r="J421" t="n">
        <v>-0.296</v>
      </c>
      <c r="K421" t="n">
        <v>0.121</v>
      </c>
      <c r="L421" t="n">
        <v>0.879</v>
      </c>
      <c r="M421" t="n">
        <v>0</v>
      </c>
    </row>
    <row r="422" spans="1:13">
      <c r="A422" s="1">
        <f>HYPERLINK("http://www.twitter.com/NathanBLawrence/status/996485526084517890", "996485526084517890")</f>
        <v/>
      </c>
      <c r="B422" s="2" t="n">
        <v>43235.84765046297</v>
      </c>
      <c r="C422" t="n">
        <v>0</v>
      </c>
      <c r="D422" t="n">
        <v>1</v>
      </c>
      <c r="E422" t="s">
        <v>429</v>
      </c>
      <c r="F422" t="s"/>
      <c r="G422" t="s"/>
      <c r="H422" t="s"/>
      <c r="I422" t="s"/>
      <c r="J422" t="n">
        <v>-0.6372</v>
      </c>
      <c r="K422" t="n">
        <v>0.234</v>
      </c>
      <c r="L422" t="n">
        <v>0.766</v>
      </c>
      <c r="M422" t="n">
        <v>0</v>
      </c>
    </row>
    <row r="423" spans="1:13">
      <c r="A423" s="1">
        <f>HYPERLINK("http://www.twitter.com/NathanBLawrence/status/996485489984188416", "996485489984188416")</f>
        <v/>
      </c>
      <c r="B423" s="2" t="n">
        <v>43235.84755787037</v>
      </c>
      <c r="C423" t="n">
        <v>0</v>
      </c>
      <c r="D423" t="n">
        <v>3</v>
      </c>
      <c r="E423" t="s">
        <v>430</v>
      </c>
      <c r="F423" t="s"/>
      <c r="G423" t="s"/>
      <c r="H423" t="s"/>
      <c r="I423" t="s"/>
      <c r="J423" t="n">
        <v>0</v>
      </c>
      <c r="K423" t="n">
        <v>0</v>
      </c>
      <c r="L423" t="n">
        <v>1</v>
      </c>
      <c r="M423" t="n">
        <v>0</v>
      </c>
    </row>
    <row r="424" spans="1:13">
      <c r="A424" s="1">
        <f>HYPERLINK("http://www.twitter.com/NathanBLawrence/status/996485404617527301", "996485404617527301")</f>
        <v/>
      </c>
      <c r="B424" s="2" t="n">
        <v>43235.84731481481</v>
      </c>
      <c r="C424" t="n">
        <v>0</v>
      </c>
      <c r="D424" t="n">
        <v>4</v>
      </c>
      <c r="E424" t="s">
        <v>431</v>
      </c>
      <c r="F424" t="s"/>
      <c r="G424" t="s"/>
      <c r="H424" t="s"/>
      <c r="I424" t="s"/>
      <c r="J424" t="n">
        <v>-0.4201</v>
      </c>
      <c r="K424" t="n">
        <v>0.175</v>
      </c>
      <c r="L424" t="n">
        <v>0.702</v>
      </c>
      <c r="M424" t="n">
        <v>0.123</v>
      </c>
    </row>
    <row r="425" spans="1:13">
      <c r="A425" s="1">
        <f>HYPERLINK("http://www.twitter.com/NathanBLawrence/status/996485342403407873", "996485342403407873")</f>
        <v/>
      </c>
      <c r="B425" s="2" t="n">
        <v>43235.84715277778</v>
      </c>
      <c r="C425" t="n">
        <v>9</v>
      </c>
      <c r="D425" t="n">
        <v>4</v>
      </c>
      <c r="E425" t="s">
        <v>432</v>
      </c>
      <c r="F425" t="s"/>
      <c r="G425" t="s"/>
      <c r="H425" t="s"/>
      <c r="I425" t="s"/>
      <c r="J425" t="n">
        <v>-0.4201</v>
      </c>
      <c r="K425" t="n">
        <v>0.127</v>
      </c>
      <c r="L425" t="n">
        <v>0.784</v>
      </c>
      <c r="M425" t="n">
        <v>0.089</v>
      </c>
    </row>
    <row r="426" spans="1:13">
      <c r="A426" s="1">
        <f>HYPERLINK("http://www.twitter.com/NathanBLawrence/status/996485024068395010", "996485024068395010")</f>
        <v/>
      </c>
      <c r="B426" s="2" t="n">
        <v>43235.84627314815</v>
      </c>
      <c r="C426" t="n">
        <v>0</v>
      </c>
      <c r="D426" t="n">
        <v>116</v>
      </c>
      <c r="E426" t="s">
        <v>433</v>
      </c>
      <c r="F426" t="s"/>
      <c r="G426" t="s"/>
      <c r="H426" t="s"/>
      <c r="I426" t="s"/>
      <c r="J426" t="n">
        <v>-0.5849</v>
      </c>
      <c r="K426" t="n">
        <v>0.166</v>
      </c>
      <c r="L426" t="n">
        <v>0.834</v>
      </c>
      <c r="M426" t="n">
        <v>0</v>
      </c>
    </row>
    <row r="427" spans="1:13">
      <c r="A427" s="1">
        <f>HYPERLINK("http://www.twitter.com/NathanBLawrence/status/996483509844873217", "996483509844873217")</f>
        <v/>
      </c>
      <c r="B427" s="2" t="n">
        <v>43235.84209490741</v>
      </c>
      <c r="C427" t="n">
        <v>1</v>
      </c>
      <c r="D427" t="n">
        <v>1</v>
      </c>
      <c r="E427" t="s">
        <v>434</v>
      </c>
      <c r="F427" t="s"/>
      <c r="G427" t="s"/>
      <c r="H427" t="s"/>
      <c r="I427" t="s"/>
      <c r="J427" t="n">
        <v>-0.7655</v>
      </c>
      <c r="K427" t="n">
        <v>0.276</v>
      </c>
      <c r="L427" t="n">
        <v>0.724</v>
      </c>
      <c r="M427" t="n">
        <v>0</v>
      </c>
    </row>
    <row r="428" spans="1:13">
      <c r="A428" s="1">
        <f>HYPERLINK("http://www.twitter.com/NathanBLawrence/status/996482998399852547", "996482998399852547")</f>
        <v/>
      </c>
      <c r="B428" s="2" t="n">
        <v>43235.84068287037</v>
      </c>
      <c r="C428" t="n">
        <v>0</v>
      </c>
      <c r="D428" t="n">
        <v>1</v>
      </c>
      <c r="E428" t="s">
        <v>435</v>
      </c>
      <c r="F428" t="s"/>
      <c r="G428" t="s"/>
      <c r="H428" t="s"/>
      <c r="I428" t="s"/>
      <c r="J428" t="n">
        <v>0.6588000000000001</v>
      </c>
      <c r="K428" t="n">
        <v>0</v>
      </c>
      <c r="L428" t="n">
        <v>0.646</v>
      </c>
      <c r="M428" t="n">
        <v>0.354</v>
      </c>
    </row>
    <row r="429" spans="1:13">
      <c r="A429" s="1">
        <f>HYPERLINK("http://www.twitter.com/NathanBLawrence/status/996482896826421250", "996482896826421250")</f>
        <v/>
      </c>
      <c r="B429" s="2" t="n">
        <v>43235.84040509259</v>
      </c>
      <c r="C429" t="n">
        <v>0</v>
      </c>
      <c r="D429" t="n">
        <v>1</v>
      </c>
      <c r="E429" t="s">
        <v>436</v>
      </c>
      <c r="F429" t="s"/>
      <c r="G429" t="s"/>
      <c r="H429" t="s"/>
      <c r="I429" t="s"/>
      <c r="J429" t="n">
        <v>0.6588000000000001</v>
      </c>
      <c r="K429" t="n">
        <v>0</v>
      </c>
      <c r="L429" t="n">
        <v>0.577</v>
      </c>
      <c r="M429" t="n">
        <v>0.423</v>
      </c>
    </row>
    <row r="430" spans="1:13">
      <c r="A430" s="1">
        <f>HYPERLINK("http://www.twitter.com/NathanBLawrence/status/996482562976608257", "996482562976608257")</f>
        <v/>
      </c>
      <c r="B430" s="2" t="n">
        <v>43235.83947916667</v>
      </c>
      <c r="C430" t="n">
        <v>0</v>
      </c>
      <c r="D430" t="n">
        <v>39</v>
      </c>
      <c r="E430" t="s">
        <v>437</v>
      </c>
      <c r="F430" t="s"/>
      <c r="G430" t="s"/>
      <c r="H430" t="s"/>
      <c r="I430" t="s"/>
      <c r="J430" t="n">
        <v>0.128</v>
      </c>
      <c r="K430" t="n">
        <v>0</v>
      </c>
      <c r="L430" t="n">
        <v>0.93</v>
      </c>
      <c r="M430" t="n">
        <v>0.07000000000000001</v>
      </c>
    </row>
    <row r="431" spans="1:13">
      <c r="A431" s="1">
        <f>HYPERLINK("http://www.twitter.com/NathanBLawrence/status/996475561957609472", "996475561957609472")</f>
        <v/>
      </c>
      <c r="B431" s="2" t="n">
        <v>43235.82016203704</v>
      </c>
      <c r="C431" t="n">
        <v>0</v>
      </c>
      <c r="D431" t="n">
        <v>1</v>
      </c>
      <c r="E431" t="s">
        <v>438</v>
      </c>
      <c r="F431" t="s"/>
      <c r="G431" t="s"/>
      <c r="H431" t="s"/>
      <c r="I431" t="s"/>
      <c r="J431" t="n">
        <v>0</v>
      </c>
      <c r="K431" t="n">
        <v>0</v>
      </c>
      <c r="L431" t="n">
        <v>1</v>
      </c>
      <c r="M431" t="n">
        <v>0</v>
      </c>
    </row>
    <row r="432" spans="1:13">
      <c r="A432" s="1">
        <f>HYPERLINK("http://www.twitter.com/NathanBLawrence/status/996474424042901505", "996474424042901505")</f>
        <v/>
      </c>
      <c r="B432" s="2" t="n">
        <v>43235.81701388889</v>
      </c>
      <c r="C432" t="n">
        <v>0</v>
      </c>
      <c r="D432" t="n">
        <v>14</v>
      </c>
      <c r="E432" t="s">
        <v>439</v>
      </c>
      <c r="F432" t="s"/>
      <c r="G432" t="s"/>
      <c r="H432" t="s"/>
      <c r="I432" t="s"/>
      <c r="J432" t="n">
        <v>0</v>
      </c>
      <c r="K432" t="n">
        <v>0</v>
      </c>
      <c r="L432" t="n">
        <v>1</v>
      </c>
      <c r="M432" t="n">
        <v>0</v>
      </c>
    </row>
    <row r="433" spans="1:13">
      <c r="A433" s="1">
        <f>HYPERLINK("http://www.twitter.com/NathanBLawrence/status/996474415314604032", "996474415314604032")</f>
        <v/>
      </c>
      <c r="B433" s="2" t="n">
        <v>43235.81699074074</v>
      </c>
      <c r="C433" t="n">
        <v>0</v>
      </c>
      <c r="D433" t="n">
        <v>3</v>
      </c>
      <c r="E433" t="s">
        <v>440</v>
      </c>
      <c r="F433" t="s"/>
      <c r="G433" t="s"/>
      <c r="H433" t="s"/>
      <c r="I433" t="s"/>
      <c r="J433" t="n">
        <v>0</v>
      </c>
      <c r="K433" t="n">
        <v>0</v>
      </c>
      <c r="L433" t="n">
        <v>1</v>
      </c>
      <c r="M433" t="n">
        <v>0</v>
      </c>
    </row>
    <row r="434" spans="1:13">
      <c r="A434" s="1">
        <f>HYPERLINK("http://www.twitter.com/NathanBLawrence/status/996470273892405253", "996470273892405253")</f>
        <v/>
      </c>
      <c r="B434" s="2" t="n">
        <v>43235.80556712963</v>
      </c>
      <c r="C434" t="n">
        <v>0</v>
      </c>
      <c r="D434" t="n">
        <v>1</v>
      </c>
      <c r="E434" t="s">
        <v>441</v>
      </c>
      <c r="F434" t="s"/>
      <c r="G434" t="s"/>
      <c r="H434" t="s"/>
      <c r="I434" t="s"/>
      <c r="J434" t="n">
        <v>-0.3612</v>
      </c>
      <c r="K434" t="n">
        <v>0.106</v>
      </c>
      <c r="L434" t="n">
        <v>0.894</v>
      </c>
      <c r="M434" t="n">
        <v>0</v>
      </c>
    </row>
    <row r="435" spans="1:13">
      <c r="A435" s="1">
        <f>HYPERLINK("http://www.twitter.com/NathanBLawrence/status/996470172155371520", "996470172155371520")</f>
        <v/>
      </c>
      <c r="B435" s="2" t="n">
        <v>43235.80528935185</v>
      </c>
      <c r="C435" t="n">
        <v>0</v>
      </c>
      <c r="D435" t="n">
        <v>4</v>
      </c>
      <c r="E435" t="s">
        <v>442</v>
      </c>
      <c r="F435" t="s"/>
      <c r="G435" t="s"/>
      <c r="H435" t="s"/>
      <c r="I435" t="s"/>
      <c r="J435" t="n">
        <v>0</v>
      </c>
      <c r="K435" t="n">
        <v>0</v>
      </c>
      <c r="L435" t="n">
        <v>1</v>
      </c>
      <c r="M435" t="n">
        <v>0</v>
      </c>
    </row>
    <row r="436" spans="1:13">
      <c r="A436" s="1">
        <f>HYPERLINK("http://www.twitter.com/NathanBLawrence/status/996464000941506560", "996464000941506560")</f>
        <v/>
      </c>
      <c r="B436" s="2" t="n">
        <v>43235.78825231481</v>
      </c>
      <c r="C436" t="n">
        <v>0</v>
      </c>
      <c r="D436" t="n">
        <v>10</v>
      </c>
      <c r="E436" t="s">
        <v>443</v>
      </c>
      <c r="F436" t="s"/>
      <c r="G436" t="s"/>
      <c r="H436" t="s"/>
      <c r="I436" t="s"/>
      <c r="J436" t="n">
        <v>-0.3818</v>
      </c>
      <c r="K436" t="n">
        <v>0.102</v>
      </c>
      <c r="L436" t="n">
        <v>0.898</v>
      </c>
      <c r="M436" t="n">
        <v>0</v>
      </c>
    </row>
    <row r="437" spans="1:13">
      <c r="A437" s="1">
        <f>HYPERLINK("http://www.twitter.com/NathanBLawrence/status/996463985280143360", "996463985280143360")</f>
        <v/>
      </c>
      <c r="B437" s="2" t="n">
        <v>43235.78821759259</v>
      </c>
      <c r="C437" t="n">
        <v>0</v>
      </c>
      <c r="D437" t="n">
        <v>9</v>
      </c>
      <c r="E437" t="s">
        <v>444</v>
      </c>
      <c r="F437" t="s"/>
      <c r="G437" t="s"/>
      <c r="H437" t="s"/>
      <c r="I437" t="s"/>
      <c r="J437" t="n">
        <v>-0.296</v>
      </c>
      <c r="K437" t="n">
        <v>0.104</v>
      </c>
      <c r="L437" t="n">
        <v>0.896</v>
      </c>
      <c r="M437" t="n">
        <v>0</v>
      </c>
    </row>
    <row r="438" spans="1:13">
      <c r="A438" s="1">
        <f>HYPERLINK("http://www.twitter.com/NathanBLawrence/status/996463952027705353", "996463952027705353")</f>
        <v/>
      </c>
      <c r="B438" s="2" t="n">
        <v>43235.788125</v>
      </c>
      <c r="C438" t="n">
        <v>15</v>
      </c>
      <c r="D438" t="n">
        <v>10</v>
      </c>
      <c r="E438" t="s">
        <v>445</v>
      </c>
      <c r="F438" t="s"/>
      <c r="G438" t="s"/>
      <c r="H438" t="s"/>
      <c r="I438" t="s"/>
      <c r="J438" t="n">
        <v>-0.3818</v>
      </c>
      <c r="K438" t="n">
        <v>0.08799999999999999</v>
      </c>
      <c r="L438" t="n">
        <v>0.912</v>
      </c>
      <c r="M438" t="n">
        <v>0</v>
      </c>
    </row>
    <row r="439" spans="1:13">
      <c r="A439" s="1">
        <f>HYPERLINK("http://www.twitter.com/NathanBLawrence/status/996463950714802178", "996463950714802178")</f>
        <v/>
      </c>
      <c r="B439" s="2" t="n">
        <v>43235.78811342592</v>
      </c>
      <c r="C439" t="n">
        <v>12</v>
      </c>
      <c r="D439" t="n">
        <v>9</v>
      </c>
      <c r="E439" t="s">
        <v>446</v>
      </c>
      <c r="F439" t="s"/>
      <c r="G439" t="s"/>
      <c r="H439" t="s"/>
      <c r="I439" t="s"/>
      <c r="J439" t="n">
        <v>0.2263</v>
      </c>
      <c r="K439" t="n">
        <v>0.055</v>
      </c>
      <c r="L439" t="n">
        <v>0.868</v>
      </c>
      <c r="M439" t="n">
        <v>0.077</v>
      </c>
    </row>
    <row r="440" spans="1:13">
      <c r="A440" s="1">
        <f>HYPERLINK("http://www.twitter.com/NathanBLawrence/status/996461460099301377", "996461460099301377")</f>
        <v/>
      </c>
      <c r="B440" s="2" t="n">
        <v>43235.78125</v>
      </c>
      <c r="C440" t="n">
        <v>2</v>
      </c>
      <c r="D440" t="n">
        <v>1</v>
      </c>
      <c r="E440" t="s">
        <v>447</v>
      </c>
      <c r="F440" t="s"/>
      <c r="G440" t="s"/>
      <c r="H440" t="s"/>
      <c r="I440" t="s"/>
      <c r="J440" t="n">
        <v>0.296</v>
      </c>
      <c r="K440" t="n">
        <v>0.099</v>
      </c>
      <c r="L440" t="n">
        <v>0.714</v>
      </c>
      <c r="M440" t="n">
        <v>0.187</v>
      </c>
    </row>
    <row r="441" spans="1:13">
      <c r="A441" s="1">
        <f>HYPERLINK("http://www.twitter.com/NathanBLawrence/status/996456102219919363", "996456102219919363")</f>
        <v/>
      </c>
      <c r="B441" s="2" t="n">
        <v>43235.76645833333</v>
      </c>
      <c r="C441" t="n">
        <v>0</v>
      </c>
      <c r="D441" t="n">
        <v>10</v>
      </c>
      <c r="E441" t="s">
        <v>448</v>
      </c>
      <c r="F441" t="s"/>
      <c r="G441" t="s"/>
      <c r="H441" t="s"/>
      <c r="I441" t="s"/>
      <c r="J441" t="n">
        <v>0</v>
      </c>
      <c r="K441" t="n">
        <v>0</v>
      </c>
      <c r="L441" t="n">
        <v>1</v>
      </c>
      <c r="M441" t="n">
        <v>0</v>
      </c>
    </row>
    <row r="442" spans="1:13">
      <c r="A442" s="1">
        <f>HYPERLINK("http://www.twitter.com/NathanBLawrence/status/996455680746950661", "996455680746950661")</f>
        <v/>
      </c>
      <c r="B442" s="2" t="n">
        <v>43235.76530092592</v>
      </c>
      <c r="C442" t="n">
        <v>12</v>
      </c>
      <c r="D442" t="n">
        <v>8</v>
      </c>
      <c r="E442" t="s">
        <v>449</v>
      </c>
      <c r="F442" t="s"/>
      <c r="G442" t="s"/>
      <c r="H442" t="s"/>
      <c r="I442" t="s"/>
      <c r="J442" t="n">
        <v>0</v>
      </c>
      <c r="K442" t="n">
        <v>0</v>
      </c>
      <c r="L442" t="n">
        <v>1</v>
      </c>
      <c r="M442" t="n">
        <v>0</v>
      </c>
    </row>
    <row r="443" spans="1:13">
      <c r="A443" s="1">
        <f>HYPERLINK("http://www.twitter.com/NathanBLawrence/status/996450668956278784", "996450668956278784")</f>
        <v/>
      </c>
      <c r="B443" s="2" t="n">
        <v>43235.75146990741</v>
      </c>
      <c r="C443" t="n">
        <v>0</v>
      </c>
      <c r="D443" t="n">
        <v>2</v>
      </c>
      <c r="E443" t="s">
        <v>450</v>
      </c>
      <c r="F443" t="s"/>
      <c r="G443" t="s"/>
      <c r="H443" t="s"/>
      <c r="I443" t="s"/>
      <c r="J443" t="n">
        <v>-0.6808</v>
      </c>
      <c r="K443" t="n">
        <v>0.318</v>
      </c>
      <c r="L443" t="n">
        <v>0.6820000000000001</v>
      </c>
      <c r="M443" t="n">
        <v>0</v>
      </c>
    </row>
    <row r="444" spans="1:13">
      <c r="A444" s="1">
        <f>HYPERLINK("http://www.twitter.com/NathanBLawrence/status/996437117441015809", "996437117441015809")</f>
        <v/>
      </c>
      <c r="B444" s="2" t="n">
        <v>43235.71407407407</v>
      </c>
      <c r="C444" t="n">
        <v>0</v>
      </c>
      <c r="D444" t="n">
        <v>42</v>
      </c>
      <c r="E444" t="s">
        <v>451</v>
      </c>
      <c r="F444">
        <f>HYPERLINK("http://pbs.twimg.com/media/DdQM4AkUwAAdliJ.jpg", "http://pbs.twimg.com/media/DdQM4AkUwAAdliJ.jpg")</f>
        <v/>
      </c>
      <c r="G444" t="s"/>
      <c r="H444" t="s"/>
      <c r="I444" t="s"/>
      <c r="J444" t="n">
        <v>-0.4404</v>
      </c>
      <c r="K444" t="n">
        <v>0.139</v>
      </c>
      <c r="L444" t="n">
        <v>0.861</v>
      </c>
      <c r="M444" t="n">
        <v>0</v>
      </c>
    </row>
    <row r="445" spans="1:13">
      <c r="A445" s="1">
        <f>HYPERLINK("http://www.twitter.com/NathanBLawrence/status/996437051758333953", "996437051758333953")</f>
        <v/>
      </c>
      <c r="B445" s="2" t="n">
        <v>43235.71388888889</v>
      </c>
      <c r="C445" t="n">
        <v>0</v>
      </c>
      <c r="D445" t="n">
        <v>25</v>
      </c>
      <c r="E445" t="s">
        <v>452</v>
      </c>
      <c r="F445">
        <f>HYPERLINK("http://pbs.twimg.com/media/DdQOBynV0AAO_wj.jpg", "http://pbs.twimg.com/media/DdQOBynV0AAO_wj.jpg")</f>
        <v/>
      </c>
      <c r="G445" t="s"/>
      <c r="H445" t="s"/>
      <c r="I445" t="s"/>
      <c r="J445" t="n">
        <v>0</v>
      </c>
      <c r="K445" t="n">
        <v>0</v>
      </c>
      <c r="L445" t="n">
        <v>1</v>
      </c>
      <c r="M445" t="n">
        <v>0</v>
      </c>
    </row>
    <row r="446" spans="1:13">
      <c r="A446" s="1">
        <f>HYPERLINK("http://www.twitter.com/NathanBLawrence/status/996435232894177280", "996435232894177280")</f>
        <v/>
      </c>
      <c r="B446" s="2" t="n">
        <v>43235.70887731481</v>
      </c>
      <c r="C446" t="n">
        <v>0</v>
      </c>
      <c r="D446" t="n">
        <v>14</v>
      </c>
      <c r="E446" t="s">
        <v>453</v>
      </c>
      <c r="F446">
        <f>HYPERLINK("http://pbs.twimg.com/media/DdQMA5lV4AAMNfv.jpg", "http://pbs.twimg.com/media/DdQMA5lV4AAMNfv.jpg")</f>
        <v/>
      </c>
      <c r="G446" t="s"/>
      <c r="H446" t="s"/>
      <c r="I446" t="s"/>
      <c r="J446" t="n">
        <v>0</v>
      </c>
      <c r="K446" t="n">
        <v>0</v>
      </c>
      <c r="L446" t="n">
        <v>1</v>
      </c>
      <c r="M446" t="n">
        <v>0</v>
      </c>
    </row>
    <row r="447" spans="1:13">
      <c r="A447" s="1">
        <f>HYPERLINK("http://www.twitter.com/NathanBLawrence/status/996432736511553537", "996432736511553537")</f>
        <v/>
      </c>
      <c r="B447" s="2" t="n">
        <v>43235.70197916667</v>
      </c>
      <c r="C447" t="n">
        <v>0</v>
      </c>
      <c r="D447" t="n">
        <v>1</v>
      </c>
      <c r="E447" t="s">
        <v>454</v>
      </c>
      <c r="F447" t="s"/>
      <c r="G447" t="s"/>
      <c r="H447" t="s"/>
      <c r="I447" t="s"/>
      <c r="J447" t="n">
        <v>-0.2732</v>
      </c>
      <c r="K447" t="n">
        <v>0.104</v>
      </c>
      <c r="L447" t="n">
        <v>0.896</v>
      </c>
      <c r="M447" t="n">
        <v>0</v>
      </c>
    </row>
    <row r="448" spans="1:13">
      <c r="A448" s="1">
        <f>HYPERLINK("http://www.twitter.com/NathanBLawrence/status/996427351113203714", "996427351113203714")</f>
        <v/>
      </c>
      <c r="B448" s="2" t="n">
        <v>43235.68711805555</v>
      </c>
      <c r="C448" t="n">
        <v>0</v>
      </c>
      <c r="D448" t="n">
        <v>2</v>
      </c>
      <c r="E448" t="s">
        <v>455</v>
      </c>
      <c r="F448" t="s"/>
      <c r="G448" t="s"/>
      <c r="H448" t="s"/>
      <c r="I448" t="s"/>
      <c r="J448" t="n">
        <v>0</v>
      </c>
      <c r="K448" t="n">
        <v>0</v>
      </c>
      <c r="L448" t="n">
        <v>1</v>
      </c>
      <c r="M448" t="n">
        <v>0</v>
      </c>
    </row>
    <row r="449" spans="1:13">
      <c r="A449" s="1">
        <f>HYPERLINK("http://www.twitter.com/NathanBLawrence/status/996426622071984128", "996426622071984128")</f>
        <v/>
      </c>
      <c r="B449" s="2" t="n">
        <v>43235.68511574074</v>
      </c>
      <c r="C449" t="n">
        <v>0</v>
      </c>
      <c r="D449" t="n">
        <v>7</v>
      </c>
      <c r="E449" t="s">
        <v>456</v>
      </c>
      <c r="F449">
        <f>HYPERLINK("http://pbs.twimg.com/media/DdP-YvMWkAAfgAa.jpg", "http://pbs.twimg.com/media/DdP-YvMWkAAfgAa.jpg")</f>
        <v/>
      </c>
      <c r="G449">
        <f>HYPERLINK("http://pbs.twimg.com/media/DdP-YvIXcAU4X5c.jpg", "http://pbs.twimg.com/media/DdP-YvIXcAU4X5c.jpg")</f>
        <v/>
      </c>
      <c r="H449">
        <f>HYPERLINK("http://pbs.twimg.com/media/DdP-YvcXkAILwqf.jpg", "http://pbs.twimg.com/media/DdP-YvcXkAILwqf.jpg")</f>
        <v/>
      </c>
      <c r="I449">
        <f>HYPERLINK("http://pbs.twimg.com/media/DdP-YvYWkAAQlC1.jpg", "http://pbs.twimg.com/media/DdP-YvYWkAAQlC1.jpg")</f>
        <v/>
      </c>
      <c r="J449" t="n">
        <v>0.128</v>
      </c>
      <c r="K449" t="n">
        <v>0</v>
      </c>
      <c r="L449" t="n">
        <v>0.927</v>
      </c>
      <c r="M449" t="n">
        <v>0.073</v>
      </c>
    </row>
    <row r="450" spans="1:13">
      <c r="A450" s="1">
        <f>HYPERLINK("http://www.twitter.com/NathanBLawrence/status/996378445520261120", "996378445520261120")</f>
        <v/>
      </c>
      <c r="B450" s="2" t="n">
        <v>43235.55216435185</v>
      </c>
      <c r="C450" t="n">
        <v>0</v>
      </c>
      <c r="D450" t="n">
        <v>5</v>
      </c>
      <c r="E450" t="s">
        <v>457</v>
      </c>
      <c r="F450" t="s"/>
      <c r="G450" t="s"/>
      <c r="H450" t="s"/>
      <c r="I450" t="s"/>
      <c r="J450" t="n">
        <v>0.0772</v>
      </c>
      <c r="K450" t="n">
        <v>0</v>
      </c>
      <c r="L450" t="n">
        <v>0.9419999999999999</v>
      </c>
      <c r="M450" t="n">
        <v>0.058</v>
      </c>
    </row>
    <row r="451" spans="1:13">
      <c r="A451" s="1">
        <f>HYPERLINK("http://www.twitter.com/NathanBLawrence/status/996378428759838720", "996378428759838720")</f>
        <v/>
      </c>
      <c r="B451" s="2" t="n">
        <v>43235.55211805556</v>
      </c>
      <c r="C451" t="n">
        <v>4</v>
      </c>
      <c r="D451" t="n">
        <v>5</v>
      </c>
      <c r="E451" t="s">
        <v>458</v>
      </c>
      <c r="F451" t="s"/>
      <c r="G451" t="s"/>
      <c r="H451" t="s"/>
      <c r="I451" t="s"/>
      <c r="J451" t="n">
        <v>0.0772</v>
      </c>
      <c r="K451" t="n">
        <v>0</v>
      </c>
      <c r="L451" t="n">
        <v>0.969</v>
      </c>
      <c r="M451" t="n">
        <v>0.031</v>
      </c>
    </row>
    <row r="452" spans="1:13">
      <c r="A452" s="1">
        <f>HYPERLINK("http://www.twitter.com/NathanBLawrence/status/996372615781605376", "996372615781605376")</f>
        <v/>
      </c>
      <c r="B452" s="2" t="n">
        <v>43235.53607638889</v>
      </c>
      <c r="C452" t="n">
        <v>0</v>
      </c>
      <c r="D452" t="n">
        <v>2</v>
      </c>
      <c r="E452" t="s">
        <v>459</v>
      </c>
      <c r="F452" t="s"/>
      <c r="G452" t="s"/>
      <c r="H452" t="s"/>
      <c r="I452" t="s"/>
      <c r="J452" t="n">
        <v>0</v>
      </c>
      <c r="K452" t="n">
        <v>0</v>
      </c>
      <c r="L452" t="n">
        <v>1</v>
      </c>
      <c r="M452" t="n">
        <v>0</v>
      </c>
    </row>
    <row r="453" spans="1:13">
      <c r="A453" s="1">
        <f>HYPERLINK("http://www.twitter.com/NathanBLawrence/status/996367672106475521", "996367672106475521")</f>
        <v/>
      </c>
      <c r="B453" s="2" t="n">
        <v>43235.52244212963</v>
      </c>
      <c r="C453" t="n">
        <v>0</v>
      </c>
      <c r="D453" t="n">
        <v>5</v>
      </c>
      <c r="E453" t="s">
        <v>460</v>
      </c>
      <c r="F453" t="s"/>
      <c r="G453" t="s"/>
      <c r="H453" t="s"/>
      <c r="I453" t="s"/>
      <c r="J453" t="n">
        <v>0.7164</v>
      </c>
      <c r="K453" t="n">
        <v>0.099</v>
      </c>
      <c r="L453" t="n">
        <v>0.5669999999999999</v>
      </c>
      <c r="M453" t="n">
        <v>0.334</v>
      </c>
    </row>
    <row r="454" spans="1:13">
      <c r="A454" s="1">
        <f>HYPERLINK("http://www.twitter.com/NathanBLawrence/status/996360182774095872", "996360182774095872")</f>
        <v/>
      </c>
      <c r="B454" s="2" t="n">
        <v>43235.50177083333</v>
      </c>
      <c r="C454" t="n">
        <v>0</v>
      </c>
      <c r="D454" t="n">
        <v>1</v>
      </c>
      <c r="E454" t="s">
        <v>461</v>
      </c>
      <c r="F454" t="s"/>
      <c r="G454" t="s"/>
      <c r="H454" t="s"/>
      <c r="I454" t="s"/>
      <c r="J454" t="n">
        <v>0</v>
      </c>
      <c r="K454" t="n">
        <v>0</v>
      </c>
      <c r="L454" t="n">
        <v>1</v>
      </c>
      <c r="M454" t="n">
        <v>0</v>
      </c>
    </row>
    <row r="455" spans="1:13">
      <c r="A455" s="1">
        <f>HYPERLINK("http://www.twitter.com/NathanBLawrence/status/996360130563313664", "996360130563313664")</f>
        <v/>
      </c>
      <c r="B455" s="2" t="n">
        <v>43235.50163194445</v>
      </c>
      <c r="C455" t="n">
        <v>0</v>
      </c>
      <c r="D455" t="n">
        <v>1</v>
      </c>
      <c r="E455" t="s">
        <v>462</v>
      </c>
      <c r="F455" t="s"/>
      <c r="G455" t="s"/>
      <c r="H455" t="s"/>
      <c r="I455" t="s"/>
      <c r="J455" t="n">
        <v>0.0772</v>
      </c>
      <c r="K455" t="n">
        <v>0</v>
      </c>
      <c r="L455" t="n">
        <v>0.947</v>
      </c>
      <c r="M455" t="n">
        <v>0.053</v>
      </c>
    </row>
    <row r="456" spans="1:13">
      <c r="A456" s="1">
        <f>HYPERLINK("http://www.twitter.com/NathanBLawrence/status/996360101119365120", "996360101119365120")</f>
        <v/>
      </c>
      <c r="B456" s="2" t="n">
        <v>43235.50155092592</v>
      </c>
      <c r="C456" t="n">
        <v>0</v>
      </c>
      <c r="D456" t="n">
        <v>1</v>
      </c>
      <c r="E456" t="s">
        <v>463</v>
      </c>
      <c r="F456" t="s"/>
      <c r="G456" t="s"/>
      <c r="H456" t="s"/>
      <c r="I456" t="s"/>
      <c r="J456" t="n">
        <v>0.0772</v>
      </c>
      <c r="K456" t="n">
        <v>0</v>
      </c>
      <c r="L456" t="n">
        <v>0.969</v>
      </c>
      <c r="M456" t="n">
        <v>0.031</v>
      </c>
    </row>
    <row r="457" spans="1:13">
      <c r="A457" s="1">
        <f>HYPERLINK("http://www.twitter.com/NathanBLawrence/status/996359944860467200", "996359944860467200")</f>
        <v/>
      </c>
      <c r="B457" s="2" t="n">
        <v>43235.50111111111</v>
      </c>
      <c r="C457" t="n">
        <v>1</v>
      </c>
      <c r="D457" t="n">
        <v>1</v>
      </c>
      <c r="E457" t="s">
        <v>464</v>
      </c>
      <c r="F457" t="s"/>
      <c r="G457" t="s"/>
      <c r="H457" t="s"/>
      <c r="I457" t="s"/>
      <c r="J457" t="n">
        <v>0</v>
      </c>
      <c r="K457" t="n">
        <v>0</v>
      </c>
      <c r="L457" t="n">
        <v>1</v>
      </c>
      <c r="M457" t="n">
        <v>0</v>
      </c>
    </row>
    <row r="458" spans="1:13">
      <c r="A458" s="1">
        <f>HYPERLINK("http://www.twitter.com/NathanBLawrence/status/996359734256160768", "996359734256160768")</f>
        <v/>
      </c>
      <c r="B458" s="2" t="n">
        <v>43235.50053240741</v>
      </c>
      <c r="C458" t="n">
        <v>0</v>
      </c>
      <c r="D458" t="n">
        <v>7</v>
      </c>
      <c r="E458" t="s">
        <v>465</v>
      </c>
      <c r="F458" t="s"/>
      <c r="G458" t="s"/>
      <c r="H458" t="s"/>
      <c r="I458" t="s"/>
      <c r="J458" t="n">
        <v>0.0772</v>
      </c>
      <c r="K458" t="n">
        <v>0</v>
      </c>
      <c r="L458" t="n">
        <v>0.947</v>
      </c>
      <c r="M458" t="n">
        <v>0.053</v>
      </c>
    </row>
    <row r="459" spans="1:13">
      <c r="A459" s="1">
        <f>HYPERLINK("http://www.twitter.com/NathanBLawrence/status/996359694754222080", "996359694754222080")</f>
        <v/>
      </c>
      <c r="B459" s="2" t="n">
        <v>43235.50042824074</v>
      </c>
      <c r="C459" t="n">
        <v>7</v>
      </c>
      <c r="D459" t="n">
        <v>7</v>
      </c>
      <c r="E459" t="s">
        <v>466</v>
      </c>
      <c r="F459" t="s"/>
      <c r="G459" t="s"/>
      <c r="H459" t="s"/>
      <c r="I459" t="s"/>
      <c r="J459" t="n">
        <v>0.0772</v>
      </c>
      <c r="K459" t="n">
        <v>0</v>
      </c>
      <c r="L459" t="n">
        <v>0.969</v>
      </c>
      <c r="M459" t="n">
        <v>0.031</v>
      </c>
    </row>
    <row r="460" spans="1:13">
      <c r="A460" s="1">
        <f>HYPERLINK("http://www.twitter.com/NathanBLawrence/status/996351298470600704", "996351298470600704")</f>
        <v/>
      </c>
      <c r="B460" s="2" t="n">
        <v>43235.47725694445</v>
      </c>
      <c r="C460" t="n">
        <v>0</v>
      </c>
      <c r="D460" t="n">
        <v>1</v>
      </c>
      <c r="E460" t="s">
        <v>467</v>
      </c>
      <c r="F460" t="s"/>
      <c r="G460" t="s"/>
      <c r="H460" t="s"/>
      <c r="I460" t="s"/>
      <c r="J460" t="n">
        <v>0</v>
      </c>
      <c r="K460" t="n">
        <v>0</v>
      </c>
      <c r="L460" t="n">
        <v>1</v>
      </c>
      <c r="M460" t="n">
        <v>0</v>
      </c>
    </row>
    <row r="461" spans="1:13">
      <c r="A461" s="1">
        <f>HYPERLINK("http://www.twitter.com/NathanBLawrence/status/996335451593170944", "996335451593170944")</f>
        <v/>
      </c>
      <c r="B461" s="2" t="n">
        <v>43235.4335300926</v>
      </c>
      <c r="C461" t="n">
        <v>0</v>
      </c>
      <c r="D461" t="n">
        <v>17</v>
      </c>
      <c r="E461" t="s">
        <v>468</v>
      </c>
      <c r="F461">
        <f>HYPERLINK("http://pbs.twimg.com/media/DdNbxqDWAAAfDNi.jpg", "http://pbs.twimg.com/media/DdNbxqDWAAAfDNi.jpg")</f>
        <v/>
      </c>
      <c r="G461" t="s"/>
      <c r="H461" t="s"/>
      <c r="I461" t="s"/>
      <c r="J461" t="n">
        <v>-0.703</v>
      </c>
      <c r="K461" t="n">
        <v>0.226</v>
      </c>
      <c r="L461" t="n">
        <v>0.774</v>
      </c>
      <c r="M461" t="n">
        <v>0</v>
      </c>
    </row>
    <row r="462" spans="1:13">
      <c r="A462" s="1">
        <f>HYPERLINK("http://www.twitter.com/NathanBLawrence/status/996320674233937920", "996320674233937920")</f>
        <v/>
      </c>
      <c r="B462" s="2" t="n">
        <v>43235.39275462963</v>
      </c>
      <c r="C462" t="n">
        <v>0</v>
      </c>
      <c r="D462" t="n">
        <v>6</v>
      </c>
      <c r="E462" t="s">
        <v>469</v>
      </c>
      <c r="F462" t="s"/>
      <c r="G462" t="s"/>
      <c r="H462" t="s"/>
      <c r="I462" t="s"/>
      <c r="J462" t="n">
        <v>0.0258</v>
      </c>
      <c r="K462" t="n">
        <v>0.094</v>
      </c>
      <c r="L462" t="n">
        <v>0.8090000000000001</v>
      </c>
      <c r="M462" t="n">
        <v>0.098</v>
      </c>
    </row>
    <row r="463" spans="1:13">
      <c r="A463" s="1">
        <f>HYPERLINK("http://www.twitter.com/NathanBLawrence/status/996288591931330561", "996288591931330561")</f>
        <v/>
      </c>
      <c r="B463" s="2" t="n">
        <v>43235.30422453704</v>
      </c>
      <c r="C463" t="n">
        <v>0</v>
      </c>
      <c r="D463" t="n">
        <v>1</v>
      </c>
      <c r="E463" t="s">
        <v>470</v>
      </c>
      <c r="F463" t="s"/>
      <c r="G463" t="s"/>
      <c r="H463" t="s"/>
      <c r="I463" t="s"/>
      <c r="J463" t="n">
        <v>0</v>
      </c>
      <c r="K463" t="n">
        <v>0</v>
      </c>
      <c r="L463" t="n">
        <v>1</v>
      </c>
      <c r="M463" t="n">
        <v>0</v>
      </c>
    </row>
    <row r="464" spans="1:13">
      <c r="A464" s="1">
        <f>HYPERLINK("http://www.twitter.com/NathanBLawrence/status/996288112664956928", "996288112664956928")</f>
        <v/>
      </c>
      <c r="B464" s="2" t="n">
        <v>43235.30289351852</v>
      </c>
      <c r="C464" t="n">
        <v>2</v>
      </c>
      <c r="D464" t="n">
        <v>0</v>
      </c>
      <c r="E464" t="s">
        <v>471</v>
      </c>
      <c r="F464" t="s"/>
      <c r="G464" t="s"/>
      <c r="H464" t="s"/>
      <c r="I464" t="s"/>
      <c r="J464" t="n">
        <v>0</v>
      </c>
      <c r="K464" t="n">
        <v>0</v>
      </c>
      <c r="L464" t="n">
        <v>1</v>
      </c>
      <c r="M464" t="n">
        <v>0</v>
      </c>
    </row>
    <row r="465" spans="1:13">
      <c r="A465" s="1">
        <f>HYPERLINK("http://www.twitter.com/NathanBLawrence/status/996287288534585344", "996287288534585344")</f>
        <v/>
      </c>
      <c r="B465" s="2" t="n">
        <v>43235.300625</v>
      </c>
      <c r="C465" t="n">
        <v>0</v>
      </c>
      <c r="D465" t="n">
        <v>9</v>
      </c>
      <c r="E465" t="s">
        <v>472</v>
      </c>
      <c r="F465" t="s"/>
      <c r="G465" t="s"/>
      <c r="H465" t="s"/>
      <c r="I465" t="s"/>
      <c r="J465" t="n">
        <v>0.4404</v>
      </c>
      <c r="K465" t="n">
        <v>0.073</v>
      </c>
      <c r="L465" t="n">
        <v>0.759</v>
      </c>
      <c r="M465" t="n">
        <v>0.168</v>
      </c>
    </row>
    <row r="466" spans="1:13">
      <c r="A466" s="1">
        <f>HYPERLINK("http://www.twitter.com/NathanBLawrence/status/996234080839766016", "996234080839766016")</f>
        <v/>
      </c>
      <c r="B466" s="2" t="n">
        <v>43235.1537962963</v>
      </c>
      <c r="C466" t="n">
        <v>0</v>
      </c>
      <c r="D466" t="n">
        <v>9</v>
      </c>
      <c r="E466" t="s">
        <v>473</v>
      </c>
      <c r="F466" t="s"/>
      <c r="G466" t="s"/>
      <c r="H466" t="s"/>
      <c r="I466" t="s"/>
      <c r="J466" t="n">
        <v>-0.9062</v>
      </c>
      <c r="K466" t="n">
        <v>0.359</v>
      </c>
      <c r="L466" t="n">
        <v>0.641</v>
      </c>
      <c r="M466" t="n">
        <v>0</v>
      </c>
    </row>
    <row r="467" spans="1:13">
      <c r="A467" s="1">
        <f>HYPERLINK("http://www.twitter.com/NathanBLawrence/status/996229387560374273", "996229387560374273")</f>
        <v/>
      </c>
      <c r="B467" s="2" t="n">
        <v>43235.14084490741</v>
      </c>
      <c r="C467" t="n">
        <v>0</v>
      </c>
      <c r="D467" t="n">
        <v>2</v>
      </c>
      <c r="E467" t="s">
        <v>474</v>
      </c>
      <c r="F467" t="s"/>
      <c r="G467" t="s"/>
      <c r="H467" t="s"/>
      <c r="I467" t="s"/>
      <c r="J467" t="n">
        <v>0.4404</v>
      </c>
      <c r="K467" t="n">
        <v>0</v>
      </c>
      <c r="L467" t="n">
        <v>0.828</v>
      </c>
      <c r="M467" t="n">
        <v>0.172</v>
      </c>
    </row>
    <row r="468" spans="1:13">
      <c r="A468" s="1">
        <f>HYPERLINK("http://www.twitter.com/NathanBLawrence/status/996228942238449665", "996228942238449665")</f>
        <v/>
      </c>
      <c r="B468" s="2" t="n">
        <v>43235.13961805555</v>
      </c>
      <c r="C468" t="n">
        <v>0</v>
      </c>
      <c r="D468" t="n">
        <v>14</v>
      </c>
      <c r="E468" t="s">
        <v>475</v>
      </c>
      <c r="F468">
        <f>HYPERLINK("http://pbs.twimg.com/media/DdNQDXWVAAAGhVP.jpg", "http://pbs.twimg.com/media/DdNQDXWVAAAGhVP.jpg")</f>
        <v/>
      </c>
      <c r="G468" t="s"/>
      <c r="H468" t="s"/>
      <c r="I468" t="s"/>
      <c r="J468" t="n">
        <v>-0.7269</v>
      </c>
      <c r="K468" t="n">
        <v>0.276</v>
      </c>
      <c r="L468" t="n">
        <v>0.724</v>
      </c>
      <c r="M468" t="n">
        <v>0</v>
      </c>
    </row>
    <row r="469" spans="1:13">
      <c r="A469" s="1">
        <f>HYPERLINK("http://www.twitter.com/NathanBLawrence/status/996228848739147776", "996228848739147776")</f>
        <v/>
      </c>
      <c r="B469" s="2" t="n">
        <v>43235.13936342593</v>
      </c>
      <c r="C469" t="n">
        <v>0</v>
      </c>
      <c r="D469" t="n">
        <v>4</v>
      </c>
      <c r="E469" t="s">
        <v>476</v>
      </c>
      <c r="F469" t="s"/>
      <c r="G469" t="s"/>
      <c r="H469" t="s"/>
      <c r="I469" t="s"/>
      <c r="J469" t="n">
        <v>0</v>
      </c>
      <c r="K469" t="n">
        <v>0</v>
      </c>
      <c r="L469" t="n">
        <v>1</v>
      </c>
      <c r="M469" t="n">
        <v>0</v>
      </c>
    </row>
    <row r="470" spans="1:13">
      <c r="A470" s="1">
        <f>HYPERLINK("http://www.twitter.com/NathanBLawrence/status/996228796029206528", "996228796029206528")</f>
        <v/>
      </c>
      <c r="B470" s="2" t="n">
        <v>43235.13921296296</v>
      </c>
      <c r="C470" t="n">
        <v>4</v>
      </c>
      <c r="D470" t="n">
        <v>4</v>
      </c>
      <c r="E470" t="s">
        <v>477</v>
      </c>
      <c r="F470" t="s"/>
      <c r="G470" t="s"/>
      <c r="H470" t="s"/>
      <c r="I470" t="s"/>
      <c r="J470" t="n">
        <v>0</v>
      </c>
      <c r="K470" t="n">
        <v>0</v>
      </c>
      <c r="L470" t="n">
        <v>1</v>
      </c>
      <c r="M470" t="n">
        <v>0</v>
      </c>
    </row>
    <row r="471" spans="1:13">
      <c r="A471" s="1">
        <f>HYPERLINK("http://www.twitter.com/NathanBLawrence/status/996228455749603328", "996228455749603328")</f>
        <v/>
      </c>
      <c r="B471" s="2" t="n">
        <v>43235.13827546296</v>
      </c>
      <c r="C471" t="n">
        <v>1</v>
      </c>
      <c r="D471" t="n">
        <v>0</v>
      </c>
      <c r="E471" t="s">
        <v>478</v>
      </c>
      <c r="F471" t="s"/>
      <c r="G471" t="s"/>
      <c r="H471" t="s"/>
      <c r="I471" t="s"/>
      <c r="J471" t="n">
        <v>-0.6222</v>
      </c>
      <c r="K471" t="n">
        <v>0.193</v>
      </c>
      <c r="L471" t="n">
        <v>0.8070000000000001</v>
      </c>
      <c r="M471" t="n">
        <v>0</v>
      </c>
    </row>
    <row r="472" spans="1:13">
      <c r="A472" s="1">
        <f>HYPERLINK("http://www.twitter.com/NathanBLawrence/status/996227724942462976", "996227724942462976")</f>
        <v/>
      </c>
      <c r="B472" s="2" t="n">
        <v>43235.13626157407</v>
      </c>
      <c r="C472" t="n">
        <v>6</v>
      </c>
      <c r="D472" t="n">
        <v>2</v>
      </c>
      <c r="E472" t="s">
        <v>479</v>
      </c>
      <c r="F472" t="s"/>
      <c r="G472" t="s"/>
      <c r="H472" t="s"/>
      <c r="I472" t="s"/>
      <c r="J472" t="n">
        <v>-0.8401999999999999</v>
      </c>
      <c r="K472" t="n">
        <v>0.222</v>
      </c>
      <c r="L472" t="n">
        <v>0.729</v>
      </c>
      <c r="M472" t="n">
        <v>0.049</v>
      </c>
    </row>
    <row r="473" spans="1:13">
      <c r="A473" s="1">
        <f>HYPERLINK("http://www.twitter.com/NathanBLawrence/status/996227239992799236", "996227239992799236")</f>
        <v/>
      </c>
      <c r="B473" s="2" t="n">
        <v>43235.13491898148</v>
      </c>
      <c r="C473" t="n">
        <v>0</v>
      </c>
      <c r="D473" t="n">
        <v>25</v>
      </c>
      <c r="E473" t="s">
        <v>480</v>
      </c>
      <c r="F473" t="s"/>
      <c r="G473" t="s"/>
      <c r="H473" t="s"/>
      <c r="I473" t="s"/>
      <c r="J473" t="n">
        <v>0.0258</v>
      </c>
      <c r="K473" t="n">
        <v>0.114</v>
      </c>
      <c r="L473" t="n">
        <v>0.769</v>
      </c>
      <c r="M473" t="n">
        <v>0.117</v>
      </c>
    </row>
    <row r="474" spans="1:13">
      <c r="A474" s="1">
        <f>HYPERLINK("http://www.twitter.com/NathanBLawrence/status/996221847980199938", "996221847980199938")</f>
        <v/>
      </c>
      <c r="B474" s="2" t="n">
        <v>43235.1200462963</v>
      </c>
      <c r="C474" t="n">
        <v>0</v>
      </c>
      <c r="D474" t="n">
        <v>7</v>
      </c>
      <c r="E474" t="s">
        <v>481</v>
      </c>
      <c r="F474">
        <f>HYPERLINK("http://pbs.twimg.com/media/DdFz4LtVAAAvskt.jpg", "http://pbs.twimg.com/media/DdFz4LtVAAAvskt.jpg")</f>
        <v/>
      </c>
      <c r="G474" t="s"/>
      <c r="H474" t="s"/>
      <c r="I474" t="s"/>
      <c r="J474" t="n">
        <v>0</v>
      </c>
      <c r="K474" t="n">
        <v>0</v>
      </c>
      <c r="L474" t="n">
        <v>1</v>
      </c>
      <c r="M474" t="n">
        <v>0</v>
      </c>
    </row>
    <row r="475" spans="1:13">
      <c r="A475" s="1">
        <f>HYPERLINK("http://www.twitter.com/NathanBLawrence/status/996214701011947520", "996214701011947520")</f>
        <v/>
      </c>
      <c r="B475" s="2" t="n">
        <v>43235.10032407408</v>
      </c>
      <c r="C475" t="n">
        <v>0</v>
      </c>
      <c r="D475" t="n">
        <v>5</v>
      </c>
      <c r="E475" t="s">
        <v>482</v>
      </c>
      <c r="F475" t="s"/>
      <c r="G475" t="s"/>
      <c r="H475" t="s"/>
      <c r="I475" t="s"/>
      <c r="J475" t="n">
        <v>-0.8804999999999999</v>
      </c>
      <c r="K475" t="n">
        <v>0.362</v>
      </c>
      <c r="L475" t="n">
        <v>0.638</v>
      </c>
      <c r="M475" t="n">
        <v>0</v>
      </c>
    </row>
    <row r="476" spans="1:13">
      <c r="A476" s="1">
        <f>HYPERLINK("http://www.twitter.com/NathanBLawrence/status/996214601682432000", "996214601682432000")</f>
        <v/>
      </c>
      <c r="B476" s="2" t="n">
        <v>43235.1000462963</v>
      </c>
      <c r="C476" t="n">
        <v>0</v>
      </c>
      <c r="D476" t="n">
        <v>8</v>
      </c>
      <c r="E476" t="s">
        <v>483</v>
      </c>
      <c r="F476">
        <f>HYPERLINK("http://pbs.twimg.com/media/DdNB_5QU0AARAsq.jpg", "http://pbs.twimg.com/media/DdNB_5QU0AARAsq.jpg")</f>
        <v/>
      </c>
      <c r="G476" t="s"/>
      <c r="H476" t="s"/>
      <c r="I476" t="s"/>
      <c r="J476" t="n">
        <v>0.4404</v>
      </c>
      <c r="K476" t="n">
        <v>0</v>
      </c>
      <c r="L476" t="n">
        <v>0.873</v>
      </c>
      <c r="M476" t="n">
        <v>0.127</v>
      </c>
    </row>
    <row r="477" spans="1:13">
      <c r="A477" s="1">
        <f>HYPERLINK("http://www.twitter.com/NathanBLawrence/status/996214020079345665", "996214020079345665")</f>
        <v/>
      </c>
      <c r="B477" s="2" t="n">
        <v>43235.0984375</v>
      </c>
      <c r="C477" t="n">
        <v>0</v>
      </c>
      <c r="D477" t="n">
        <v>0</v>
      </c>
      <c r="E477" t="s">
        <v>484</v>
      </c>
      <c r="F477" t="s"/>
      <c r="G477" t="s"/>
      <c r="H477" t="s"/>
      <c r="I477" t="s"/>
      <c r="J477" t="n">
        <v>-0.5423</v>
      </c>
      <c r="K477" t="n">
        <v>0.391</v>
      </c>
      <c r="L477" t="n">
        <v>0.609</v>
      </c>
      <c r="M477" t="n">
        <v>0</v>
      </c>
    </row>
    <row r="478" spans="1:13">
      <c r="A478" s="1">
        <f>HYPERLINK("http://www.twitter.com/NathanBLawrence/status/996212632112848896", "996212632112848896")</f>
        <v/>
      </c>
      <c r="B478" s="2" t="n">
        <v>43235.09460648148</v>
      </c>
      <c r="C478" t="n">
        <v>0</v>
      </c>
      <c r="D478" t="n">
        <v>1</v>
      </c>
      <c r="E478" t="s">
        <v>485</v>
      </c>
      <c r="F478" t="s"/>
      <c r="G478" t="s"/>
      <c r="H478" t="s"/>
      <c r="I478" t="s"/>
      <c r="J478" t="n">
        <v>-0.0772</v>
      </c>
      <c r="K478" t="n">
        <v>0.224</v>
      </c>
      <c r="L478" t="n">
        <v>0.5610000000000001</v>
      </c>
      <c r="M478" t="n">
        <v>0.215</v>
      </c>
    </row>
    <row r="479" spans="1:13">
      <c r="A479" s="1">
        <f>HYPERLINK("http://www.twitter.com/NathanBLawrence/status/996212614370922497", "996212614370922497")</f>
        <v/>
      </c>
      <c r="B479" s="2" t="n">
        <v>43235.09456018519</v>
      </c>
      <c r="C479" t="n">
        <v>6</v>
      </c>
      <c r="D479" t="n">
        <v>1</v>
      </c>
      <c r="E479" t="s">
        <v>486</v>
      </c>
      <c r="F479" t="s"/>
      <c r="G479" t="s"/>
      <c r="H479" t="s"/>
      <c r="I479" t="s"/>
      <c r="J479" t="n">
        <v>0.0516</v>
      </c>
      <c r="K479" t="n">
        <v>0.202</v>
      </c>
      <c r="L479" t="n">
        <v>0.577</v>
      </c>
      <c r="M479" t="n">
        <v>0.221</v>
      </c>
    </row>
    <row r="480" spans="1:13">
      <c r="A480" s="1">
        <f>HYPERLINK("http://www.twitter.com/NathanBLawrence/status/996206882980352000", "996206882980352000")</f>
        <v/>
      </c>
      <c r="B480" s="2" t="n">
        <v>43235.07875</v>
      </c>
      <c r="C480" t="n">
        <v>2</v>
      </c>
      <c r="D480" t="n">
        <v>0</v>
      </c>
      <c r="E480" t="s">
        <v>487</v>
      </c>
      <c r="F480" t="s"/>
      <c r="G480" t="s"/>
      <c r="H480" t="s"/>
      <c r="I480" t="s"/>
      <c r="J480" t="n">
        <v>0.6758999999999999</v>
      </c>
      <c r="K480" t="n">
        <v>0</v>
      </c>
      <c r="L480" t="n">
        <v>0.643</v>
      </c>
      <c r="M480" t="n">
        <v>0.357</v>
      </c>
    </row>
    <row r="481" spans="1:13">
      <c r="A481" s="1">
        <f>HYPERLINK("http://www.twitter.com/NathanBLawrence/status/996194885274406912", "996194885274406912")</f>
        <v/>
      </c>
      <c r="B481" s="2" t="n">
        <v>43235.04563657408</v>
      </c>
      <c r="C481" t="n">
        <v>0</v>
      </c>
      <c r="D481" t="n">
        <v>6</v>
      </c>
      <c r="E481" t="s">
        <v>488</v>
      </c>
      <c r="F481" t="s"/>
      <c r="G481" t="s"/>
      <c r="H481" t="s"/>
      <c r="I481" t="s"/>
      <c r="J481" t="n">
        <v>-0.6573</v>
      </c>
      <c r="K481" t="n">
        <v>0.204</v>
      </c>
      <c r="L481" t="n">
        <v>0.796</v>
      </c>
      <c r="M481" t="n">
        <v>0</v>
      </c>
    </row>
    <row r="482" spans="1:13">
      <c r="A482" s="1">
        <f>HYPERLINK("http://www.twitter.com/NathanBLawrence/status/996192585030012929", "996192585030012929")</f>
        <v/>
      </c>
      <c r="B482" s="2" t="n">
        <v>43235.03929398148</v>
      </c>
      <c r="C482" t="n">
        <v>7</v>
      </c>
      <c r="D482" t="n">
        <v>6</v>
      </c>
      <c r="E482" t="s">
        <v>489</v>
      </c>
      <c r="F482" t="s"/>
      <c r="G482" t="s"/>
      <c r="H482" t="s"/>
      <c r="I482" t="s"/>
      <c r="J482" t="n">
        <v>-0.7518</v>
      </c>
      <c r="K482" t="n">
        <v>0.173</v>
      </c>
      <c r="L482" t="n">
        <v>0.791</v>
      </c>
      <c r="M482" t="n">
        <v>0.036</v>
      </c>
    </row>
    <row r="483" spans="1:13">
      <c r="A483" s="1">
        <f>HYPERLINK("http://www.twitter.com/NathanBLawrence/status/996192042354204673", "996192042354204673")</f>
        <v/>
      </c>
      <c r="B483" s="2" t="n">
        <v>43235.03778935185</v>
      </c>
      <c r="C483" t="n">
        <v>0</v>
      </c>
      <c r="D483" t="n">
        <v>0</v>
      </c>
      <c r="E483" t="s">
        <v>490</v>
      </c>
      <c r="F483" t="s"/>
      <c r="G483" t="s"/>
      <c r="H483" t="s"/>
      <c r="I483" t="s"/>
      <c r="J483" t="n">
        <v>-0.6597</v>
      </c>
      <c r="K483" t="n">
        <v>0.199</v>
      </c>
      <c r="L483" t="n">
        <v>0.767</v>
      </c>
      <c r="M483" t="n">
        <v>0.034</v>
      </c>
    </row>
    <row r="484" spans="1:13">
      <c r="A484" s="1">
        <f>HYPERLINK("http://www.twitter.com/NathanBLawrence/status/996191670029996032", "996191670029996032")</f>
        <v/>
      </c>
      <c r="B484" s="2" t="n">
        <v>43235.03677083334</v>
      </c>
      <c r="C484" t="n">
        <v>0</v>
      </c>
      <c r="D484" t="n">
        <v>5</v>
      </c>
      <c r="E484" t="s">
        <v>491</v>
      </c>
      <c r="F484" t="s"/>
      <c r="G484" t="s"/>
      <c r="H484" t="s"/>
      <c r="I484" t="s"/>
      <c r="J484" t="n">
        <v>0</v>
      </c>
      <c r="K484" t="n">
        <v>0</v>
      </c>
      <c r="L484" t="n">
        <v>1</v>
      </c>
      <c r="M484" t="n">
        <v>0</v>
      </c>
    </row>
    <row r="485" spans="1:13">
      <c r="A485" s="1">
        <f>HYPERLINK("http://www.twitter.com/NathanBLawrence/status/996191469328363520", "996191469328363520")</f>
        <v/>
      </c>
      <c r="B485" s="2" t="n">
        <v>43235.03621527777</v>
      </c>
      <c r="C485" t="n">
        <v>0</v>
      </c>
      <c r="D485" t="n">
        <v>10</v>
      </c>
      <c r="E485" t="s">
        <v>492</v>
      </c>
      <c r="F485" t="s"/>
      <c r="G485" t="s"/>
      <c r="H485" t="s"/>
      <c r="I485" t="s"/>
      <c r="J485" t="n">
        <v>-0.5423</v>
      </c>
      <c r="K485" t="n">
        <v>0.163</v>
      </c>
      <c r="L485" t="n">
        <v>0.837</v>
      </c>
      <c r="M485" t="n">
        <v>0</v>
      </c>
    </row>
    <row r="486" spans="1:13">
      <c r="A486" s="1">
        <f>HYPERLINK("http://www.twitter.com/NathanBLawrence/status/996190534996774912", "996190534996774912")</f>
        <v/>
      </c>
      <c r="B486" s="2" t="n">
        <v>43235.03363425926</v>
      </c>
      <c r="C486" t="n">
        <v>0</v>
      </c>
      <c r="D486" t="n">
        <v>10</v>
      </c>
      <c r="E486" t="s">
        <v>493</v>
      </c>
      <c r="F486" t="s"/>
      <c r="G486" t="s"/>
      <c r="H486" t="s"/>
      <c r="I486" t="s"/>
      <c r="J486" t="n">
        <v>0</v>
      </c>
      <c r="K486" t="n">
        <v>0</v>
      </c>
      <c r="L486" t="n">
        <v>1</v>
      </c>
      <c r="M486" t="n">
        <v>0</v>
      </c>
    </row>
    <row r="487" spans="1:13">
      <c r="A487" s="1">
        <f>HYPERLINK("http://www.twitter.com/NathanBLawrence/status/996190508463611904", "996190508463611904")</f>
        <v/>
      </c>
      <c r="B487" s="2" t="n">
        <v>43235.03356481482</v>
      </c>
      <c r="C487" t="n">
        <v>18</v>
      </c>
      <c r="D487" t="n">
        <v>10</v>
      </c>
      <c r="E487" t="s">
        <v>494</v>
      </c>
      <c r="F487" t="s"/>
      <c r="G487" t="s"/>
      <c r="H487" t="s"/>
      <c r="I487" t="s"/>
      <c r="J487" t="n">
        <v>-0.299</v>
      </c>
      <c r="K487" t="n">
        <v>0.095</v>
      </c>
      <c r="L487" t="n">
        <v>0.803</v>
      </c>
      <c r="M487" t="n">
        <v>0.102</v>
      </c>
    </row>
    <row r="488" spans="1:13">
      <c r="A488" s="1">
        <f>HYPERLINK("http://www.twitter.com/NathanBLawrence/status/996188477493514241", "996188477493514241")</f>
        <v/>
      </c>
      <c r="B488" s="2" t="n">
        <v>43235.02795138889</v>
      </c>
      <c r="C488" t="n">
        <v>0</v>
      </c>
      <c r="D488" t="n">
        <v>6</v>
      </c>
      <c r="E488" t="s">
        <v>495</v>
      </c>
      <c r="F488" t="s"/>
      <c r="G488" t="s"/>
      <c r="H488" t="s"/>
      <c r="I488" t="s"/>
      <c r="J488" t="n">
        <v>0</v>
      </c>
      <c r="K488" t="n">
        <v>0</v>
      </c>
      <c r="L488" t="n">
        <v>1</v>
      </c>
      <c r="M488" t="n">
        <v>0</v>
      </c>
    </row>
    <row r="489" spans="1:13">
      <c r="A489" s="1">
        <f>HYPERLINK("http://www.twitter.com/NathanBLawrence/status/996184809566240768", "996184809566240768")</f>
        <v/>
      </c>
      <c r="B489" s="2" t="n">
        <v>43235.01783564815</v>
      </c>
      <c r="C489" t="n">
        <v>1</v>
      </c>
      <c r="D489" t="n">
        <v>0</v>
      </c>
      <c r="E489" t="s">
        <v>496</v>
      </c>
      <c r="F489" t="s"/>
      <c r="G489" t="s"/>
      <c r="H489" t="s"/>
      <c r="I489" t="s"/>
      <c r="J489" t="n">
        <v>0</v>
      </c>
      <c r="K489" t="n">
        <v>0</v>
      </c>
      <c r="L489" t="n">
        <v>1</v>
      </c>
      <c r="M489" t="n">
        <v>0</v>
      </c>
    </row>
    <row r="490" spans="1:13">
      <c r="A490" s="1">
        <f>HYPERLINK("http://www.twitter.com/NathanBLawrence/status/996179360871837697", "996179360871837697")</f>
        <v/>
      </c>
      <c r="B490" s="2" t="n">
        <v>43235.00280092593</v>
      </c>
      <c r="C490" t="n">
        <v>0</v>
      </c>
      <c r="D490" t="n">
        <v>0</v>
      </c>
      <c r="E490" t="s">
        <v>497</v>
      </c>
      <c r="F490" t="s"/>
      <c r="G490" t="s"/>
      <c r="H490" t="s"/>
      <c r="I490" t="s"/>
      <c r="J490" t="n">
        <v>0.1779</v>
      </c>
      <c r="K490" t="n">
        <v>0.11</v>
      </c>
      <c r="L490" t="n">
        <v>0.726</v>
      </c>
      <c r="M490" t="n">
        <v>0.164</v>
      </c>
    </row>
    <row r="491" spans="1:13">
      <c r="A491" s="1">
        <f>HYPERLINK("http://www.twitter.com/NathanBLawrence/status/996176049783353344", "996176049783353344")</f>
        <v/>
      </c>
      <c r="B491" s="2" t="n">
        <v>43234.99365740741</v>
      </c>
      <c r="C491" t="n">
        <v>0</v>
      </c>
      <c r="D491" t="n">
        <v>0</v>
      </c>
      <c r="E491" t="s">
        <v>498</v>
      </c>
      <c r="F491" t="s"/>
      <c r="G491" t="s"/>
      <c r="H491" t="s"/>
      <c r="I491" t="s"/>
      <c r="J491" t="n">
        <v>-0.8270999999999999</v>
      </c>
      <c r="K491" t="n">
        <v>0.199</v>
      </c>
      <c r="L491" t="n">
        <v>0.801</v>
      </c>
      <c r="M491" t="n">
        <v>0</v>
      </c>
    </row>
    <row r="492" spans="1:13">
      <c r="A492" s="1">
        <f>HYPERLINK("http://www.twitter.com/NathanBLawrence/status/996175187811893255", "996175187811893255")</f>
        <v/>
      </c>
      <c r="B492" s="2" t="n">
        <v>43234.99128472222</v>
      </c>
      <c r="C492" t="n">
        <v>0</v>
      </c>
      <c r="D492" t="n">
        <v>11</v>
      </c>
      <c r="E492" t="s">
        <v>499</v>
      </c>
      <c r="F492" t="s"/>
      <c r="G492" t="s"/>
      <c r="H492" t="s"/>
      <c r="I492" t="s"/>
      <c r="J492" t="n">
        <v>0.636</v>
      </c>
      <c r="K492" t="n">
        <v>0.099</v>
      </c>
      <c r="L492" t="n">
        <v>0.635</v>
      </c>
      <c r="M492" t="n">
        <v>0.266</v>
      </c>
    </row>
    <row r="493" spans="1:13">
      <c r="A493" s="1">
        <f>HYPERLINK("http://www.twitter.com/NathanBLawrence/status/996173368465481729", "996173368465481729")</f>
        <v/>
      </c>
      <c r="B493" s="2" t="n">
        <v>43234.98626157407</v>
      </c>
      <c r="C493" t="n">
        <v>0</v>
      </c>
      <c r="D493" t="n">
        <v>32</v>
      </c>
      <c r="E493" t="s">
        <v>500</v>
      </c>
      <c r="F493" t="s"/>
      <c r="G493" t="s"/>
      <c r="H493" t="s"/>
      <c r="I493" t="s"/>
      <c r="J493" t="n">
        <v>-0.6486</v>
      </c>
      <c r="K493" t="n">
        <v>0.202</v>
      </c>
      <c r="L493" t="n">
        <v>0.798</v>
      </c>
      <c r="M493" t="n">
        <v>0</v>
      </c>
    </row>
    <row r="494" spans="1:13">
      <c r="A494" s="1">
        <f>HYPERLINK("http://www.twitter.com/NathanBLawrence/status/996173208465403906", "996173208465403906")</f>
        <v/>
      </c>
      <c r="B494" s="2" t="n">
        <v>43234.98582175926</v>
      </c>
      <c r="C494" t="n">
        <v>0</v>
      </c>
      <c r="D494" t="n">
        <v>10</v>
      </c>
      <c r="E494" t="s">
        <v>501</v>
      </c>
      <c r="F494" t="s"/>
      <c r="G494" t="s"/>
      <c r="H494" t="s"/>
      <c r="I494" t="s"/>
      <c r="J494" t="n">
        <v>0.0493</v>
      </c>
      <c r="K494" t="n">
        <v>0.229</v>
      </c>
      <c r="L494" t="n">
        <v>0.5659999999999999</v>
      </c>
      <c r="M494" t="n">
        <v>0.205</v>
      </c>
    </row>
    <row r="495" spans="1:13">
      <c r="A495" s="1">
        <f>HYPERLINK("http://www.twitter.com/NathanBLawrence/status/996173144380592128", "996173144380592128")</f>
        <v/>
      </c>
      <c r="B495" s="2" t="n">
        <v>43234.98564814815</v>
      </c>
      <c r="C495" t="n">
        <v>16</v>
      </c>
      <c r="D495" t="n">
        <v>10</v>
      </c>
      <c r="E495" t="s">
        <v>502</v>
      </c>
      <c r="F495" t="s"/>
      <c r="G495" t="s"/>
      <c r="H495" t="s"/>
      <c r="I495" t="s"/>
      <c r="J495" t="n">
        <v>-0.4223</v>
      </c>
      <c r="K495" t="n">
        <v>0.215</v>
      </c>
      <c r="L495" t="n">
        <v>0.643</v>
      </c>
      <c r="M495" t="n">
        <v>0.141</v>
      </c>
    </row>
    <row r="496" spans="1:13">
      <c r="A496" s="1">
        <f>HYPERLINK("http://www.twitter.com/NathanBLawrence/status/996171029478244353", "996171029478244353")</f>
        <v/>
      </c>
      <c r="B496" s="2" t="n">
        <v>43234.97981481482</v>
      </c>
      <c r="C496" t="n">
        <v>17</v>
      </c>
      <c r="D496" t="n">
        <v>4</v>
      </c>
      <c r="E496" t="s">
        <v>503</v>
      </c>
      <c r="F496" t="s"/>
      <c r="G496" t="s"/>
      <c r="H496" t="s"/>
      <c r="I496" t="s"/>
      <c r="J496" t="n">
        <v>-0.4404</v>
      </c>
      <c r="K496" t="n">
        <v>0.118</v>
      </c>
      <c r="L496" t="n">
        <v>0.8169999999999999</v>
      </c>
      <c r="M496" t="n">
        <v>0.065</v>
      </c>
    </row>
    <row r="497" spans="1:13">
      <c r="A497" s="1">
        <f>HYPERLINK("http://www.twitter.com/NathanBLawrence/status/996144204626694144", "996144204626694144")</f>
        <v/>
      </c>
      <c r="B497" s="2" t="n">
        <v>43234.90578703704</v>
      </c>
      <c r="C497" t="n">
        <v>0</v>
      </c>
      <c r="D497" t="n">
        <v>1</v>
      </c>
      <c r="E497" t="s">
        <v>504</v>
      </c>
      <c r="F497" t="s"/>
      <c r="G497" t="s"/>
      <c r="H497" t="s"/>
      <c r="I497" t="s"/>
      <c r="J497" t="n">
        <v>0.8070000000000001</v>
      </c>
      <c r="K497" t="n">
        <v>0</v>
      </c>
      <c r="L497" t="n">
        <v>0.7</v>
      </c>
      <c r="M497" t="n">
        <v>0.3</v>
      </c>
    </row>
    <row r="498" spans="1:13">
      <c r="A498" s="1">
        <f>HYPERLINK("http://www.twitter.com/NathanBLawrence/status/996144117221642240", "996144117221642240")</f>
        <v/>
      </c>
      <c r="B498" s="2" t="n">
        <v>43234.90554398148</v>
      </c>
      <c r="C498" t="n">
        <v>5</v>
      </c>
      <c r="D498" t="n">
        <v>0</v>
      </c>
      <c r="E498" t="s">
        <v>505</v>
      </c>
      <c r="F498" t="s"/>
      <c r="G498" t="s"/>
      <c r="H498" t="s"/>
      <c r="I498" t="s"/>
      <c r="J498" t="n">
        <v>0</v>
      </c>
      <c r="K498" t="n">
        <v>0</v>
      </c>
      <c r="L498" t="n">
        <v>1</v>
      </c>
      <c r="M498" t="n">
        <v>0</v>
      </c>
    </row>
    <row r="499" spans="1:13">
      <c r="A499" s="1">
        <f>HYPERLINK("http://www.twitter.com/NathanBLawrence/status/996142731167764480", "996142731167764480")</f>
        <v/>
      </c>
      <c r="B499" s="2" t="n">
        <v>43234.90172453703</v>
      </c>
      <c r="C499" t="n">
        <v>0</v>
      </c>
      <c r="D499" t="n">
        <v>2</v>
      </c>
      <c r="E499" t="s">
        <v>506</v>
      </c>
      <c r="F499" t="s"/>
      <c r="G499" t="s"/>
      <c r="H499" t="s"/>
      <c r="I499" t="s"/>
      <c r="J499" t="n">
        <v>0.3612</v>
      </c>
      <c r="K499" t="n">
        <v>0</v>
      </c>
      <c r="L499" t="n">
        <v>0.872</v>
      </c>
      <c r="M499" t="n">
        <v>0.128</v>
      </c>
    </row>
    <row r="500" spans="1:13">
      <c r="A500" s="1">
        <f>HYPERLINK("http://www.twitter.com/NathanBLawrence/status/996140054102925312", "996140054102925312")</f>
        <v/>
      </c>
      <c r="B500" s="2" t="n">
        <v>43234.8943287037</v>
      </c>
      <c r="C500" t="n">
        <v>0</v>
      </c>
      <c r="D500" t="n">
        <v>2</v>
      </c>
      <c r="E500" t="s">
        <v>507</v>
      </c>
      <c r="F500" t="s"/>
      <c r="G500" t="s"/>
      <c r="H500" t="s"/>
      <c r="I500" t="s"/>
      <c r="J500" t="n">
        <v>0</v>
      </c>
      <c r="K500" t="n">
        <v>0</v>
      </c>
      <c r="L500" t="n">
        <v>1</v>
      </c>
      <c r="M500" t="n">
        <v>0</v>
      </c>
    </row>
    <row r="501" spans="1:13">
      <c r="A501" s="1">
        <f>HYPERLINK("http://www.twitter.com/NathanBLawrence/status/996140036361019392", "996140036361019392")</f>
        <v/>
      </c>
      <c r="B501" s="2" t="n">
        <v>43234.8942824074</v>
      </c>
      <c r="C501" t="n">
        <v>1</v>
      </c>
      <c r="D501" t="n">
        <v>2</v>
      </c>
      <c r="E501" t="s">
        <v>508</v>
      </c>
      <c r="F501" t="s"/>
      <c r="G501" t="s"/>
      <c r="H501" t="s"/>
      <c r="I501" t="s"/>
      <c r="J501" t="n">
        <v>0</v>
      </c>
      <c r="K501" t="n">
        <v>0</v>
      </c>
      <c r="L501" t="n">
        <v>1</v>
      </c>
      <c r="M501" t="n">
        <v>0</v>
      </c>
    </row>
    <row r="502" spans="1:13">
      <c r="A502" s="1">
        <f>HYPERLINK("http://www.twitter.com/NathanBLawrence/status/996139583476846593", "996139583476846593")</f>
        <v/>
      </c>
      <c r="B502" s="2" t="n">
        <v>43234.89303240741</v>
      </c>
      <c r="C502" t="n">
        <v>0</v>
      </c>
      <c r="D502" t="n">
        <v>2</v>
      </c>
      <c r="E502" t="s">
        <v>509</v>
      </c>
      <c r="F502" t="s"/>
      <c r="G502" t="s"/>
      <c r="H502" t="s"/>
      <c r="I502" t="s"/>
      <c r="J502" t="n">
        <v>0</v>
      </c>
      <c r="K502" t="n">
        <v>0</v>
      </c>
      <c r="L502" t="n">
        <v>1</v>
      </c>
      <c r="M502" t="n">
        <v>0</v>
      </c>
    </row>
    <row r="503" spans="1:13">
      <c r="A503" s="1">
        <f>HYPERLINK("http://www.twitter.com/NathanBLawrence/status/996139501461430274", "996139501461430274")</f>
        <v/>
      </c>
      <c r="B503" s="2" t="n">
        <v>43234.8928125</v>
      </c>
      <c r="C503" t="n">
        <v>0</v>
      </c>
      <c r="D503" t="n">
        <v>2</v>
      </c>
      <c r="E503" t="s">
        <v>510</v>
      </c>
      <c r="F503">
        <f>HYPERLINK("http://pbs.twimg.com/media/DdLA9keW0AwA8Dh.jpg", "http://pbs.twimg.com/media/DdLA9keW0AwA8Dh.jpg")</f>
        <v/>
      </c>
      <c r="G503" t="s"/>
      <c r="H503" t="s"/>
      <c r="I503" t="s"/>
      <c r="J503" t="n">
        <v>0</v>
      </c>
      <c r="K503" t="n">
        <v>0</v>
      </c>
      <c r="L503" t="n">
        <v>1</v>
      </c>
      <c r="M503" t="n">
        <v>0</v>
      </c>
    </row>
    <row r="504" spans="1:13">
      <c r="A504" s="1">
        <f>HYPERLINK("http://www.twitter.com/NathanBLawrence/status/996135154220494849", "996135154220494849")</f>
        <v/>
      </c>
      <c r="B504" s="2" t="n">
        <v>43234.88081018518</v>
      </c>
      <c r="C504" t="n">
        <v>0</v>
      </c>
      <c r="D504" t="n">
        <v>4</v>
      </c>
      <c r="E504" t="s">
        <v>511</v>
      </c>
      <c r="F504" t="s"/>
      <c r="G504" t="s"/>
      <c r="H504" t="s"/>
      <c r="I504" t="s"/>
      <c r="J504" t="n">
        <v>-0.7351</v>
      </c>
      <c r="K504" t="n">
        <v>0.311</v>
      </c>
      <c r="L504" t="n">
        <v>0.594</v>
      </c>
      <c r="M504" t="n">
        <v>0.094</v>
      </c>
    </row>
    <row r="505" spans="1:13">
      <c r="A505" s="1">
        <f>HYPERLINK("http://www.twitter.com/NathanBLawrence/status/996135063019548677", "996135063019548677")</f>
        <v/>
      </c>
      <c r="B505" s="2" t="n">
        <v>43234.88055555556</v>
      </c>
      <c r="C505" t="n">
        <v>9</v>
      </c>
      <c r="D505" t="n">
        <v>4</v>
      </c>
      <c r="E505" t="s">
        <v>512</v>
      </c>
      <c r="F505" t="s"/>
      <c r="G505" t="s"/>
      <c r="H505" t="s"/>
      <c r="I505" t="s"/>
      <c r="J505" t="n">
        <v>-0.5859</v>
      </c>
      <c r="K505" t="n">
        <v>0.207</v>
      </c>
      <c r="L505" t="n">
        <v>0.674</v>
      </c>
      <c r="M505" t="n">
        <v>0.119</v>
      </c>
    </row>
    <row r="506" spans="1:13">
      <c r="A506" s="1">
        <f>HYPERLINK("http://www.twitter.com/NathanBLawrence/status/996134515553783808", "996134515553783808")</f>
        <v/>
      </c>
      <c r="B506" s="2" t="n">
        <v>43234.87905092593</v>
      </c>
      <c r="C506" t="n">
        <v>0</v>
      </c>
      <c r="D506" t="n">
        <v>3</v>
      </c>
      <c r="E506" t="s">
        <v>513</v>
      </c>
      <c r="F506">
        <f>HYPERLINK("http://pbs.twimg.com/media/DdL7AqYWsAA4mSJ.jpg", "http://pbs.twimg.com/media/DdL7AqYWsAA4mSJ.jpg")</f>
        <v/>
      </c>
      <c r="G506" t="s"/>
      <c r="H506" t="s"/>
      <c r="I506" t="s"/>
      <c r="J506" t="n">
        <v>0</v>
      </c>
      <c r="K506" t="n">
        <v>0</v>
      </c>
      <c r="L506" t="n">
        <v>1</v>
      </c>
      <c r="M506" t="n">
        <v>0</v>
      </c>
    </row>
    <row r="507" spans="1:13">
      <c r="A507" s="1">
        <f>HYPERLINK("http://www.twitter.com/NathanBLawrence/status/996134466245586945", "996134466245586945")</f>
        <v/>
      </c>
      <c r="B507" s="2" t="n">
        <v>43234.87891203703</v>
      </c>
      <c r="C507" t="n">
        <v>4</v>
      </c>
      <c r="D507" t="n">
        <v>3</v>
      </c>
      <c r="E507" t="s">
        <v>514</v>
      </c>
      <c r="F507">
        <f>HYPERLINK("http://pbs.twimg.com/media/DdL7AqYWsAA4mSJ.jpg", "http://pbs.twimg.com/media/DdL7AqYWsAA4mSJ.jpg")</f>
        <v/>
      </c>
      <c r="G507" t="s"/>
      <c r="H507" t="s"/>
      <c r="I507" t="s"/>
      <c r="J507" t="n">
        <v>0.2869</v>
      </c>
      <c r="K507" t="n">
        <v>0.047</v>
      </c>
      <c r="L507" t="n">
        <v>0.859</v>
      </c>
      <c r="M507" t="n">
        <v>0.094</v>
      </c>
    </row>
    <row r="508" spans="1:13">
      <c r="A508" s="1">
        <f>HYPERLINK("http://www.twitter.com/NathanBLawrence/status/996131253236756480", "996131253236756480")</f>
        <v/>
      </c>
      <c r="B508" s="2" t="n">
        <v>43234.8700462963</v>
      </c>
      <c r="C508" t="n">
        <v>0</v>
      </c>
      <c r="D508" t="n">
        <v>19</v>
      </c>
      <c r="E508" t="s">
        <v>515</v>
      </c>
      <c r="F508" t="s"/>
      <c r="G508" t="s"/>
      <c r="H508" t="s"/>
      <c r="I508" t="s"/>
      <c r="J508" t="n">
        <v>-0.296</v>
      </c>
      <c r="K508" t="n">
        <v>0.08699999999999999</v>
      </c>
      <c r="L508" t="n">
        <v>0.913</v>
      </c>
      <c r="M508" t="n">
        <v>0</v>
      </c>
    </row>
    <row r="509" spans="1:13">
      <c r="A509" s="1">
        <f>HYPERLINK("http://www.twitter.com/NathanBLawrence/status/996130960554057729", "996130960554057729")</f>
        <v/>
      </c>
      <c r="B509" s="2" t="n">
        <v>43234.86923611111</v>
      </c>
      <c r="C509" t="n">
        <v>0</v>
      </c>
      <c r="D509" t="n">
        <v>2</v>
      </c>
      <c r="E509" t="s">
        <v>516</v>
      </c>
      <c r="F509" t="s"/>
      <c r="G509" t="s"/>
      <c r="H509" t="s"/>
      <c r="I509" t="s"/>
      <c r="J509" t="n">
        <v>0</v>
      </c>
      <c r="K509" t="n">
        <v>0</v>
      </c>
      <c r="L509" t="n">
        <v>1</v>
      </c>
      <c r="M509" t="n">
        <v>0</v>
      </c>
    </row>
    <row r="510" spans="1:13">
      <c r="A510" s="1">
        <f>HYPERLINK("http://www.twitter.com/NathanBLawrence/status/996128776999317504", "996128776999317504")</f>
        <v/>
      </c>
      <c r="B510" s="2" t="n">
        <v>43234.8632175926</v>
      </c>
      <c r="C510" t="n">
        <v>0</v>
      </c>
      <c r="D510" t="n">
        <v>2</v>
      </c>
      <c r="E510" t="s">
        <v>517</v>
      </c>
      <c r="F510" t="s"/>
      <c r="G510" t="s"/>
      <c r="H510" t="s"/>
      <c r="I510" t="s"/>
      <c r="J510" t="n">
        <v>-0.3818</v>
      </c>
      <c r="K510" t="n">
        <v>0.11</v>
      </c>
      <c r="L510" t="n">
        <v>0.89</v>
      </c>
      <c r="M510" t="n">
        <v>0</v>
      </c>
    </row>
    <row r="511" spans="1:13">
      <c r="A511" s="1">
        <f>HYPERLINK("http://www.twitter.com/NathanBLawrence/status/996128029297569793", "996128029297569793")</f>
        <v/>
      </c>
      <c r="B511" s="2" t="n">
        <v>43234.86115740741</v>
      </c>
      <c r="C511" t="n">
        <v>0</v>
      </c>
      <c r="D511" t="n">
        <v>4</v>
      </c>
      <c r="E511" t="s">
        <v>518</v>
      </c>
      <c r="F511" t="s"/>
      <c r="G511" t="s"/>
      <c r="H511" t="s"/>
      <c r="I511" t="s"/>
      <c r="J511" t="n">
        <v>0.3182</v>
      </c>
      <c r="K511" t="n">
        <v>0</v>
      </c>
      <c r="L511" t="n">
        <v>0.897</v>
      </c>
      <c r="M511" t="n">
        <v>0.103</v>
      </c>
    </row>
    <row r="512" spans="1:13">
      <c r="A512" s="1">
        <f>HYPERLINK("http://www.twitter.com/NathanBLawrence/status/996127581320736769", "996127581320736769")</f>
        <v/>
      </c>
      <c r="B512" s="2" t="n">
        <v>43234.85991898148</v>
      </c>
      <c r="C512" t="n">
        <v>10</v>
      </c>
      <c r="D512" t="n">
        <v>4</v>
      </c>
      <c r="E512" t="s">
        <v>519</v>
      </c>
      <c r="F512" t="s"/>
      <c r="G512" t="s"/>
      <c r="H512" t="s"/>
      <c r="I512" t="s"/>
      <c r="J512" t="n">
        <v>0.3182</v>
      </c>
      <c r="K512" t="n">
        <v>0</v>
      </c>
      <c r="L512" t="n">
        <v>0.897</v>
      </c>
      <c r="M512" t="n">
        <v>0.103</v>
      </c>
    </row>
    <row r="513" spans="1:13">
      <c r="A513" s="1">
        <f>HYPERLINK("http://www.twitter.com/NathanBLawrence/status/996127348570361856", "996127348570361856")</f>
        <v/>
      </c>
      <c r="B513" s="2" t="n">
        <v>43234.85927083333</v>
      </c>
      <c r="C513" t="n">
        <v>0</v>
      </c>
      <c r="D513" t="n">
        <v>8</v>
      </c>
      <c r="E513" t="s">
        <v>520</v>
      </c>
      <c r="F513" t="s"/>
      <c r="G513" t="s"/>
      <c r="H513" t="s"/>
      <c r="I513" t="s"/>
      <c r="J513" t="n">
        <v>0</v>
      </c>
      <c r="K513" t="n">
        <v>0</v>
      </c>
      <c r="L513" t="n">
        <v>1</v>
      </c>
      <c r="M513" t="n">
        <v>0</v>
      </c>
    </row>
    <row r="514" spans="1:13">
      <c r="A514" s="1">
        <f>HYPERLINK("http://www.twitter.com/NathanBLawrence/status/996101115082170368", "996101115082170368")</f>
        <v/>
      </c>
      <c r="B514" s="2" t="n">
        <v>43234.78688657407</v>
      </c>
      <c r="C514" t="n">
        <v>0</v>
      </c>
      <c r="D514" t="n">
        <v>3</v>
      </c>
      <c r="E514" t="s">
        <v>521</v>
      </c>
      <c r="F514" t="s"/>
      <c r="G514" t="s"/>
      <c r="H514" t="s"/>
      <c r="I514" t="s"/>
      <c r="J514" t="n">
        <v>0</v>
      </c>
      <c r="K514" t="n">
        <v>0</v>
      </c>
      <c r="L514" t="n">
        <v>1</v>
      </c>
      <c r="M514" t="n">
        <v>0</v>
      </c>
    </row>
    <row r="515" spans="1:13">
      <c r="A515" s="1">
        <f>HYPERLINK("http://www.twitter.com/NathanBLawrence/status/996101032403972096", "996101032403972096")</f>
        <v/>
      </c>
      <c r="B515" s="2" t="n">
        <v>43234.78665509259</v>
      </c>
      <c r="C515" t="n">
        <v>9</v>
      </c>
      <c r="D515" t="n">
        <v>3</v>
      </c>
      <c r="E515" t="s">
        <v>522</v>
      </c>
      <c r="F515" t="s"/>
      <c r="G515" t="s"/>
      <c r="H515" t="s"/>
      <c r="I515" t="s"/>
      <c r="J515" t="n">
        <v>0</v>
      </c>
      <c r="K515" t="n">
        <v>0</v>
      </c>
      <c r="L515" t="n">
        <v>1</v>
      </c>
      <c r="M515" t="n">
        <v>0</v>
      </c>
    </row>
    <row r="516" spans="1:13">
      <c r="A516" s="1">
        <f>HYPERLINK("http://www.twitter.com/NathanBLawrence/status/996099726448775168", "996099726448775168")</f>
        <v/>
      </c>
      <c r="B516" s="2" t="n">
        <v>43234.78305555556</v>
      </c>
      <c r="C516" t="n">
        <v>0</v>
      </c>
      <c r="D516" t="n">
        <v>16</v>
      </c>
      <c r="E516" t="s">
        <v>523</v>
      </c>
      <c r="F516" t="s"/>
      <c r="G516" t="s"/>
      <c r="H516" t="s"/>
      <c r="I516" t="s"/>
      <c r="J516" t="n">
        <v>0.128</v>
      </c>
      <c r="K516" t="n">
        <v>0.089</v>
      </c>
      <c r="L516" t="n">
        <v>0.802</v>
      </c>
      <c r="M516" t="n">
        <v>0.11</v>
      </c>
    </row>
    <row r="517" spans="1:13">
      <c r="A517" s="1">
        <f>HYPERLINK("http://www.twitter.com/NathanBLawrence/status/996086959377473540", "996086959377473540")</f>
        <v/>
      </c>
      <c r="B517" s="2" t="n">
        <v>43234.74782407407</v>
      </c>
      <c r="C517" t="n">
        <v>0</v>
      </c>
      <c r="D517" t="n">
        <v>22</v>
      </c>
      <c r="E517" t="s">
        <v>524</v>
      </c>
      <c r="F517" t="s"/>
      <c r="G517" t="s"/>
      <c r="H517" t="s"/>
      <c r="I517" t="s"/>
      <c r="J517" t="n">
        <v>0.5859</v>
      </c>
      <c r="K517" t="n">
        <v>0</v>
      </c>
      <c r="L517" t="n">
        <v>0.821</v>
      </c>
      <c r="M517" t="n">
        <v>0.179</v>
      </c>
    </row>
    <row r="518" spans="1:13">
      <c r="A518" s="1">
        <f>HYPERLINK("http://www.twitter.com/NathanBLawrence/status/996069224501186560", "996069224501186560")</f>
        <v/>
      </c>
      <c r="B518" s="2" t="n">
        <v>43234.69887731481</v>
      </c>
      <c r="C518" t="n">
        <v>0</v>
      </c>
      <c r="D518" t="n">
        <v>30</v>
      </c>
      <c r="E518" t="s">
        <v>525</v>
      </c>
      <c r="F518" t="s"/>
      <c r="G518" t="s"/>
      <c r="H518" t="s"/>
      <c r="I518" t="s"/>
      <c r="J518" t="n">
        <v>-0.6124000000000001</v>
      </c>
      <c r="K518" t="n">
        <v>0.185</v>
      </c>
      <c r="L518" t="n">
        <v>0.8149999999999999</v>
      </c>
      <c r="M518" t="n">
        <v>0</v>
      </c>
    </row>
    <row r="519" spans="1:13">
      <c r="A519" s="1">
        <f>HYPERLINK("http://www.twitter.com/NathanBLawrence/status/996069051519717376", "996069051519717376")</f>
        <v/>
      </c>
      <c r="B519" s="2" t="n">
        <v>43234.69840277778</v>
      </c>
      <c r="C519" t="n">
        <v>0</v>
      </c>
      <c r="D519" t="n">
        <v>2</v>
      </c>
      <c r="E519" t="s">
        <v>526</v>
      </c>
      <c r="F519" t="s"/>
      <c r="G519" t="s"/>
      <c r="H519" t="s"/>
      <c r="I519" t="s"/>
      <c r="J519" t="n">
        <v>0.1531</v>
      </c>
      <c r="K519" t="n">
        <v>0.174</v>
      </c>
      <c r="L519" t="n">
        <v>0.606</v>
      </c>
      <c r="M519" t="n">
        <v>0.22</v>
      </c>
    </row>
    <row r="520" spans="1:13">
      <c r="A520" s="1">
        <f>HYPERLINK("http://www.twitter.com/NathanBLawrence/status/996068941003882497", "996068941003882497")</f>
        <v/>
      </c>
      <c r="B520" s="2" t="n">
        <v>43234.69810185185</v>
      </c>
      <c r="C520" t="n">
        <v>0</v>
      </c>
      <c r="D520" t="n">
        <v>2</v>
      </c>
      <c r="E520" t="s">
        <v>527</v>
      </c>
      <c r="F520" t="s"/>
      <c r="G520" t="s"/>
      <c r="H520" t="s"/>
      <c r="I520" t="s"/>
      <c r="J520" t="n">
        <v>0</v>
      </c>
      <c r="K520" t="n">
        <v>0</v>
      </c>
      <c r="L520" t="n">
        <v>1</v>
      </c>
      <c r="M520" t="n">
        <v>0</v>
      </c>
    </row>
    <row r="521" spans="1:13">
      <c r="A521" s="1">
        <f>HYPERLINK("http://www.twitter.com/NathanBLawrence/status/996068159496040448", "996068159496040448")</f>
        <v/>
      </c>
      <c r="B521" s="2" t="n">
        <v>43234.6959375</v>
      </c>
      <c r="C521" t="n">
        <v>0</v>
      </c>
      <c r="D521" t="n">
        <v>0</v>
      </c>
      <c r="E521" t="s">
        <v>528</v>
      </c>
      <c r="F521" t="s"/>
      <c r="G521" t="s"/>
      <c r="H521" t="s"/>
      <c r="I521" t="s"/>
      <c r="J521" t="n">
        <v>-0.1779</v>
      </c>
      <c r="K521" t="n">
        <v>0.106</v>
      </c>
      <c r="L521" t="n">
        <v>0.821</v>
      </c>
      <c r="M521" t="n">
        <v>0.07199999999999999</v>
      </c>
    </row>
    <row r="522" spans="1:13">
      <c r="A522" s="1">
        <f>HYPERLINK("http://www.twitter.com/NathanBLawrence/status/996065247113961473", "996065247113961473")</f>
        <v/>
      </c>
      <c r="B522" s="2" t="n">
        <v>43234.68790509259</v>
      </c>
      <c r="C522" t="n">
        <v>0</v>
      </c>
      <c r="D522" t="n">
        <v>1</v>
      </c>
      <c r="E522" t="s">
        <v>529</v>
      </c>
      <c r="F522" t="s"/>
      <c r="G522" t="s"/>
      <c r="H522" t="s"/>
      <c r="I522" t="s"/>
      <c r="J522" t="n">
        <v>0</v>
      </c>
      <c r="K522" t="n">
        <v>0</v>
      </c>
      <c r="L522" t="n">
        <v>1</v>
      </c>
      <c r="M522" t="n">
        <v>0</v>
      </c>
    </row>
    <row r="523" spans="1:13">
      <c r="A523" s="1">
        <f>HYPERLINK("http://www.twitter.com/NathanBLawrence/status/996065231897014273", "996065231897014273")</f>
        <v/>
      </c>
      <c r="B523" s="2" t="n">
        <v>43234.68785879629</v>
      </c>
      <c r="C523" t="n">
        <v>0</v>
      </c>
      <c r="D523" t="n">
        <v>1</v>
      </c>
      <c r="E523" t="s">
        <v>530</v>
      </c>
      <c r="F523" t="s"/>
      <c r="G523" t="s"/>
      <c r="H523" t="s"/>
      <c r="I523" t="s"/>
      <c r="J523" t="n">
        <v>0.0258</v>
      </c>
      <c r="K523" t="n">
        <v>0.145</v>
      </c>
      <c r="L523" t="n">
        <v>0.636</v>
      </c>
      <c r="M523" t="n">
        <v>0.219</v>
      </c>
    </row>
    <row r="524" spans="1:13">
      <c r="A524" s="1">
        <f>HYPERLINK("http://www.twitter.com/NathanBLawrence/status/996065195209392132", "996065195209392132")</f>
        <v/>
      </c>
      <c r="B524" s="2" t="n">
        <v>43234.6877662037</v>
      </c>
      <c r="C524" t="n">
        <v>2</v>
      </c>
      <c r="D524" t="n">
        <v>1</v>
      </c>
      <c r="E524" t="s">
        <v>531</v>
      </c>
      <c r="F524" t="s"/>
      <c r="G524" t="s"/>
      <c r="H524" t="s"/>
      <c r="I524" t="s"/>
      <c r="J524" t="n">
        <v>0</v>
      </c>
      <c r="K524" t="n">
        <v>0</v>
      </c>
      <c r="L524" t="n">
        <v>1</v>
      </c>
      <c r="M524" t="n">
        <v>0</v>
      </c>
    </row>
    <row r="525" spans="1:13">
      <c r="A525" s="1">
        <f>HYPERLINK("http://www.twitter.com/NathanBLawrence/status/996065194253135872", "996065194253135872")</f>
        <v/>
      </c>
      <c r="B525" s="2" t="n">
        <v>43234.68775462963</v>
      </c>
      <c r="C525" t="n">
        <v>3</v>
      </c>
      <c r="D525" t="n">
        <v>1</v>
      </c>
      <c r="E525" t="s">
        <v>532</v>
      </c>
      <c r="F525" t="s"/>
      <c r="G525" t="s"/>
      <c r="H525" t="s"/>
      <c r="I525" t="s"/>
      <c r="J525" t="n">
        <v>-0.6757</v>
      </c>
      <c r="K525" t="n">
        <v>0.178</v>
      </c>
      <c r="L525" t="n">
        <v>0.721</v>
      </c>
      <c r="M525" t="n">
        <v>0.101</v>
      </c>
    </row>
    <row r="526" spans="1:13">
      <c r="A526" s="1">
        <f>HYPERLINK("http://www.twitter.com/NathanBLawrence/status/996063837618163712", "996063837618163712")</f>
        <v/>
      </c>
      <c r="B526" s="2" t="n">
        <v>43234.6840162037</v>
      </c>
      <c r="C526" t="n">
        <v>0</v>
      </c>
      <c r="D526" t="n">
        <v>1</v>
      </c>
      <c r="E526" t="s">
        <v>533</v>
      </c>
      <c r="F526" t="s"/>
      <c r="G526" t="s"/>
      <c r="H526" t="s"/>
      <c r="I526" t="s"/>
      <c r="J526" t="n">
        <v>-0.8126</v>
      </c>
      <c r="K526" t="n">
        <v>0.291</v>
      </c>
      <c r="L526" t="n">
        <v>0.709</v>
      </c>
      <c r="M526" t="n">
        <v>0</v>
      </c>
    </row>
    <row r="527" spans="1:13">
      <c r="A527" s="1">
        <f>HYPERLINK("http://www.twitter.com/NathanBLawrence/status/996063777455050752", "996063777455050752")</f>
        <v/>
      </c>
      <c r="B527" s="2" t="n">
        <v>43234.68385416667</v>
      </c>
      <c r="C527" t="n">
        <v>3</v>
      </c>
      <c r="D527" t="n">
        <v>1</v>
      </c>
      <c r="E527" t="s">
        <v>534</v>
      </c>
      <c r="F527" t="s"/>
      <c r="G527" t="s"/>
      <c r="H527" t="s"/>
      <c r="I527" t="s"/>
      <c r="J527" t="n">
        <v>-0.8934</v>
      </c>
      <c r="K527" t="n">
        <v>0.281</v>
      </c>
      <c r="L527" t="n">
        <v>0.719</v>
      </c>
      <c r="M527" t="n">
        <v>0</v>
      </c>
    </row>
    <row r="528" spans="1:13">
      <c r="A528" s="1">
        <f>HYPERLINK("http://www.twitter.com/NathanBLawrence/status/996058603210539008", "996058603210539008")</f>
        <v/>
      </c>
      <c r="B528" s="2" t="n">
        <v>43234.66957175926</v>
      </c>
      <c r="C528" t="n">
        <v>0</v>
      </c>
      <c r="D528" t="n">
        <v>13</v>
      </c>
      <c r="E528" t="s">
        <v>535</v>
      </c>
      <c r="F528" t="s"/>
      <c r="G528" t="s"/>
      <c r="H528" t="s"/>
      <c r="I528" t="s"/>
      <c r="J528" t="n">
        <v>0</v>
      </c>
      <c r="K528" t="n">
        <v>0.109</v>
      </c>
      <c r="L528" t="n">
        <v>0.783</v>
      </c>
      <c r="M528" t="n">
        <v>0.109</v>
      </c>
    </row>
    <row r="529" spans="1:13">
      <c r="A529" s="1">
        <f>HYPERLINK("http://www.twitter.com/NathanBLawrence/status/996058545899606018", "996058545899606018")</f>
        <v/>
      </c>
      <c r="B529" s="2" t="n">
        <v>43234.66940972222</v>
      </c>
      <c r="C529" t="n">
        <v>22</v>
      </c>
      <c r="D529" t="n">
        <v>13</v>
      </c>
      <c r="E529" t="s">
        <v>536</v>
      </c>
      <c r="F529" t="s"/>
      <c r="G529" t="s"/>
      <c r="H529" t="s"/>
      <c r="I529" t="s"/>
      <c r="J529" t="n">
        <v>-0.2789</v>
      </c>
      <c r="K529" t="n">
        <v>0.114</v>
      </c>
      <c r="L529" t="n">
        <v>0.798</v>
      </c>
      <c r="M529" t="n">
        <v>0.089</v>
      </c>
    </row>
    <row r="530" spans="1:13">
      <c r="A530" s="1">
        <f>HYPERLINK("http://www.twitter.com/NathanBLawrence/status/996058102893105152", "996058102893105152")</f>
        <v/>
      </c>
      <c r="B530" s="2" t="n">
        <v>43234.66819444444</v>
      </c>
      <c r="C530" t="n">
        <v>0</v>
      </c>
      <c r="D530" t="n">
        <v>13</v>
      </c>
      <c r="E530" t="s">
        <v>537</v>
      </c>
      <c r="F530">
        <f>HYPERLINK("http://pbs.twimg.com/media/DdKvk76UwAA_yqF.jpg", "http://pbs.twimg.com/media/DdKvk76UwAA_yqF.jpg")</f>
        <v/>
      </c>
      <c r="G530" t="s"/>
      <c r="H530" t="s"/>
      <c r="I530" t="s"/>
      <c r="J530" t="n">
        <v>-0.4019</v>
      </c>
      <c r="K530" t="n">
        <v>0.183</v>
      </c>
      <c r="L530" t="n">
        <v>0.739</v>
      </c>
      <c r="M530" t="n">
        <v>0.078</v>
      </c>
    </row>
    <row r="531" spans="1:13">
      <c r="A531" s="1">
        <f>HYPERLINK("http://www.twitter.com/NathanBLawrence/status/996045621713915904", "996045621713915904")</f>
        <v/>
      </c>
      <c r="B531" s="2" t="n">
        <v>43234.63375</v>
      </c>
      <c r="C531" t="n">
        <v>0</v>
      </c>
      <c r="D531" t="n">
        <v>1</v>
      </c>
      <c r="E531" t="s">
        <v>538</v>
      </c>
      <c r="F531" t="s"/>
      <c r="G531" t="s"/>
      <c r="H531" t="s"/>
      <c r="I531" t="s"/>
      <c r="J531" t="n">
        <v>-0.4015</v>
      </c>
      <c r="K531" t="n">
        <v>0.31</v>
      </c>
      <c r="L531" t="n">
        <v>0.6899999999999999</v>
      </c>
      <c r="M531" t="n">
        <v>0</v>
      </c>
    </row>
    <row r="532" spans="1:13">
      <c r="A532" s="1">
        <f>HYPERLINK("http://www.twitter.com/NathanBLawrence/status/996045576989966337", "996045576989966337")</f>
        <v/>
      </c>
      <c r="B532" s="2" t="n">
        <v>43234.63362268519</v>
      </c>
      <c r="C532" t="n">
        <v>1</v>
      </c>
      <c r="D532" t="n">
        <v>1</v>
      </c>
      <c r="E532" t="s">
        <v>539</v>
      </c>
      <c r="F532" t="s"/>
      <c r="G532" t="s"/>
      <c r="H532" t="s"/>
      <c r="I532" t="s"/>
      <c r="J532" t="n">
        <v>-0.4015</v>
      </c>
      <c r="K532" t="n">
        <v>0.403</v>
      </c>
      <c r="L532" t="n">
        <v>0.597</v>
      </c>
      <c r="M532" t="n">
        <v>0</v>
      </c>
    </row>
    <row r="533" spans="1:13">
      <c r="A533" s="1">
        <f>HYPERLINK("http://www.twitter.com/NathanBLawrence/status/996038837964099584", "996038837964099584")</f>
        <v/>
      </c>
      <c r="B533" s="2" t="n">
        <v>43234.61503472222</v>
      </c>
      <c r="C533" t="n">
        <v>0</v>
      </c>
      <c r="D533" t="n">
        <v>2</v>
      </c>
      <c r="E533" t="s">
        <v>540</v>
      </c>
      <c r="F533" t="s"/>
      <c r="G533" t="s"/>
      <c r="H533" t="s"/>
      <c r="I533" t="s"/>
      <c r="J533" t="n">
        <v>0</v>
      </c>
      <c r="K533" t="n">
        <v>0</v>
      </c>
      <c r="L533" t="n">
        <v>1</v>
      </c>
      <c r="M533" t="n">
        <v>0</v>
      </c>
    </row>
    <row r="534" spans="1:13">
      <c r="A534" s="1">
        <f>HYPERLINK("http://www.twitter.com/NathanBLawrence/status/996038753335508994", "996038753335508994")</f>
        <v/>
      </c>
      <c r="B534" s="2" t="n">
        <v>43234.61479166667</v>
      </c>
      <c r="C534" t="n">
        <v>3</v>
      </c>
      <c r="D534" t="n">
        <v>2</v>
      </c>
      <c r="E534" t="s">
        <v>541</v>
      </c>
      <c r="F534" t="s"/>
      <c r="G534" t="s"/>
      <c r="H534" t="s"/>
      <c r="I534" t="s"/>
      <c r="J534" t="n">
        <v>0</v>
      </c>
      <c r="K534" t="n">
        <v>0</v>
      </c>
      <c r="L534" t="n">
        <v>1</v>
      </c>
      <c r="M534" t="n">
        <v>0</v>
      </c>
    </row>
    <row r="535" spans="1:13">
      <c r="A535" s="1">
        <f>HYPERLINK("http://www.twitter.com/NathanBLawrence/status/996038687656947712", "996038687656947712")</f>
        <v/>
      </c>
      <c r="B535" s="2" t="n">
        <v>43234.61461805556</v>
      </c>
      <c r="C535" t="n">
        <v>0</v>
      </c>
      <c r="D535" t="n">
        <v>3</v>
      </c>
      <c r="E535" t="s">
        <v>542</v>
      </c>
      <c r="F535">
        <f>HYPERLINK("http://pbs.twimg.com/media/DdKj1glWAAE-r-L.jpg", "http://pbs.twimg.com/media/DdKj1glWAAE-r-L.jpg")</f>
        <v/>
      </c>
      <c r="G535" t="s"/>
      <c r="H535" t="s"/>
      <c r="I535" t="s"/>
      <c r="J535" t="n">
        <v>0</v>
      </c>
      <c r="K535" t="n">
        <v>0</v>
      </c>
      <c r="L535" t="n">
        <v>1</v>
      </c>
      <c r="M535" t="n">
        <v>0</v>
      </c>
    </row>
    <row r="536" spans="1:13">
      <c r="A536" s="1">
        <f>HYPERLINK("http://www.twitter.com/NathanBLawrence/status/996036988129202176", "996036988129202176")</f>
        <v/>
      </c>
      <c r="B536" s="2" t="n">
        <v>43234.60993055555</v>
      </c>
      <c r="C536" t="n">
        <v>0</v>
      </c>
      <c r="D536" t="n">
        <v>1</v>
      </c>
      <c r="E536" t="s">
        <v>543</v>
      </c>
      <c r="F536" t="s"/>
      <c r="G536" t="s"/>
      <c r="H536" t="s"/>
      <c r="I536" t="s"/>
      <c r="J536" t="n">
        <v>0</v>
      </c>
      <c r="K536" t="n">
        <v>0</v>
      </c>
      <c r="L536" t="n">
        <v>1</v>
      </c>
      <c r="M536" t="n">
        <v>0</v>
      </c>
    </row>
    <row r="537" spans="1:13">
      <c r="A537" s="1">
        <f>HYPERLINK("http://www.twitter.com/NathanBLawrence/status/996036196252946432", "996036196252946432")</f>
        <v/>
      </c>
      <c r="B537" s="2" t="n">
        <v>43234.60774305555</v>
      </c>
      <c r="C537" t="n">
        <v>0</v>
      </c>
      <c r="D537" t="n">
        <v>1</v>
      </c>
      <c r="E537" t="s">
        <v>544</v>
      </c>
      <c r="F537" t="s"/>
      <c r="G537" t="s"/>
      <c r="H537" t="s"/>
      <c r="I537" t="s"/>
      <c r="J537" t="n">
        <v>-0.6249</v>
      </c>
      <c r="K537" t="n">
        <v>0.186</v>
      </c>
      <c r="L537" t="n">
        <v>0.8139999999999999</v>
      </c>
      <c r="M537" t="n">
        <v>0</v>
      </c>
    </row>
    <row r="538" spans="1:13">
      <c r="A538" s="1">
        <f>HYPERLINK("http://www.twitter.com/NathanBLawrence/status/996033082892455936", "996033082892455936")</f>
        <v/>
      </c>
      <c r="B538" s="2" t="n">
        <v>43234.59915509259</v>
      </c>
      <c r="C538" t="n">
        <v>0</v>
      </c>
      <c r="D538" t="n">
        <v>3</v>
      </c>
      <c r="E538" t="s">
        <v>545</v>
      </c>
      <c r="F538" t="s"/>
      <c r="G538" t="s"/>
      <c r="H538" t="s"/>
      <c r="I538" t="s"/>
      <c r="J538" t="n">
        <v>-0.0516</v>
      </c>
      <c r="K538" t="n">
        <v>0.111</v>
      </c>
      <c r="L538" t="n">
        <v>0.786</v>
      </c>
      <c r="M538" t="n">
        <v>0.104</v>
      </c>
    </row>
    <row r="539" spans="1:13">
      <c r="A539" s="1">
        <f>HYPERLINK("http://www.twitter.com/NathanBLawrence/status/996033031910633478", "996033031910633478")</f>
        <v/>
      </c>
      <c r="B539" s="2" t="n">
        <v>43234.59900462963</v>
      </c>
      <c r="C539" t="n">
        <v>0</v>
      </c>
      <c r="D539" t="n">
        <v>1</v>
      </c>
      <c r="E539" t="s">
        <v>546</v>
      </c>
      <c r="F539" t="s"/>
      <c r="G539" t="s"/>
      <c r="H539" t="s"/>
      <c r="I539" t="s"/>
      <c r="J539" t="n">
        <v>-0.3612</v>
      </c>
      <c r="K539" t="n">
        <v>0.161</v>
      </c>
      <c r="L539" t="n">
        <v>0.839</v>
      </c>
      <c r="M539" t="n">
        <v>0</v>
      </c>
    </row>
    <row r="540" spans="1:13">
      <c r="A540" s="1">
        <f>HYPERLINK("http://www.twitter.com/NathanBLawrence/status/996032368107507712", "996032368107507712")</f>
        <v/>
      </c>
      <c r="B540" s="2" t="n">
        <v>43234.59717592593</v>
      </c>
      <c r="C540" t="n">
        <v>8</v>
      </c>
      <c r="D540" t="n">
        <v>3</v>
      </c>
      <c r="E540" t="s">
        <v>547</v>
      </c>
      <c r="F540" t="s"/>
      <c r="G540" t="s"/>
      <c r="H540" t="s"/>
      <c r="I540" t="s"/>
      <c r="J540" t="n">
        <v>-0.7399</v>
      </c>
      <c r="K540" t="n">
        <v>0.213</v>
      </c>
      <c r="L540" t="n">
        <v>0.6909999999999999</v>
      </c>
      <c r="M540" t="n">
        <v>0.096</v>
      </c>
    </row>
    <row r="541" spans="1:13">
      <c r="A541" s="1">
        <f>HYPERLINK("http://www.twitter.com/NathanBLawrence/status/996031090732171265", "996031090732171265")</f>
        <v/>
      </c>
      <c r="B541" s="2" t="n">
        <v>43234.59365740741</v>
      </c>
      <c r="C541" t="n">
        <v>0</v>
      </c>
      <c r="D541" t="n">
        <v>4</v>
      </c>
      <c r="E541" t="s">
        <v>548</v>
      </c>
      <c r="F541" t="s"/>
      <c r="G541" t="s"/>
      <c r="H541" t="s"/>
      <c r="I541" t="s"/>
      <c r="J541" t="n">
        <v>0</v>
      </c>
      <c r="K541" t="n">
        <v>0</v>
      </c>
      <c r="L541" t="n">
        <v>1</v>
      </c>
      <c r="M541" t="n">
        <v>0</v>
      </c>
    </row>
    <row r="542" spans="1:13">
      <c r="A542" s="1">
        <f>HYPERLINK("http://www.twitter.com/NathanBLawrence/status/996028433707696128", "996028433707696128")</f>
        <v/>
      </c>
      <c r="B542" s="2" t="n">
        <v>43234.58631944445</v>
      </c>
      <c r="C542" t="n">
        <v>0</v>
      </c>
      <c r="D542" t="n">
        <v>7</v>
      </c>
      <c r="E542" t="s">
        <v>549</v>
      </c>
      <c r="F542" t="s"/>
      <c r="G542" t="s"/>
      <c r="H542" t="s"/>
      <c r="I542" t="s"/>
      <c r="J542" t="n">
        <v>0.6486</v>
      </c>
      <c r="K542" t="n">
        <v>0.082</v>
      </c>
      <c r="L542" t="n">
        <v>0.637</v>
      </c>
      <c r="M542" t="n">
        <v>0.281</v>
      </c>
    </row>
    <row r="543" spans="1:13">
      <c r="A543" s="1">
        <f>HYPERLINK("http://www.twitter.com/NathanBLawrence/status/996021435784155136", "996021435784155136")</f>
        <v/>
      </c>
      <c r="B543" s="2" t="n">
        <v>43234.56701388889</v>
      </c>
      <c r="C543" t="n">
        <v>0</v>
      </c>
      <c r="D543" t="n">
        <v>3</v>
      </c>
      <c r="E543" t="s">
        <v>550</v>
      </c>
      <c r="F543" t="s"/>
      <c r="G543" t="s"/>
      <c r="H543" t="s"/>
      <c r="I543" t="s"/>
      <c r="J543" t="n">
        <v>0</v>
      </c>
      <c r="K543" t="n">
        <v>0</v>
      </c>
      <c r="L543" t="n">
        <v>1</v>
      </c>
      <c r="M543" t="n">
        <v>0</v>
      </c>
    </row>
    <row r="544" spans="1:13">
      <c r="A544" s="1">
        <f>HYPERLINK("http://www.twitter.com/NathanBLawrence/status/996021415668264960", "996021415668264960")</f>
        <v/>
      </c>
      <c r="B544" s="2" t="n">
        <v>43234.56695601852</v>
      </c>
      <c r="C544" t="n">
        <v>0</v>
      </c>
      <c r="D544" t="n">
        <v>1</v>
      </c>
      <c r="E544" t="s">
        <v>551</v>
      </c>
      <c r="F544" t="s"/>
      <c r="G544" t="s"/>
      <c r="H544" t="s"/>
      <c r="I544" t="s"/>
      <c r="J544" t="n">
        <v>-0.3182</v>
      </c>
      <c r="K544" t="n">
        <v>0.113</v>
      </c>
      <c r="L544" t="n">
        <v>0.887</v>
      </c>
      <c r="M544" t="n">
        <v>0</v>
      </c>
    </row>
    <row r="545" spans="1:13">
      <c r="A545" s="1">
        <f>HYPERLINK("http://www.twitter.com/NathanBLawrence/status/996021398559739905", "996021398559739905")</f>
        <v/>
      </c>
      <c r="B545" s="2" t="n">
        <v>43234.56690972222</v>
      </c>
      <c r="C545" t="n">
        <v>0</v>
      </c>
      <c r="D545" t="n">
        <v>2</v>
      </c>
      <c r="E545" t="s">
        <v>552</v>
      </c>
      <c r="F545" t="s"/>
      <c r="G545" t="s"/>
      <c r="H545" t="s"/>
      <c r="I545" t="s"/>
      <c r="J545" t="n">
        <v>0</v>
      </c>
      <c r="K545" t="n">
        <v>0</v>
      </c>
      <c r="L545" t="n">
        <v>1</v>
      </c>
      <c r="M545" t="n">
        <v>0</v>
      </c>
    </row>
    <row r="546" spans="1:13">
      <c r="A546" s="1">
        <f>HYPERLINK("http://www.twitter.com/NathanBLawrence/status/996021289604255745", "996021289604255745")</f>
        <v/>
      </c>
      <c r="B546" s="2" t="n">
        <v>43234.5666087963</v>
      </c>
      <c r="C546" t="n">
        <v>6</v>
      </c>
      <c r="D546" t="n">
        <v>3</v>
      </c>
      <c r="E546" t="s">
        <v>553</v>
      </c>
      <c r="F546" t="s"/>
      <c r="G546" t="s"/>
      <c r="H546" t="s"/>
      <c r="I546" t="s"/>
      <c r="J546" t="n">
        <v>0</v>
      </c>
      <c r="K546" t="n">
        <v>0</v>
      </c>
      <c r="L546" t="n">
        <v>1</v>
      </c>
      <c r="M546" t="n">
        <v>0</v>
      </c>
    </row>
    <row r="547" spans="1:13">
      <c r="A547" s="1">
        <f>HYPERLINK("http://www.twitter.com/NathanBLawrence/status/996020952482840577", "996020952482840577")</f>
        <v/>
      </c>
      <c r="B547" s="2" t="n">
        <v>43234.5656712963</v>
      </c>
      <c r="C547" t="n">
        <v>4</v>
      </c>
      <c r="D547" t="n">
        <v>1</v>
      </c>
      <c r="E547" t="s">
        <v>554</v>
      </c>
      <c r="F547" t="s"/>
      <c r="G547" t="s"/>
      <c r="H547" t="s"/>
      <c r="I547" t="s"/>
      <c r="J547" t="n">
        <v>-0.3182</v>
      </c>
      <c r="K547" t="n">
        <v>0.108</v>
      </c>
      <c r="L547" t="n">
        <v>0.892</v>
      </c>
      <c r="M547" t="n">
        <v>0</v>
      </c>
    </row>
    <row r="548" spans="1:13">
      <c r="A548" s="1">
        <f>HYPERLINK("http://www.twitter.com/NathanBLawrence/status/996020177501376512", "996020177501376512")</f>
        <v/>
      </c>
      <c r="B548" s="2" t="n">
        <v>43234.56354166667</v>
      </c>
      <c r="C548" t="n">
        <v>0</v>
      </c>
      <c r="D548" t="n">
        <v>1</v>
      </c>
      <c r="E548" t="s">
        <v>555</v>
      </c>
      <c r="F548">
        <f>HYPERLINK("http://pbs.twimg.com/media/DdKSuCWXkAAn2Fe.jpg", "http://pbs.twimg.com/media/DdKSuCWXkAAn2Fe.jpg")</f>
        <v/>
      </c>
      <c r="G548" t="s"/>
      <c r="H548" t="s"/>
      <c r="I548" t="s"/>
      <c r="J548" t="n">
        <v>0</v>
      </c>
      <c r="K548" t="n">
        <v>0</v>
      </c>
      <c r="L548" t="n">
        <v>1</v>
      </c>
      <c r="M548" t="n">
        <v>0</v>
      </c>
    </row>
    <row r="549" spans="1:13">
      <c r="A549" s="1">
        <f>HYPERLINK("http://www.twitter.com/NathanBLawrence/status/996020134782304256", "996020134782304256")</f>
        <v/>
      </c>
      <c r="B549" s="2" t="n">
        <v>43234.56341435185</v>
      </c>
      <c r="C549" t="n">
        <v>0</v>
      </c>
      <c r="D549" t="n">
        <v>1</v>
      </c>
      <c r="E549" t="s">
        <v>556</v>
      </c>
      <c r="F549">
        <f>HYPERLINK("http://pbs.twimg.com/media/DdKS0w-WAAEUXa5.jpg", "http://pbs.twimg.com/media/DdKS0w-WAAEUXa5.jpg")</f>
        <v/>
      </c>
      <c r="G549" t="s"/>
      <c r="H549" t="s"/>
      <c r="I549" t="s"/>
      <c r="J549" t="n">
        <v>0</v>
      </c>
      <c r="K549" t="n">
        <v>0</v>
      </c>
      <c r="L549" t="n">
        <v>1</v>
      </c>
      <c r="M549" t="n">
        <v>0</v>
      </c>
    </row>
    <row r="550" spans="1:13">
      <c r="A550" s="1">
        <f>HYPERLINK("http://www.twitter.com/NathanBLawrence/status/996020108765093888", "996020108765093888")</f>
        <v/>
      </c>
      <c r="B550" s="2" t="n">
        <v>43234.56334490741</v>
      </c>
      <c r="C550" t="n">
        <v>0</v>
      </c>
      <c r="D550" t="n">
        <v>1</v>
      </c>
      <c r="E550" t="s">
        <v>557</v>
      </c>
      <c r="F550">
        <f>HYPERLINK("http://pbs.twimg.com/media/DdKS4x_X4AMqEfa.jpg", "http://pbs.twimg.com/media/DdKS4x_X4AMqEfa.jpg")</f>
        <v/>
      </c>
      <c r="G550" t="s"/>
      <c r="H550" t="s"/>
      <c r="I550" t="s"/>
      <c r="J550" t="n">
        <v>0</v>
      </c>
      <c r="K550" t="n">
        <v>0</v>
      </c>
      <c r="L550" t="n">
        <v>1</v>
      </c>
      <c r="M550" t="n">
        <v>0</v>
      </c>
    </row>
    <row r="551" spans="1:13">
      <c r="A551" s="1">
        <f>HYPERLINK("http://www.twitter.com/NathanBLawrence/status/996020090905792512", "996020090905792512")</f>
        <v/>
      </c>
      <c r="B551" s="2" t="n">
        <v>43234.56329861111</v>
      </c>
      <c r="C551" t="n">
        <v>0</v>
      </c>
      <c r="D551" t="n">
        <v>3</v>
      </c>
      <c r="E551" t="s">
        <v>558</v>
      </c>
      <c r="F551">
        <f>HYPERLINK("http://pbs.twimg.com/media/DdKRsBpWsAEmCjP.jpg", "http://pbs.twimg.com/media/DdKRsBpWsAEmCjP.jpg")</f>
        <v/>
      </c>
      <c r="G551" t="s"/>
      <c r="H551" t="s"/>
      <c r="I551" t="s"/>
      <c r="J551" t="n">
        <v>0.0772</v>
      </c>
      <c r="K551" t="n">
        <v>0.073</v>
      </c>
      <c r="L551" t="n">
        <v>0.843</v>
      </c>
      <c r="M551" t="n">
        <v>0.08400000000000001</v>
      </c>
    </row>
    <row r="552" spans="1:13">
      <c r="A552" s="1">
        <f>HYPERLINK("http://www.twitter.com/NathanBLawrence/status/996019989999177728", "996019989999177728")</f>
        <v/>
      </c>
      <c r="B552" s="2" t="n">
        <v>43234.56302083333</v>
      </c>
      <c r="C552" t="n">
        <v>4</v>
      </c>
      <c r="D552" t="n">
        <v>1</v>
      </c>
      <c r="E552" t="s">
        <v>559</v>
      </c>
      <c r="F552">
        <f>HYPERLINK("http://pbs.twimg.com/media/DdKS4x_X4AMqEfa.jpg", "http://pbs.twimg.com/media/DdKS4x_X4AMqEfa.jpg")</f>
        <v/>
      </c>
      <c r="G552" t="s"/>
      <c r="H552" t="s"/>
      <c r="I552" t="s"/>
      <c r="J552" t="n">
        <v>0</v>
      </c>
      <c r="K552" t="n">
        <v>0</v>
      </c>
      <c r="L552" t="n">
        <v>1</v>
      </c>
      <c r="M552" t="n">
        <v>0</v>
      </c>
    </row>
    <row r="553" spans="1:13">
      <c r="A553" s="1">
        <f>HYPERLINK("http://www.twitter.com/NathanBLawrence/status/996019910139695104", "996019910139695104")</f>
        <v/>
      </c>
      <c r="B553" s="2" t="n">
        <v>43234.56280092592</v>
      </c>
      <c r="C553" t="n">
        <v>3</v>
      </c>
      <c r="D553" t="n">
        <v>1</v>
      </c>
      <c r="E553" t="s">
        <v>560</v>
      </c>
      <c r="F553">
        <f>HYPERLINK("http://pbs.twimg.com/media/DdKS0w-WAAEUXa5.jpg", "http://pbs.twimg.com/media/DdKS0w-WAAEUXa5.jpg")</f>
        <v/>
      </c>
      <c r="G553" t="s"/>
      <c r="H553" t="s"/>
      <c r="I553" t="s"/>
      <c r="J553" t="n">
        <v>0</v>
      </c>
      <c r="K553" t="n">
        <v>0</v>
      </c>
      <c r="L553" t="n">
        <v>1</v>
      </c>
      <c r="M553" t="n">
        <v>0</v>
      </c>
    </row>
    <row r="554" spans="1:13">
      <c r="A554" s="1">
        <f>HYPERLINK("http://www.twitter.com/NathanBLawrence/status/996019838781927424", "996019838781927424")</f>
        <v/>
      </c>
      <c r="B554" s="2" t="n">
        <v>43234.56260416667</v>
      </c>
      <c r="C554" t="n">
        <v>3</v>
      </c>
      <c r="D554" t="n">
        <v>0</v>
      </c>
      <c r="E554" t="s">
        <v>561</v>
      </c>
      <c r="F554">
        <f>HYPERLINK("http://pbs.twimg.com/media/DdKSwj0WsAA8gVp.jpg", "http://pbs.twimg.com/media/DdKSwj0WsAA8gVp.jpg")</f>
        <v/>
      </c>
      <c r="G554" t="s"/>
      <c r="H554" t="s"/>
      <c r="I554" t="s"/>
      <c r="J554" t="n">
        <v>0</v>
      </c>
      <c r="K554" t="n">
        <v>0</v>
      </c>
      <c r="L554" t="n">
        <v>1</v>
      </c>
      <c r="M554" t="n">
        <v>0</v>
      </c>
    </row>
    <row r="555" spans="1:13">
      <c r="A555" s="1">
        <f>HYPERLINK("http://www.twitter.com/NathanBLawrence/status/996019797568774144", "996019797568774144")</f>
        <v/>
      </c>
      <c r="B555" s="2" t="n">
        <v>43234.56248842592</v>
      </c>
      <c r="C555" t="n">
        <v>3</v>
      </c>
      <c r="D555" t="n">
        <v>1</v>
      </c>
      <c r="E555" t="s">
        <v>562</v>
      </c>
      <c r="F555">
        <f>HYPERLINK("http://pbs.twimg.com/media/DdKSuCWXkAAn2Fe.jpg", "http://pbs.twimg.com/media/DdKSuCWXkAAn2Fe.jpg")</f>
        <v/>
      </c>
      <c r="G555" t="s"/>
      <c r="H555" t="s"/>
      <c r="I555" t="s"/>
      <c r="J555" t="n">
        <v>0</v>
      </c>
      <c r="K555" t="n">
        <v>0</v>
      </c>
      <c r="L555" t="n">
        <v>1</v>
      </c>
      <c r="M555" t="n">
        <v>0</v>
      </c>
    </row>
    <row r="556" spans="1:13">
      <c r="A556" s="1">
        <f>HYPERLINK("http://www.twitter.com/NathanBLawrence/status/996019681742991361", "996019681742991361")</f>
        <v/>
      </c>
      <c r="B556" s="2" t="n">
        <v>43234.56216435185</v>
      </c>
      <c r="C556" t="n">
        <v>0</v>
      </c>
      <c r="D556" t="n">
        <v>10</v>
      </c>
      <c r="E556" t="s">
        <v>563</v>
      </c>
      <c r="F556" t="s"/>
      <c r="G556" t="s"/>
      <c r="H556" t="s"/>
      <c r="I556" t="s"/>
      <c r="J556" t="n">
        <v>0</v>
      </c>
      <c r="K556" t="n">
        <v>0</v>
      </c>
      <c r="L556" t="n">
        <v>1</v>
      </c>
      <c r="M556" t="n">
        <v>0</v>
      </c>
    </row>
    <row r="557" spans="1:13">
      <c r="A557" s="1">
        <f>HYPERLINK("http://www.twitter.com/NathanBLawrence/status/996019572561076226", "996019572561076226")</f>
        <v/>
      </c>
      <c r="B557" s="2" t="n">
        <v>43234.56186342592</v>
      </c>
      <c r="C557" t="n">
        <v>0</v>
      </c>
      <c r="D557" t="n">
        <v>1</v>
      </c>
      <c r="E557" t="s">
        <v>564</v>
      </c>
      <c r="F557">
        <f>HYPERLINK("http://pbs.twimg.com/media/DdKSTqFXkAAznPY.jpg", "http://pbs.twimg.com/media/DdKSTqFXkAAznPY.jpg")</f>
        <v/>
      </c>
      <c r="G557" t="s"/>
      <c r="H557" t="s"/>
      <c r="I557" t="s"/>
      <c r="J557" t="n">
        <v>0</v>
      </c>
      <c r="K557" t="n">
        <v>0</v>
      </c>
      <c r="L557" t="n">
        <v>1</v>
      </c>
      <c r="M557" t="n">
        <v>0</v>
      </c>
    </row>
    <row r="558" spans="1:13">
      <c r="A558" s="1">
        <f>HYPERLINK("http://www.twitter.com/NathanBLawrence/status/996019555255443456", "996019555255443456")</f>
        <v/>
      </c>
      <c r="B558" s="2" t="n">
        <v>43234.56181712963</v>
      </c>
      <c r="C558" t="n">
        <v>0</v>
      </c>
      <c r="D558" t="n">
        <v>1</v>
      </c>
      <c r="E558" t="s">
        <v>565</v>
      </c>
      <c r="F558">
        <f>HYPERLINK("http://pbs.twimg.com/media/DdKSQNuXkAAShYC.jpg", "http://pbs.twimg.com/media/DdKSQNuXkAAShYC.jpg")</f>
        <v/>
      </c>
      <c r="G558" t="s"/>
      <c r="H558" t="s"/>
      <c r="I558" t="s"/>
      <c r="J558" t="n">
        <v>0</v>
      </c>
      <c r="K558" t="n">
        <v>0</v>
      </c>
      <c r="L558" t="n">
        <v>1</v>
      </c>
      <c r="M558" t="n">
        <v>0</v>
      </c>
    </row>
    <row r="559" spans="1:13">
      <c r="A559" s="1">
        <f>HYPERLINK("http://www.twitter.com/NathanBLawrence/status/996019469184094209", "996019469184094209")</f>
        <v/>
      </c>
      <c r="B559" s="2" t="n">
        <v>43234.56158564815</v>
      </c>
      <c r="C559" t="n">
        <v>0</v>
      </c>
      <c r="D559" t="n">
        <v>1</v>
      </c>
      <c r="E559" t="s">
        <v>566</v>
      </c>
      <c r="F559">
        <f>HYPERLINK("http://pbs.twimg.com/media/DdKSRr1X0AINiEy.jpg", "http://pbs.twimg.com/media/DdKSRr1X0AINiEy.jpg")</f>
        <v/>
      </c>
      <c r="G559" t="s"/>
      <c r="H559" t="s"/>
      <c r="I559" t="s"/>
      <c r="J559" t="n">
        <v>0</v>
      </c>
      <c r="K559" t="n">
        <v>0</v>
      </c>
      <c r="L559" t="n">
        <v>1</v>
      </c>
      <c r="M559" t="n">
        <v>0</v>
      </c>
    </row>
    <row r="560" spans="1:13">
      <c r="A560" s="1">
        <f>HYPERLINK("http://www.twitter.com/NathanBLawrence/status/996019453883244544", "996019453883244544")</f>
        <v/>
      </c>
      <c r="B560" s="2" t="n">
        <v>43234.56153935185</v>
      </c>
      <c r="C560" t="n">
        <v>0</v>
      </c>
      <c r="D560" t="n">
        <v>14</v>
      </c>
      <c r="E560" t="s">
        <v>567</v>
      </c>
      <c r="F560">
        <f>HYPERLINK("http://pbs.twimg.com/media/DdKSOVQXcAAFpad.jpg", "http://pbs.twimg.com/media/DdKSOVQXcAAFpad.jpg")</f>
        <v/>
      </c>
      <c r="G560" t="s"/>
      <c r="H560" t="s"/>
      <c r="I560" t="s"/>
      <c r="J560" t="n">
        <v>-0.34</v>
      </c>
      <c r="K560" t="n">
        <v>0.192</v>
      </c>
      <c r="L560" t="n">
        <v>0.698</v>
      </c>
      <c r="M560" t="n">
        <v>0.11</v>
      </c>
    </row>
    <row r="561" spans="1:13">
      <c r="A561" s="1">
        <f>HYPERLINK("http://www.twitter.com/NathanBLawrence/status/996019365538680832", "996019365538680832")</f>
        <v/>
      </c>
      <c r="B561" s="2" t="n">
        <v>43234.5612962963</v>
      </c>
      <c r="C561" t="n">
        <v>0</v>
      </c>
      <c r="D561" t="n">
        <v>1</v>
      </c>
      <c r="E561" t="s">
        <v>568</v>
      </c>
      <c r="F561">
        <f>HYPERLINK("http://pbs.twimg.com/media/DdKSTqFXkAAznPY.jpg", "http://pbs.twimg.com/media/DdKSTqFXkAAznPY.jpg")</f>
        <v/>
      </c>
      <c r="G561" t="s"/>
      <c r="H561" t="s"/>
      <c r="I561" t="s"/>
      <c r="J561" t="n">
        <v>0</v>
      </c>
      <c r="K561" t="n">
        <v>0</v>
      </c>
      <c r="L561" t="n">
        <v>1</v>
      </c>
      <c r="M561" t="n">
        <v>0</v>
      </c>
    </row>
    <row r="562" spans="1:13">
      <c r="A562" s="1">
        <f>HYPERLINK("http://www.twitter.com/NathanBLawrence/status/996019363349135362", "996019363349135362")</f>
        <v/>
      </c>
      <c r="B562" s="2" t="n">
        <v>43234.5612962963</v>
      </c>
      <c r="C562" t="n">
        <v>0</v>
      </c>
      <c r="D562" t="n">
        <v>1</v>
      </c>
      <c r="E562" t="s">
        <v>569</v>
      </c>
      <c r="F562">
        <f>HYPERLINK("http://pbs.twimg.com/media/DdKSRr1X0AINiEy.jpg", "http://pbs.twimg.com/media/DdKSRr1X0AINiEy.jpg")</f>
        <v/>
      </c>
      <c r="G562" t="s"/>
      <c r="H562" t="s"/>
      <c r="I562" t="s"/>
      <c r="J562" t="n">
        <v>0</v>
      </c>
      <c r="K562" t="n">
        <v>0</v>
      </c>
      <c r="L562" t="n">
        <v>1</v>
      </c>
      <c r="M562" t="n">
        <v>0</v>
      </c>
    </row>
    <row r="563" spans="1:13">
      <c r="A563" s="1">
        <f>HYPERLINK("http://www.twitter.com/NathanBLawrence/status/996019361272991744", "996019361272991744")</f>
        <v/>
      </c>
      <c r="B563" s="2" t="n">
        <v>43234.56128472222</v>
      </c>
      <c r="C563" t="n">
        <v>0</v>
      </c>
      <c r="D563" t="n">
        <v>1</v>
      </c>
      <c r="E563" t="s">
        <v>570</v>
      </c>
      <c r="F563">
        <f>HYPERLINK("http://pbs.twimg.com/media/DdKSQNuXkAAShYC.jpg", "http://pbs.twimg.com/media/DdKSQNuXkAAShYC.jpg")</f>
        <v/>
      </c>
      <c r="G563" t="s"/>
      <c r="H563" t="s"/>
      <c r="I563" t="s"/>
      <c r="J563" t="n">
        <v>0</v>
      </c>
      <c r="K563" t="n">
        <v>0</v>
      </c>
      <c r="L563" t="n">
        <v>1</v>
      </c>
      <c r="M563" t="n">
        <v>0</v>
      </c>
    </row>
    <row r="564" spans="1:13">
      <c r="A564" s="1">
        <f>HYPERLINK("http://www.twitter.com/NathanBLawrence/status/996019358852960256", "996019358852960256")</f>
        <v/>
      </c>
      <c r="B564" s="2" t="n">
        <v>43234.56127314815</v>
      </c>
      <c r="C564" t="n">
        <v>14</v>
      </c>
      <c r="D564" t="n">
        <v>14</v>
      </c>
      <c r="E564" t="s">
        <v>571</v>
      </c>
      <c r="F564">
        <f>HYPERLINK("http://pbs.twimg.com/media/DdKSOVQXcAAFpad.jpg", "http://pbs.twimg.com/media/DdKSOVQXcAAFpad.jpg")</f>
        <v/>
      </c>
      <c r="G564" t="s"/>
      <c r="H564" t="s"/>
      <c r="I564" t="s"/>
      <c r="J564" t="n">
        <v>-0.34</v>
      </c>
      <c r="K564" t="n">
        <v>0.192</v>
      </c>
      <c r="L564" t="n">
        <v>0.698</v>
      </c>
      <c r="M564" t="n">
        <v>0.11</v>
      </c>
    </row>
    <row r="565" spans="1:13">
      <c r="A565" s="1">
        <f>HYPERLINK("http://www.twitter.com/NathanBLawrence/status/996018968921075712", "996018968921075712")</f>
        <v/>
      </c>
      <c r="B565" s="2" t="n">
        <v>43234.56019675926</v>
      </c>
      <c r="C565" t="n">
        <v>0</v>
      </c>
      <c r="D565" t="n">
        <v>11</v>
      </c>
      <c r="E565" t="s">
        <v>572</v>
      </c>
      <c r="F565" t="s"/>
      <c r="G565" t="s"/>
      <c r="H565" t="s"/>
      <c r="I565" t="s"/>
      <c r="J565" t="n">
        <v>0</v>
      </c>
      <c r="K565" t="n">
        <v>0</v>
      </c>
      <c r="L565" t="n">
        <v>1</v>
      </c>
      <c r="M565" t="n">
        <v>0</v>
      </c>
    </row>
    <row r="566" spans="1:13">
      <c r="A566" s="1">
        <f>HYPERLINK("http://www.twitter.com/NathanBLawrence/status/996015304546373632", "996015304546373632")</f>
        <v/>
      </c>
      <c r="B566" s="2" t="n">
        <v>43234.5500925926</v>
      </c>
      <c r="C566" t="n">
        <v>0</v>
      </c>
      <c r="D566" t="n">
        <v>1</v>
      </c>
      <c r="E566" t="s">
        <v>573</v>
      </c>
      <c r="F566" t="s"/>
      <c r="G566" t="s"/>
      <c r="H566" t="s"/>
      <c r="I566" t="s"/>
      <c r="J566" t="n">
        <v>-0.5423</v>
      </c>
      <c r="K566" t="n">
        <v>0.132</v>
      </c>
      <c r="L566" t="n">
        <v>0.868</v>
      </c>
      <c r="M566" t="n">
        <v>0</v>
      </c>
    </row>
    <row r="567" spans="1:13">
      <c r="A567" s="1">
        <f>HYPERLINK("http://www.twitter.com/NathanBLawrence/status/995991272392462337", "995991272392462337")</f>
        <v/>
      </c>
      <c r="B567" s="2" t="n">
        <v>43234.48377314815</v>
      </c>
      <c r="C567" t="n">
        <v>0</v>
      </c>
      <c r="D567" t="n">
        <v>2</v>
      </c>
      <c r="E567" t="s">
        <v>574</v>
      </c>
      <c r="F567" t="s"/>
      <c r="G567" t="s"/>
      <c r="H567" t="s"/>
      <c r="I567" t="s"/>
      <c r="J567" t="n">
        <v>0.2057</v>
      </c>
      <c r="K567" t="n">
        <v>0</v>
      </c>
      <c r="L567" t="n">
        <v>0.885</v>
      </c>
      <c r="M567" t="n">
        <v>0.115</v>
      </c>
    </row>
    <row r="568" spans="1:13">
      <c r="A568" s="1">
        <f>HYPERLINK("http://www.twitter.com/NathanBLawrence/status/995981991081336833", "995981991081336833")</f>
        <v/>
      </c>
      <c r="B568" s="2" t="n">
        <v>43234.45815972222</v>
      </c>
      <c r="C568" t="n">
        <v>0</v>
      </c>
      <c r="D568" t="n">
        <v>2</v>
      </c>
      <c r="E568" t="s">
        <v>575</v>
      </c>
      <c r="F568" t="s"/>
      <c r="G568" t="s"/>
      <c r="H568" t="s"/>
      <c r="I568" t="s"/>
      <c r="J568" t="n">
        <v>-0.743</v>
      </c>
      <c r="K568" t="n">
        <v>0.27</v>
      </c>
      <c r="L568" t="n">
        <v>0.73</v>
      </c>
      <c r="M568" t="n">
        <v>0</v>
      </c>
    </row>
    <row r="569" spans="1:13">
      <c r="A569" s="1">
        <f>HYPERLINK("http://www.twitter.com/NathanBLawrence/status/995871241025343490", "995871241025343490")</f>
        <v/>
      </c>
      <c r="B569" s="2" t="n">
        <v>43234.1525462963</v>
      </c>
      <c r="C569" t="n">
        <v>0</v>
      </c>
      <c r="D569" t="n">
        <v>6</v>
      </c>
      <c r="E569" t="s">
        <v>576</v>
      </c>
      <c r="F569" t="s"/>
      <c r="G569" t="s"/>
      <c r="H569" t="s"/>
      <c r="I569" t="s"/>
      <c r="J569" t="n">
        <v>0</v>
      </c>
      <c r="K569" t="n">
        <v>0</v>
      </c>
      <c r="L569" t="n">
        <v>1</v>
      </c>
      <c r="M569" t="n">
        <v>0</v>
      </c>
    </row>
    <row r="570" spans="1:13">
      <c r="A570" s="1">
        <f>HYPERLINK("http://www.twitter.com/NathanBLawrence/status/995871230006833153", "995871230006833153")</f>
        <v/>
      </c>
      <c r="B570" s="2" t="n">
        <v>43234.15252314815</v>
      </c>
      <c r="C570" t="n">
        <v>0</v>
      </c>
      <c r="D570" t="n">
        <v>5</v>
      </c>
      <c r="E570" t="s">
        <v>577</v>
      </c>
      <c r="F570" t="s"/>
      <c r="G570" t="s"/>
      <c r="H570" t="s"/>
      <c r="I570" t="s"/>
      <c r="J570" t="n">
        <v>0</v>
      </c>
      <c r="K570" t="n">
        <v>0</v>
      </c>
      <c r="L570" t="n">
        <v>1</v>
      </c>
      <c r="M570" t="n">
        <v>0</v>
      </c>
    </row>
    <row r="571" spans="1:13">
      <c r="A571" s="1">
        <f>HYPERLINK("http://www.twitter.com/NathanBLawrence/status/995852813250039809", "995852813250039809")</f>
        <v/>
      </c>
      <c r="B571" s="2" t="n">
        <v>43234.10170138889</v>
      </c>
      <c r="C571" t="n">
        <v>2</v>
      </c>
      <c r="D571" t="n">
        <v>0</v>
      </c>
      <c r="E571" t="s">
        <v>578</v>
      </c>
      <c r="F571" t="s"/>
      <c r="G571" t="s"/>
      <c r="H571" t="s"/>
      <c r="I571" t="s"/>
      <c r="J571" t="n">
        <v>0</v>
      </c>
      <c r="K571" t="n">
        <v>0</v>
      </c>
      <c r="L571" t="n">
        <v>1</v>
      </c>
      <c r="M571" t="n">
        <v>0</v>
      </c>
    </row>
    <row r="572" spans="1:13">
      <c r="A572" s="1">
        <f>HYPERLINK("http://www.twitter.com/NathanBLawrence/status/995852745499463680", "995852745499463680")</f>
        <v/>
      </c>
      <c r="B572" s="2" t="n">
        <v>43234.1015162037</v>
      </c>
      <c r="C572" t="n">
        <v>2</v>
      </c>
      <c r="D572" t="n">
        <v>0</v>
      </c>
      <c r="E572" t="s">
        <v>579</v>
      </c>
      <c r="F572" t="s"/>
      <c r="G572" t="s"/>
      <c r="H572" t="s"/>
      <c r="I572" t="s"/>
      <c r="J572" t="n">
        <v>0</v>
      </c>
      <c r="K572" t="n">
        <v>0</v>
      </c>
      <c r="L572" t="n">
        <v>1</v>
      </c>
      <c r="M572" t="n">
        <v>0</v>
      </c>
    </row>
    <row r="573" spans="1:13">
      <c r="A573" s="1">
        <f>HYPERLINK("http://www.twitter.com/NathanBLawrence/status/995852120644554752", "995852120644554752")</f>
        <v/>
      </c>
      <c r="B573" s="2" t="n">
        <v>43234.09979166667</v>
      </c>
      <c r="C573" t="n">
        <v>3</v>
      </c>
      <c r="D573" t="n">
        <v>0</v>
      </c>
      <c r="E573" t="s">
        <v>580</v>
      </c>
      <c r="F573" t="s"/>
      <c r="G573" t="s"/>
      <c r="H573" t="s"/>
      <c r="I573" t="s"/>
      <c r="J573" t="n">
        <v>0</v>
      </c>
      <c r="K573" t="n">
        <v>0</v>
      </c>
      <c r="L573" t="n">
        <v>1</v>
      </c>
      <c r="M573" t="n">
        <v>0</v>
      </c>
    </row>
    <row r="574" spans="1:13">
      <c r="A574" s="1">
        <f>HYPERLINK("http://www.twitter.com/NathanBLawrence/status/995852011022282752", "995852011022282752")</f>
        <v/>
      </c>
      <c r="B574" s="2" t="n">
        <v>43234.09949074074</v>
      </c>
      <c r="C574" t="n">
        <v>0</v>
      </c>
      <c r="D574" t="n">
        <v>0</v>
      </c>
      <c r="E574" t="s">
        <v>581</v>
      </c>
      <c r="F574" t="s"/>
      <c r="G574" t="s"/>
      <c r="H574" t="s"/>
      <c r="I574" t="s"/>
      <c r="J574" t="n">
        <v>0</v>
      </c>
      <c r="K574" t="n">
        <v>0</v>
      </c>
      <c r="L574" t="n">
        <v>1</v>
      </c>
      <c r="M574" t="n">
        <v>0</v>
      </c>
    </row>
    <row r="575" spans="1:13">
      <c r="A575" s="1">
        <f>HYPERLINK("http://www.twitter.com/NathanBLawrence/status/995851228407042048", "995851228407042048")</f>
        <v/>
      </c>
      <c r="B575" s="2" t="n">
        <v>43234.09732638889</v>
      </c>
      <c r="C575" t="n">
        <v>0</v>
      </c>
      <c r="D575" t="n">
        <v>5</v>
      </c>
      <c r="E575" t="s">
        <v>582</v>
      </c>
      <c r="F575" t="s"/>
      <c r="G575" t="s"/>
      <c r="H575" t="s"/>
      <c r="I575" t="s"/>
      <c r="J575" t="n">
        <v>-0.6597</v>
      </c>
      <c r="K575" t="n">
        <v>0.221</v>
      </c>
      <c r="L575" t="n">
        <v>0.779</v>
      </c>
      <c r="M575" t="n">
        <v>0</v>
      </c>
    </row>
    <row r="576" spans="1:13">
      <c r="A576" s="1">
        <f>HYPERLINK("http://www.twitter.com/NathanBLawrence/status/995850736608206848", "995850736608206848")</f>
        <v/>
      </c>
      <c r="B576" s="2" t="n">
        <v>43234.09597222223</v>
      </c>
      <c r="C576" t="n">
        <v>0</v>
      </c>
      <c r="D576" t="n">
        <v>3</v>
      </c>
      <c r="E576" t="s">
        <v>583</v>
      </c>
      <c r="F576" t="s"/>
      <c r="G576" t="s"/>
      <c r="H576" t="s"/>
      <c r="I576" t="s"/>
      <c r="J576" t="n">
        <v>-0.7845</v>
      </c>
      <c r="K576" t="n">
        <v>0.316</v>
      </c>
      <c r="L576" t="n">
        <v>0.598</v>
      </c>
      <c r="M576" t="n">
        <v>0.08599999999999999</v>
      </c>
    </row>
    <row r="577" spans="1:13">
      <c r="A577" s="1">
        <f>HYPERLINK("http://www.twitter.com/NathanBLawrence/status/995849444452126722", "995849444452126722")</f>
        <v/>
      </c>
      <c r="B577" s="2" t="n">
        <v>43234.09240740741</v>
      </c>
      <c r="C577" t="n">
        <v>0</v>
      </c>
      <c r="D577" t="n">
        <v>4</v>
      </c>
      <c r="E577" t="s">
        <v>584</v>
      </c>
      <c r="F577" t="s"/>
      <c r="G577" t="s"/>
      <c r="H577" t="s"/>
      <c r="I577" t="s"/>
      <c r="J577" t="n">
        <v>0.296</v>
      </c>
      <c r="K577" t="n">
        <v>0</v>
      </c>
      <c r="L577" t="n">
        <v>0.913</v>
      </c>
      <c r="M577" t="n">
        <v>0.08699999999999999</v>
      </c>
    </row>
    <row r="578" spans="1:13">
      <c r="A578" s="1">
        <f>HYPERLINK("http://www.twitter.com/NathanBLawrence/status/995849433949581312", "995849433949581312")</f>
        <v/>
      </c>
      <c r="B578" s="2" t="n">
        <v>43234.09237268518</v>
      </c>
      <c r="C578" t="n">
        <v>0</v>
      </c>
      <c r="D578" t="n">
        <v>2</v>
      </c>
      <c r="E578" t="s">
        <v>585</v>
      </c>
      <c r="F578" t="s"/>
      <c r="G578" t="s"/>
      <c r="H578" t="s"/>
      <c r="I578" t="s"/>
      <c r="J578" t="n">
        <v>0.3612</v>
      </c>
      <c r="K578" t="n">
        <v>0.091</v>
      </c>
      <c r="L578" t="n">
        <v>0.767</v>
      </c>
      <c r="M578" t="n">
        <v>0.143</v>
      </c>
    </row>
    <row r="579" spans="1:13">
      <c r="A579" s="1">
        <f>HYPERLINK("http://www.twitter.com/NathanBLawrence/status/995849420624277504", "995849420624277504")</f>
        <v/>
      </c>
      <c r="B579" s="2" t="n">
        <v>43234.09233796296</v>
      </c>
      <c r="C579" t="n">
        <v>0</v>
      </c>
      <c r="D579" t="n">
        <v>3</v>
      </c>
      <c r="E579" t="s">
        <v>586</v>
      </c>
      <c r="F579" t="s"/>
      <c r="G579" t="s"/>
      <c r="H579" t="s"/>
      <c r="I579" t="s"/>
      <c r="J579" t="n">
        <v>0</v>
      </c>
      <c r="K579" t="n">
        <v>0</v>
      </c>
      <c r="L579" t="n">
        <v>1</v>
      </c>
      <c r="M579" t="n">
        <v>0</v>
      </c>
    </row>
    <row r="580" spans="1:13">
      <c r="A580" s="1">
        <f>HYPERLINK("http://www.twitter.com/NathanBLawrence/status/995849391989719040", "995849391989719040")</f>
        <v/>
      </c>
      <c r="B580" s="2" t="n">
        <v>43234.09225694444</v>
      </c>
      <c r="C580" t="n">
        <v>0</v>
      </c>
      <c r="D580" t="n">
        <v>4</v>
      </c>
      <c r="E580" t="s">
        <v>587</v>
      </c>
      <c r="F580" t="s"/>
      <c r="G580" t="s"/>
      <c r="H580" t="s"/>
      <c r="I580" t="s"/>
      <c r="J580" t="n">
        <v>0</v>
      </c>
      <c r="K580" t="n">
        <v>0</v>
      </c>
      <c r="L580" t="n">
        <v>1</v>
      </c>
      <c r="M580" t="n">
        <v>0</v>
      </c>
    </row>
    <row r="581" spans="1:13">
      <c r="A581" s="1">
        <f>HYPERLINK("http://www.twitter.com/NathanBLawrence/status/995849377557213184", "995849377557213184")</f>
        <v/>
      </c>
      <c r="B581" s="2" t="n">
        <v>43234.09222222222</v>
      </c>
      <c r="C581" t="n">
        <v>0</v>
      </c>
      <c r="D581" t="n">
        <v>5</v>
      </c>
      <c r="E581" t="s">
        <v>588</v>
      </c>
      <c r="F581" t="s"/>
      <c r="G581" t="s"/>
      <c r="H581" t="s"/>
      <c r="I581" t="s"/>
      <c r="J581" t="n">
        <v>0</v>
      </c>
      <c r="K581" t="n">
        <v>0</v>
      </c>
      <c r="L581" t="n">
        <v>1</v>
      </c>
      <c r="M581" t="n">
        <v>0</v>
      </c>
    </row>
    <row r="582" spans="1:13">
      <c r="A582" s="1">
        <f>HYPERLINK("http://www.twitter.com/NathanBLawrence/status/995849179485343749", "995849179485343749")</f>
        <v/>
      </c>
      <c r="B582" s="2" t="n">
        <v>43234.09167824074</v>
      </c>
      <c r="C582" t="n">
        <v>4</v>
      </c>
      <c r="D582" t="n">
        <v>4</v>
      </c>
      <c r="E582" t="s">
        <v>589</v>
      </c>
      <c r="F582" t="s"/>
      <c r="G582" t="s"/>
      <c r="H582" t="s"/>
      <c r="I582" t="s"/>
      <c r="J582" t="n">
        <v>0</v>
      </c>
      <c r="K582" t="n">
        <v>0</v>
      </c>
      <c r="L582" t="n">
        <v>1</v>
      </c>
      <c r="M582" t="n">
        <v>0</v>
      </c>
    </row>
    <row r="583" spans="1:13">
      <c r="A583" s="1">
        <f>HYPERLINK("http://www.twitter.com/NathanBLawrence/status/995849177652396033", "995849177652396033")</f>
        <v/>
      </c>
      <c r="B583" s="2" t="n">
        <v>43234.09166666667</v>
      </c>
      <c r="C583" t="n">
        <v>7</v>
      </c>
      <c r="D583" t="n">
        <v>5</v>
      </c>
      <c r="E583" t="s">
        <v>590</v>
      </c>
      <c r="F583" t="s"/>
      <c r="G583" t="s"/>
      <c r="H583" t="s"/>
      <c r="I583" t="s"/>
      <c r="J583" t="n">
        <v>0.4019</v>
      </c>
      <c r="K583" t="n">
        <v>0</v>
      </c>
      <c r="L583" t="n">
        <v>0.9399999999999999</v>
      </c>
      <c r="M583" t="n">
        <v>0.06</v>
      </c>
    </row>
    <row r="584" spans="1:13">
      <c r="A584" s="1">
        <f>HYPERLINK("http://www.twitter.com/NathanBLawrence/status/995848441707290626", "995848441707290626")</f>
        <v/>
      </c>
      <c r="B584" s="2" t="n">
        <v>43234.0896412037</v>
      </c>
      <c r="C584" t="n">
        <v>4</v>
      </c>
      <c r="D584" t="n">
        <v>4</v>
      </c>
      <c r="E584" t="s">
        <v>591</v>
      </c>
      <c r="F584" t="s"/>
      <c r="G584" t="s"/>
      <c r="H584" t="s"/>
      <c r="I584" t="s"/>
      <c r="J584" t="n">
        <v>0.6808</v>
      </c>
      <c r="K584" t="n">
        <v>0</v>
      </c>
      <c r="L584" t="n">
        <v>0.833</v>
      </c>
      <c r="M584" t="n">
        <v>0.167</v>
      </c>
    </row>
    <row r="585" spans="1:13">
      <c r="A585" s="1">
        <f>HYPERLINK("http://www.twitter.com/NathanBLawrence/status/995848230515761155", "995848230515761155")</f>
        <v/>
      </c>
      <c r="B585" s="2" t="n">
        <v>43234.08905092593</v>
      </c>
      <c r="C585" t="n">
        <v>2</v>
      </c>
      <c r="D585" t="n">
        <v>2</v>
      </c>
      <c r="E585" t="s">
        <v>592</v>
      </c>
      <c r="F585" t="s"/>
      <c r="G585" t="s"/>
      <c r="H585" t="s"/>
      <c r="I585" t="s"/>
      <c r="J585" t="n">
        <v>0.3612</v>
      </c>
      <c r="K585" t="n">
        <v>0.067</v>
      </c>
      <c r="L585" t="n">
        <v>0.827</v>
      </c>
      <c r="M585" t="n">
        <v>0.106</v>
      </c>
    </row>
    <row r="586" spans="1:13">
      <c r="A586" s="1">
        <f>HYPERLINK("http://www.twitter.com/NathanBLawrence/status/995847455190274048", "995847455190274048")</f>
        <v/>
      </c>
      <c r="B586" s="2" t="n">
        <v>43234.08690972222</v>
      </c>
      <c r="C586" t="n">
        <v>0</v>
      </c>
      <c r="D586" t="n">
        <v>4</v>
      </c>
      <c r="E586" t="s">
        <v>593</v>
      </c>
      <c r="F586">
        <f>HYPERLINK("http://pbs.twimg.com/media/DdH1Yw-U8AAlPCO.jpg", "http://pbs.twimg.com/media/DdH1Yw-U8AAlPCO.jpg")</f>
        <v/>
      </c>
      <c r="G586" t="s"/>
      <c r="H586" t="s"/>
      <c r="I586" t="s"/>
      <c r="J586" t="n">
        <v>0</v>
      </c>
      <c r="K586" t="n">
        <v>0</v>
      </c>
      <c r="L586" t="n">
        <v>1</v>
      </c>
      <c r="M586" t="n">
        <v>0</v>
      </c>
    </row>
    <row r="587" spans="1:13">
      <c r="A587" s="1">
        <f>HYPERLINK("http://www.twitter.com/NathanBLawrence/status/995847429109972993", "995847429109972993")</f>
        <v/>
      </c>
      <c r="B587" s="2" t="n">
        <v>43234.08684027778</v>
      </c>
      <c r="C587" t="n">
        <v>8</v>
      </c>
      <c r="D587" t="n">
        <v>4</v>
      </c>
      <c r="E587" t="s">
        <v>594</v>
      </c>
      <c r="F587">
        <f>HYPERLINK("http://pbs.twimg.com/media/DdH1Yw-U8AAlPCO.jpg", "http://pbs.twimg.com/media/DdH1Yw-U8AAlPCO.jpg")</f>
        <v/>
      </c>
      <c r="G587" t="s"/>
      <c r="H587" t="s"/>
      <c r="I587" t="s"/>
      <c r="J587" t="n">
        <v>0</v>
      </c>
      <c r="K587" t="n">
        <v>0</v>
      </c>
      <c r="L587" t="n">
        <v>1</v>
      </c>
      <c r="M587" t="n">
        <v>0</v>
      </c>
    </row>
    <row r="588" spans="1:13">
      <c r="A588" s="1">
        <f>HYPERLINK("http://www.twitter.com/NathanBLawrence/status/995800486476435457", "995800486476435457")</f>
        <v/>
      </c>
      <c r="B588" s="2" t="n">
        <v>43233.95730324074</v>
      </c>
      <c r="C588" t="n">
        <v>0</v>
      </c>
      <c r="D588" t="n">
        <v>13</v>
      </c>
      <c r="E588" t="s">
        <v>595</v>
      </c>
      <c r="F588">
        <f>HYPERLINK("http://pbs.twimg.com/media/DdHK8WIXcAAS_jj.jpg", "http://pbs.twimg.com/media/DdHK8WIXcAAS_jj.jpg")</f>
        <v/>
      </c>
      <c r="G588" t="s"/>
      <c r="H588" t="s"/>
      <c r="I588" t="s"/>
      <c r="J588" t="n">
        <v>-0.2023</v>
      </c>
      <c r="K588" t="n">
        <v>0.128</v>
      </c>
      <c r="L588" t="n">
        <v>0.775</v>
      </c>
      <c r="M588" t="n">
        <v>0.097</v>
      </c>
    </row>
    <row r="589" spans="1:13">
      <c r="A589" s="1">
        <f>HYPERLINK("http://www.twitter.com/NathanBLawrence/status/995794302847586305", "995794302847586305")</f>
        <v/>
      </c>
      <c r="B589" s="2" t="n">
        <v>43233.94024305556</v>
      </c>
      <c r="C589" t="n">
        <v>0</v>
      </c>
      <c r="D589" t="n">
        <v>2</v>
      </c>
      <c r="E589" t="s">
        <v>596</v>
      </c>
      <c r="F589">
        <f>HYPERLINK("http://pbs.twimg.com/media/DdCB83IWAAAtTBE.jpg", "http://pbs.twimg.com/media/DdCB83IWAAAtTBE.jpg")</f>
        <v/>
      </c>
      <c r="G589" t="s"/>
      <c r="H589" t="s"/>
      <c r="I589" t="s"/>
      <c r="J589" t="n">
        <v>0</v>
      </c>
      <c r="K589" t="n">
        <v>0</v>
      </c>
      <c r="L589" t="n">
        <v>1</v>
      </c>
      <c r="M589" t="n">
        <v>0</v>
      </c>
    </row>
    <row r="590" spans="1:13">
      <c r="A590" s="1">
        <f>HYPERLINK("http://www.twitter.com/NathanBLawrence/status/995789728699043841", "995789728699043841")</f>
        <v/>
      </c>
      <c r="B590" s="2" t="n">
        <v>43233.92761574074</v>
      </c>
      <c r="C590" t="n">
        <v>0</v>
      </c>
      <c r="D590" t="n">
        <v>4</v>
      </c>
      <c r="E590" t="s">
        <v>597</v>
      </c>
      <c r="F590" t="s"/>
      <c r="G590" t="s"/>
      <c r="H590" t="s"/>
      <c r="I590" t="s"/>
      <c r="J590" t="n">
        <v>0</v>
      </c>
      <c r="K590" t="n">
        <v>0</v>
      </c>
      <c r="L590" t="n">
        <v>1</v>
      </c>
      <c r="M590" t="n">
        <v>0</v>
      </c>
    </row>
    <row r="591" spans="1:13">
      <c r="A591" s="1">
        <f>HYPERLINK("http://www.twitter.com/NathanBLawrence/status/995789684738592769", "995789684738592769")</f>
        <v/>
      </c>
      <c r="B591" s="2" t="n">
        <v>43233.9275</v>
      </c>
      <c r="C591" t="n">
        <v>3</v>
      </c>
      <c r="D591" t="n">
        <v>4</v>
      </c>
      <c r="E591" t="s">
        <v>598</v>
      </c>
      <c r="F591" t="s"/>
      <c r="G591" t="s"/>
      <c r="H591" t="s"/>
      <c r="I591" t="s"/>
      <c r="J591" t="n">
        <v>0</v>
      </c>
      <c r="K591" t="n">
        <v>0</v>
      </c>
      <c r="L591" t="n">
        <v>1</v>
      </c>
      <c r="M591" t="n">
        <v>0</v>
      </c>
    </row>
    <row r="592" spans="1:13">
      <c r="A592" s="1">
        <f>HYPERLINK("http://www.twitter.com/NathanBLawrence/status/995785339603124229", "995785339603124229")</f>
        <v/>
      </c>
      <c r="B592" s="2" t="n">
        <v>43233.91550925926</v>
      </c>
      <c r="C592" t="n">
        <v>0</v>
      </c>
      <c r="D592" t="n">
        <v>1</v>
      </c>
      <c r="E592" t="s">
        <v>599</v>
      </c>
      <c r="F592" t="s"/>
      <c r="G592" t="s"/>
      <c r="H592" t="s"/>
      <c r="I592" t="s"/>
      <c r="J592" t="n">
        <v>0</v>
      </c>
      <c r="K592" t="n">
        <v>0</v>
      </c>
      <c r="L592" t="n">
        <v>1</v>
      </c>
      <c r="M592" t="n">
        <v>0</v>
      </c>
    </row>
    <row r="593" spans="1:13">
      <c r="A593" s="1">
        <f>HYPERLINK("http://www.twitter.com/NathanBLawrence/status/995785251015266304", "995785251015266304")</f>
        <v/>
      </c>
      <c r="B593" s="2" t="n">
        <v>43233.9152662037</v>
      </c>
      <c r="C593" t="n">
        <v>4</v>
      </c>
      <c r="D593" t="n">
        <v>1</v>
      </c>
      <c r="E593" t="s">
        <v>600</v>
      </c>
      <c r="F593" t="s"/>
      <c r="G593" t="s"/>
      <c r="H593" t="s"/>
      <c r="I593" t="s"/>
      <c r="J593" t="n">
        <v>0.5983000000000001</v>
      </c>
      <c r="K593" t="n">
        <v>0</v>
      </c>
      <c r="L593" t="n">
        <v>0.851</v>
      </c>
      <c r="M593" t="n">
        <v>0.149</v>
      </c>
    </row>
    <row r="594" spans="1:13">
      <c r="A594" s="1">
        <f>HYPERLINK("http://www.twitter.com/NathanBLawrence/status/995784545751437312", "995784545751437312")</f>
        <v/>
      </c>
      <c r="B594" s="2" t="n">
        <v>43233.91332175926</v>
      </c>
      <c r="C594" t="n">
        <v>0</v>
      </c>
      <c r="D594" t="n">
        <v>4</v>
      </c>
      <c r="E594" t="s">
        <v>601</v>
      </c>
      <c r="F594" t="s"/>
      <c r="G594" t="s"/>
      <c r="H594" t="s"/>
      <c r="I594" t="s"/>
      <c r="J594" t="n">
        <v>0.4939</v>
      </c>
      <c r="K594" t="n">
        <v>0</v>
      </c>
      <c r="L594" t="n">
        <v>0.862</v>
      </c>
      <c r="M594" t="n">
        <v>0.138</v>
      </c>
    </row>
    <row r="595" spans="1:13">
      <c r="A595" s="1">
        <f>HYPERLINK("http://www.twitter.com/NathanBLawrence/status/995774480629760001", "995774480629760001")</f>
        <v/>
      </c>
      <c r="B595" s="2" t="n">
        <v>43233.88554398148</v>
      </c>
      <c r="C595" t="n">
        <v>0</v>
      </c>
      <c r="D595" t="n">
        <v>16</v>
      </c>
      <c r="E595" t="s">
        <v>602</v>
      </c>
      <c r="F595">
        <f>HYPERLINK("http://pbs.twimg.com/media/DdGvxHHX4AI00no.jpg", "http://pbs.twimg.com/media/DdGvxHHX4AI00no.jpg")</f>
        <v/>
      </c>
      <c r="G595" t="s"/>
      <c r="H595" t="s"/>
      <c r="I595" t="s"/>
      <c r="J595" t="n">
        <v>0</v>
      </c>
      <c r="K595" t="n">
        <v>0</v>
      </c>
      <c r="L595" t="n">
        <v>1</v>
      </c>
      <c r="M595" t="n">
        <v>0</v>
      </c>
    </row>
    <row r="596" spans="1:13">
      <c r="A596" s="1">
        <f>HYPERLINK("http://www.twitter.com/NathanBLawrence/status/995773972632559618", "995773972632559618")</f>
        <v/>
      </c>
      <c r="B596" s="2" t="n">
        <v>43233.88414351852</v>
      </c>
      <c r="C596" t="n">
        <v>0</v>
      </c>
      <c r="D596" t="n">
        <v>1</v>
      </c>
      <c r="E596" t="s">
        <v>603</v>
      </c>
      <c r="F596" t="s"/>
      <c r="G596" t="s"/>
      <c r="H596" t="s"/>
      <c r="I596" t="s"/>
      <c r="J596" t="n">
        <v>-0.8385</v>
      </c>
      <c r="K596" t="n">
        <v>0.356</v>
      </c>
      <c r="L596" t="n">
        <v>0.644</v>
      </c>
      <c r="M596" t="n">
        <v>0</v>
      </c>
    </row>
    <row r="597" spans="1:13">
      <c r="A597" s="1">
        <f>HYPERLINK("http://www.twitter.com/NathanBLawrence/status/995773892840054789", "995773892840054789")</f>
        <v/>
      </c>
      <c r="B597" s="2" t="n">
        <v>43233.88392361111</v>
      </c>
      <c r="C597" t="n">
        <v>0</v>
      </c>
      <c r="D597" t="n">
        <v>11</v>
      </c>
      <c r="E597" t="s">
        <v>604</v>
      </c>
      <c r="F597">
        <f>HYPERLINK("http://pbs.twimg.com/media/DdGx-lYVwAEOB_6.jpg", "http://pbs.twimg.com/media/DdGx-lYVwAEOB_6.jpg")</f>
        <v/>
      </c>
      <c r="G597" t="s"/>
      <c r="H597" t="s"/>
      <c r="I597" t="s"/>
      <c r="J597" t="n">
        <v>0.4939</v>
      </c>
      <c r="K597" t="n">
        <v>0</v>
      </c>
      <c r="L597" t="n">
        <v>0.8110000000000001</v>
      </c>
      <c r="M597" t="n">
        <v>0.189</v>
      </c>
    </row>
    <row r="598" spans="1:13">
      <c r="A598" s="1">
        <f>HYPERLINK("http://www.twitter.com/NathanBLawrence/status/995773864901791746", "995773864901791746")</f>
        <v/>
      </c>
      <c r="B598" s="2" t="n">
        <v>43233.88384259259</v>
      </c>
      <c r="C598" t="n">
        <v>11</v>
      </c>
      <c r="D598" t="n">
        <v>11</v>
      </c>
      <c r="E598" t="s">
        <v>605</v>
      </c>
      <c r="F598">
        <f>HYPERLINK("http://pbs.twimg.com/media/DdGx-lYVwAEOB_6.jpg", "http://pbs.twimg.com/media/DdGx-lYVwAEOB_6.jpg")</f>
        <v/>
      </c>
      <c r="G598" t="s"/>
      <c r="H598" t="s"/>
      <c r="I598" t="s"/>
      <c r="J598" t="n">
        <v>0.4939</v>
      </c>
      <c r="K598" t="n">
        <v>0</v>
      </c>
      <c r="L598" t="n">
        <v>0.846</v>
      </c>
      <c r="M598" t="n">
        <v>0.154</v>
      </c>
    </row>
    <row r="599" spans="1:13">
      <c r="A599" s="1">
        <f>HYPERLINK("http://www.twitter.com/NathanBLawrence/status/995773465020981248", "995773465020981248")</f>
        <v/>
      </c>
      <c r="B599" s="2" t="n">
        <v>43233.88274305555</v>
      </c>
      <c r="C599" t="n">
        <v>1</v>
      </c>
      <c r="D599" t="n">
        <v>1</v>
      </c>
      <c r="E599" t="s">
        <v>606</v>
      </c>
      <c r="F599" t="s"/>
      <c r="G599" t="s"/>
      <c r="H599" t="s"/>
      <c r="I599" t="s"/>
      <c r="J599" t="n">
        <v>-0.8385</v>
      </c>
      <c r="K599" t="n">
        <v>0.369</v>
      </c>
      <c r="L599" t="n">
        <v>0.631</v>
      </c>
      <c r="M599" t="n">
        <v>0</v>
      </c>
    </row>
    <row r="600" spans="1:13">
      <c r="A600" s="1">
        <f>HYPERLINK("http://www.twitter.com/NathanBLawrence/status/995766287367311361", "995766287367311361")</f>
        <v/>
      </c>
      <c r="B600" s="2" t="n">
        <v>43233.86293981481</v>
      </c>
      <c r="C600" t="n">
        <v>0</v>
      </c>
      <c r="D600" t="n">
        <v>1</v>
      </c>
      <c r="E600" t="s">
        <v>607</v>
      </c>
      <c r="F600" t="s"/>
      <c r="G600" t="s"/>
      <c r="H600" t="s"/>
      <c r="I600" t="s"/>
      <c r="J600" t="n">
        <v>-0.1511</v>
      </c>
      <c r="K600" t="n">
        <v>0.11</v>
      </c>
      <c r="L600" t="n">
        <v>0.802</v>
      </c>
      <c r="M600" t="n">
        <v>0.08799999999999999</v>
      </c>
    </row>
    <row r="601" spans="1:13">
      <c r="A601" s="1">
        <f>HYPERLINK("http://www.twitter.com/NathanBLawrence/status/995732652127916033", "995732652127916033")</f>
        <v/>
      </c>
      <c r="B601" s="2" t="n">
        <v>43233.77011574074</v>
      </c>
      <c r="C601" t="n">
        <v>0</v>
      </c>
      <c r="D601" t="n">
        <v>7</v>
      </c>
      <c r="E601" t="s">
        <v>608</v>
      </c>
      <c r="F601">
        <f>HYPERLINK("http://pbs.twimg.com/media/DdGHpmyW0AECE0R.jpg", "http://pbs.twimg.com/media/DdGHpmyW0AECE0R.jpg")</f>
        <v/>
      </c>
      <c r="G601" t="s"/>
      <c r="H601" t="s"/>
      <c r="I601" t="s"/>
      <c r="J601" t="n">
        <v>0</v>
      </c>
      <c r="K601" t="n">
        <v>0</v>
      </c>
      <c r="L601" t="n">
        <v>1</v>
      </c>
      <c r="M601" t="n">
        <v>0</v>
      </c>
    </row>
    <row r="602" spans="1:13">
      <c r="A602" s="1">
        <f>HYPERLINK("http://www.twitter.com/NathanBLawrence/status/995703509168410624", "995703509168410624")</f>
        <v/>
      </c>
      <c r="B602" s="2" t="n">
        <v>43233.68969907407</v>
      </c>
      <c r="C602" t="n">
        <v>0</v>
      </c>
      <c r="D602" t="n">
        <v>1</v>
      </c>
      <c r="E602" t="s">
        <v>609</v>
      </c>
      <c r="F602" t="s"/>
      <c r="G602" t="s"/>
      <c r="H602" t="s"/>
      <c r="I602" t="s"/>
      <c r="J602" t="n">
        <v>-0.7574</v>
      </c>
      <c r="K602" t="n">
        <v>0.5649999999999999</v>
      </c>
      <c r="L602" t="n">
        <v>0.435</v>
      </c>
      <c r="M602" t="n">
        <v>0</v>
      </c>
    </row>
    <row r="603" spans="1:13">
      <c r="A603" s="1">
        <f>HYPERLINK("http://www.twitter.com/NathanBLawrence/status/995703381367906307", "995703381367906307")</f>
        <v/>
      </c>
      <c r="B603" s="2" t="n">
        <v>43233.68935185186</v>
      </c>
      <c r="C603" t="n">
        <v>0</v>
      </c>
      <c r="D603" t="n">
        <v>1</v>
      </c>
      <c r="E603" t="s">
        <v>610</v>
      </c>
      <c r="F603" t="s"/>
      <c r="G603" t="s"/>
      <c r="H603" t="s"/>
      <c r="I603" t="s"/>
      <c r="J603" t="n">
        <v>-0.7574</v>
      </c>
      <c r="K603" t="n">
        <v>0.6840000000000001</v>
      </c>
      <c r="L603" t="n">
        <v>0.316</v>
      </c>
      <c r="M603" t="n">
        <v>0</v>
      </c>
    </row>
    <row r="604" spans="1:13">
      <c r="A604" s="1">
        <f>HYPERLINK("http://www.twitter.com/NathanBLawrence/status/995699707279233025", "995699707279233025")</f>
        <v/>
      </c>
      <c r="B604" s="2" t="n">
        <v>43233.67921296296</v>
      </c>
      <c r="C604" t="n">
        <v>0</v>
      </c>
      <c r="D604" t="n">
        <v>3</v>
      </c>
      <c r="E604" t="s">
        <v>611</v>
      </c>
      <c r="F604">
        <f>HYPERLINK("http://pbs.twimg.com/media/DdFs_wYVMAAGaDa.jpg", "http://pbs.twimg.com/media/DdFs_wYVMAAGaDa.jpg")</f>
        <v/>
      </c>
      <c r="G604" t="s"/>
      <c r="H604" t="s"/>
      <c r="I604" t="s"/>
      <c r="J604" t="n">
        <v>0</v>
      </c>
      <c r="K604" t="n">
        <v>0</v>
      </c>
      <c r="L604" t="n">
        <v>1</v>
      </c>
      <c r="M604" t="n">
        <v>0</v>
      </c>
    </row>
    <row r="605" spans="1:13">
      <c r="A605" s="1">
        <f>HYPERLINK("http://www.twitter.com/NathanBLawrence/status/995669958968438784", "995669958968438784")</f>
        <v/>
      </c>
      <c r="B605" s="2" t="n">
        <v>43233.59711805556</v>
      </c>
      <c r="C605" t="n">
        <v>0</v>
      </c>
      <c r="D605" t="n">
        <v>2</v>
      </c>
      <c r="E605" t="s">
        <v>596</v>
      </c>
      <c r="F605">
        <f>HYPERLINK("http://pbs.twimg.com/media/DdCCHAMW0AA8QBg.jpg", "http://pbs.twimg.com/media/DdCCHAMW0AA8QBg.jpg")</f>
        <v/>
      </c>
      <c r="G605" t="s"/>
      <c r="H605" t="s"/>
      <c r="I605" t="s"/>
      <c r="J605" t="n">
        <v>0</v>
      </c>
      <c r="K605" t="n">
        <v>0</v>
      </c>
      <c r="L605" t="n">
        <v>1</v>
      </c>
      <c r="M605" t="n">
        <v>0</v>
      </c>
    </row>
    <row r="606" spans="1:13">
      <c r="A606" s="1">
        <f>HYPERLINK("http://www.twitter.com/NathanBLawrence/status/995665395385360390", "995665395385360390")</f>
        <v/>
      </c>
      <c r="B606" s="2" t="n">
        <v>43233.58452546296</v>
      </c>
      <c r="C606" t="n">
        <v>0</v>
      </c>
      <c r="D606" t="n">
        <v>1</v>
      </c>
      <c r="E606" t="s">
        <v>612</v>
      </c>
      <c r="F606" t="s"/>
      <c r="G606" t="s"/>
      <c r="H606" t="s"/>
      <c r="I606" t="s"/>
      <c r="J606" t="n">
        <v>0</v>
      </c>
      <c r="K606" t="n">
        <v>0</v>
      </c>
      <c r="L606" t="n">
        <v>1</v>
      </c>
      <c r="M606" t="n">
        <v>0</v>
      </c>
    </row>
    <row r="607" spans="1:13">
      <c r="A607" s="1">
        <f>HYPERLINK("http://www.twitter.com/NathanBLawrence/status/995661851789754369", "995661851789754369")</f>
        <v/>
      </c>
      <c r="B607" s="2" t="n">
        <v>43233.57474537037</v>
      </c>
      <c r="C607" t="n">
        <v>0</v>
      </c>
      <c r="D607" t="n">
        <v>1</v>
      </c>
      <c r="E607" t="s">
        <v>613</v>
      </c>
      <c r="F607" t="s"/>
      <c r="G607" t="s"/>
      <c r="H607" t="s"/>
      <c r="I607" t="s"/>
      <c r="J607" t="n">
        <v>0</v>
      </c>
      <c r="K607" t="n">
        <v>0</v>
      </c>
      <c r="L607" t="n">
        <v>1</v>
      </c>
      <c r="M607" t="n">
        <v>0</v>
      </c>
    </row>
    <row r="608" spans="1:13">
      <c r="A608" s="1">
        <f>HYPERLINK("http://www.twitter.com/NathanBLawrence/status/995658862123540481", "995658862123540481")</f>
        <v/>
      </c>
      <c r="B608" s="2" t="n">
        <v>43233.56649305556</v>
      </c>
      <c r="C608" t="n">
        <v>0</v>
      </c>
      <c r="D608" t="n">
        <v>2</v>
      </c>
      <c r="E608" t="s">
        <v>614</v>
      </c>
      <c r="F608" t="s"/>
      <c r="G608" t="s"/>
      <c r="H608" t="s"/>
      <c r="I608" t="s"/>
      <c r="J608" t="n">
        <v>0</v>
      </c>
      <c r="K608" t="n">
        <v>0</v>
      </c>
      <c r="L608" t="n">
        <v>1</v>
      </c>
      <c r="M608" t="n">
        <v>0</v>
      </c>
    </row>
    <row r="609" spans="1:13">
      <c r="A609" s="1">
        <f>HYPERLINK("http://www.twitter.com/NathanBLawrence/status/995658781643112448", "995658781643112448")</f>
        <v/>
      </c>
      <c r="B609" s="2" t="n">
        <v>43233.56627314815</v>
      </c>
      <c r="C609" t="n">
        <v>1</v>
      </c>
      <c r="D609" t="n">
        <v>2</v>
      </c>
      <c r="E609" t="s">
        <v>615</v>
      </c>
      <c r="F609" t="s"/>
      <c r="G609" t="s"/>
      <c r="H609" t="s"/>
      <c r="I609" t="s"/>
      <c r="J609" t="n">
        <v>0</v>
      </c>
      <c r="K609" t="n">
        <v>0</v>
      </c>
      <c r="L609" t="n">
        <v>1</v>
      </c>
      <c r="M609" t="n">
        <v>0</v>
      </c>
    </row>
    <row r="610" spans="1:13">
      <c r="A610" s="1">
        <f>HYPERLINK("http://www.twitter.com/NathanBLawrence/status/995658234492018688", "995658234492018688")</f>
        <v/>
      </c>
      <c r="B610" s="2" t="n">
        <v>43233.56476851852</v>
      </c>
      <c r="C610" t="n">
        <v>0</v>
      </c>
      <c r="D610" t="n">
        <v>8</v>
      </c>
      <c r="E610" t="s">
        <v>616</v>
      </c>
      <c r="F610" t="s"/>
      <c r="G610" t="s"/>
      <c r="H610" t="s"/>
      <c r="I610" t="s"/>
      <c r="J610" t="n">
        <v>0</v>
      </c>
      <c r="K610" t="n">
        <v>0</v>
      </c>
      <c r="L610" t="n">
        <v>1</v>
      </c>
      <c r="M610" t="n">
        <v>0</v>
      </c>
    </row>
    <row r="611" spans="1:13">
      <c r="A611" s="1">
        <f>HYPERLINK("http://www.twitter.com/NathanBLawrence/status/995658198072942592", "995658198072942592")</f>
        <v/>
      </c>
      <c r="B611" s="2" t="n">
        <v>43233.56466435185</v>
      </c>
      <c r="C611" t="n">
        <v>8</v>
      </c>
      <c r="D611" t="n">
        <v>8</v>
      </c>
      <c r="E611" t="s">
        <v>617</v>
      </c>
      <c r="F611" t="s"/>
      <c r="G611" t="s"/>
      <c r="H611" t="s"/>
      <c r="I611" t="s"/>
      <c r="J611" t="n">
        <v>0</v>
      </c>
      <c r="K611" t="n">
        <v>0</v>
      </c>
      <c r="L611" t="n">
        <v>1</v>
      </c>
      <c r="M611" t="n">
        <v>0</v>
      </c>
    </row>
    <row r="612" spans="1:13">
      <c r="A612" s="1">
        <f>HYPERLINK("http://www.twitter.com/NathanBLawrence/status/995652782676955136", "995652782676955136")</f>
        <v/>
      </c>
      <c r="B612" s="2" t="n">
        <v>43233.54972222223</v>
      </c>
      <c r="C612" t="n">
        <v>0</v>
      </c>
      <c r="D612" t="n">
        <v>34</v>
      </c>
      <c r="E612" t="s">
        <v>618</v>
      </c>
      <c r="F612" t="s"/>
      <c r="G612" t="s"/>
      <c r="H612" t="s"/>
      <c r="I612" t="s"/>
      <c r="J612" t="n">
        <v>-0.3818</v>
      </c>
      <c r="K612" t="n">
        <v>0.11</v>
      </c>
      <c r="L612" t="n">
        <v>0.89</v>
      </c>
      <c r="M612" t="n">
        <v>0</v>
      </c>
    </row>
    <row r="613" spans="1:13">
      <c r="A613" s="1">
        <f>HYPERLINK("http://www.twitter.com/NathanBLawrence/status/995652226411573248", "995652226411573248")</f>
        <v/>
      </c>
      <c r="B613" s="2" t="n">
        <v>43233.54818287037</v>
      </c>
      <c r="C613" t="n">
        <v>0</v>
      </c>
      <c r="D613" t="n">
        <v>5</v>
      </c>
      <c r="E613" t="s">
        <v>619</v>
      </c>
      <c r="F613">
        <f>HYPERLINK("http://pbs.twimg.com/media/DdFDea1XUAEyMXT.jpg", "http://pbs.twimg.com/media/DdFDea1XUAEyMXT.jpg")</f>
        <v/>
      </c>
      <c r="G613" t="s"/>
      <c r="H613" t="s"/>
      <c r="I613" t="s"/>
      <c r="J613" t="n">
        <v>-0.5707</v>
      </c>
      <c r="K613" t="n">
        <v>0.216</v>
      </c>
      <c r="L613" t="n">
        <v>0.784</v>
      </c>
      <c r="M613" t="n">
        <v>0</v>
      </c>
    </row>
    <row r="614" spans="1:13">
      <c r="A614" s="1">
        <f>HYPERLINK("http://www.twitter.com/NathanBLawrence/status/995652058928877569", "995652058928877569")</f>
        <v/>
      </c>
      <c r="B614" s="2" t="n">
        <v>43233.54771990741</v>
      </c>
      <c r="C614" t="n">
        <v>9</v>
      </c>
      <c r="D614" t="n">
        <v>5</v>
      </c>
      <c r="E614" t="s">
        <v>620</v>
      </c>
      <c r="F614">
        <f>HYPERLINK("http://pbs.twimg.com/media/DdFDea1XUAEyMXT.jpg", "http://pbs.twimg.com/media/DdFDea1XUAEyMXT.jpg")</f>
        <v/>
      </c>
      <c r="G614" t="s"/>
      <c r="H614" t="s"/>
      <c r="I614" t="s"/>
      <c r="J614" t="n">
        <v>-0.9298999999999999</v>
      </c>
      <c r="K614" t="n">
        <v>0.32</v>
      </c>
      <c r="L614" t="n">
        <v>0.643</v>
      </c>
      <c r="M614" t="n">
        <v>0.038</v>
      </c>
    </row>
    <row r="615" spans="1:13">
      <c r="A615" s="1">
        <f>HYPERLINK("http://www.twitter.com/NathanBLawrence/status/995647667966566400", "995647667966566400")</f>
        <v/>
      </c>
      <c r="B615" s="2" t="n">
        <v>43233.53560185185</v>
      </c>
      <c r="C615" t="n">
        <v>0</v>
      </c>
      <c r="D615" t="n">
        <v>9</v>
      </c>
      <c r="E615" t="s">
        <v>621</v>
      </c>
      <c r="F615" t="s"/>
      <c r="G615" t="s"/>
      <c r="H615" t="s"/>
      <c r="I615" t="s"/>
      <c r="J615" t="n">
        <v>0</v>
      </c>
      <c r="K615" t="n">
        <v>0</v>
      </c>
      <c r="L615" t="n">
        <v>1</v>
      </c>
      <c r="M615" t="n">
        <v>0</v>
      </c>
    </row>
    <row r="616" spans="1:13">
      <c r="A616" s="1">
        <f>HYPERLINK("http://www.twitter.com/NathanBLawrence/status/995647655723372544", "995647655723372544")</f>
        <v/>
      </c>
      <c r="B616" s="2" t="n">
        <v>43233.5355787037</v>
      </c>
      <c r="C616" t="n">
        <v>0</v>
      </c>
      <c r="D616" t="n">
        <v>9</v>
      </c>
      <c r="E616" t="s">
        <v>622</v>
      </c>
      <c r="F616" t="s"/>
      <c r="G616" t="s"/>
      <c r="H616" t="s"/>
      <c r="I616" t="s"/>
      <c r="J616" t="n">
        <v>0</v>
      </c>
      <c r="K616" t="n">
        <v>0</v>
      </c>
      <c r="L616" t="n">
        <v>1</v>
      </c>
      <c r="M616" t="n">
        <v>0</v>
      </c>
    </row>
    <row r="617" spans="1:13">
      <c r="A617" s="1">
        <f>HYPERLINK("http://www.twitter.com/NathanBLawrence/status/995647525628579841", "995647525628579841")</f>
        <v/>
      </c>
      <c r="B617" s="2" t="n">
        <v>43233.5352199074</v>
      </c>
      <c r="C617" t="n">
        <v>10</v>
      </c>
      <c r="D617" t="n">
        <v>9</v>
      </c>
      <c r="E617" t="s">
        <v>623</v>
      </c>
      <c r="F617" t="s"/>
      <c r="G617" t="s"/>
      <c r="H617" t="s"/>
      <c r="I617" t="s"/>
      <c r="J617" t="n">
        <v>0</v>
      </c>
      <c r="K617" t="n">
        <v>0</v>
      </c>
      <c r="L617" t="n">
        <v>1</v>
      </c>
      <c r="M617" t="n">
        <v>0</v>
      </c>
    </row>
    <row r="618" spans="1:13">
      <c r="A618" s="1">
        <f>HYPERLINK("http://www.twitter.com/NathanBLawrence/status/995647524231892992", "995647524231892992")</f>
        <v/>
      </c>
      <c r="B618" s="2" t="n">
        <v>43233.53520833333</v>
      </c>
      <c r="C618" t="n">
        <v>14</v>
      </c>
      <c r="D618" t="n">
        <v>9</v>
      </c>
      <c r="E618" t="s">
        <v>624</v>
      </c>
      <c r="F618" t="s"/>
      <c r="G618" t="s"/>
      <c r="H618" t="s"/>
      <c r="I618" t="s"/>
      <c r="J618" t="n">
        <v>-0.2023</v>
      </c>
      <c r="K618" t="n">
        <v>0.044</v>
      </c>
      <c r="L618" t="n">
        <v>0.956</v>
      </c>
      <c r="M618" t="n">
        <v>0</v>
      </c>
    </row>
    <row r="619" spans="1:13">
      <c r="A619" s="1">
        <f>HYPERLINK("http://www.twitter.com/NathanBLawrence/status/995641719478681600", "995641719478681600")</f>
        <v/>
      </c>
      <c r="B619" s="2" t="n">
        <v>43233.51918981481</v>
      </c>
      <c r="C619" t="n">
        <v>0</v>
      </c>
      <c r="D619" t="n">
        <v>2</v>
      </c>
      <c r="E619" t="s">
        <v>625</v>
      </c>
      <c r="F619" t="s"/>
      <c r="G619" t="s"/>
      <c r="H619" t="s"/>
      <c r="I619" t="s"/>
      <c r="J619" t="n">
        <v>0.6249</v>
      </c>
      <c r="K619" t="n">
        <v>0.063</v>
      </c>
      <c r="L619" t="n">
        <v>0.676</v>
      </c>
      <c r="M619" t="n">
        <v>0.261</v>
      </c>
    </row>
    <row r="620" spans="1:13">
      <c r="A620" s="1">
        <f>HYPERLINK("http://www.twitter.com/NathanBLawrence/status/995639713921937408", "995639713921937408")</f>
        <v/>
      </c>
      <c r="B620" s="2" t="n">
        <v>43233.51365740741</v>
      </c>
      <c r="C620" t="n">
        <v>6</v>
      </c>
      <c r="D620" t="n">
        <v>2</v>
      </c>
      <c r="E620" t="s">
        <v>626</v>
      </c>
      <c r="F620" t="s"/>
      <c r="G620" t="s"/>
      <c r="H620" t="s"/>
      <c r="I620" t="s"/>
      <c r="J620" t="n">
        <v>0.34</v>
      </c>
      <c r="K620" t="n">
        <v>0.179</v>
      </c>
      <c r="L620" t="n">
        <v>0.5659999999999999</v>
      </c>
      <c r="M620" t="n">
        <v>0.255</v>
      </c>
    </row>
    <row r="621" spans="1:13">
      <c r="A621" s="1">
        <f>HYPERLINK("http://www.twitter.com/NathanBLawrence/status/995622808670687232", "995622808670687232")</f>
        <v/>
      </c>
      <c r="B621" s="2" t="n">
        <v>43233.46701388889</v>
      </c>
      <c r="C621" t="n">
        <v>0</v>
      </c>
      <c r="D621" t="n">
        <v>1</v>
      </c>
      <c r="E621" t="s">
        <v>627</v>
      </c>
      <c r="F621" t="s"/>
      <c r="G621" t="s"/>
      <c r="H621" t="s"/>
      <c r="I621" t="s"/>
      <c r="J621" t="n">
        <v>0.0788</v>
      </c>
      <c r="K621" t="n">
        <v>0.135</v>
      </c>
      <c r="L621" t="n">
        <v>0.709</v>
      </c>
      <c r="M621" t="n">
        <v>0.155</v>
      </c>
    </row>
    <row r="622" spans="1:13">
      <c r="A622" s="1">
        <f>HYPERLINK("http://www.twitter.com/NathanBLawrence/status/995622559960977408", "995622559960977408")</f>
        <v/>
      </c>
      <c r="B622" s="2" t="n">
        <v>43233.46631944444</v>
      </c>
      <c r="C622" t="n">
        <v>1</v>
      </c>
      <c r="D622" t="n">
        <v>1</v>
      </c>
      <c r="E622" t="s">
        <v>628</v>
      </c>
      <c r="F622" t="s"/>
      <c r="G622" t="s"/>
      <c r="H622" t="s"/>
      <c r="I622" t="s"/>
      <c r="J622" t="n">
        <v>0.0788</v>
      </c>
      <c r="K622" t="n">
        <v>0.155</v>
      </c>
      <c r="L622" t="n">
        <v>0.666</v>
      </c>
      <c r="M622" t="n">
        <v>0.178</v>
      </c>
    </row>
    <row r="623" spans="1:13">
      <c r="A623" s="1">
        <f>HYPERLINK("http://www.twitter.com/NathanBLawrence/status/995507398344310784", "995507398344310784")</f>
        <v/>
      </c>
      <c r="B623" s="2" t="n">
        <v>43233.14854166667</v>
      </c>
      <c r="C623" t="n">
        <v>0</v>
      </c>
      <c r="D623" t="n">
        <v>4</v>
      </c>
      <c r="E623" t="s">
        <v>629</v>
      </c>
      <c r="F623">
        <f>HYPERLINK("http://pbs.twimg.com/media/DdDAaqPV0AAWX5C.jpg", "http://pbs.twimg.com/media/DdDAaqPV0AAWX5C.jpg")</f>
        <v/>
      </c>
      <c r="G623" t="s"/>
      <c r="H623" t="s"/>
      <c r="I623" t="s"/>
      <c r="J623" t="n">
        <v>-0.2263</v>
      </c>
      <c r="K623" t="n">
        <v>0.161</v>
      </c>
      <c r="L623" t="n">
        <v>0.712</v>
      </c>
      <c r="M623" t="n">
        <v>0.127</v>
      </c>
    </row>
    <row r="624" spans="1:13">
      <c r="A624" s="1">
        <f>HYPERLINK("http://www.twitter.com/NathanBLawrence/status/995503722179579904", "995503722179579904")</f>
        <v/>
      </c>
      <c r="B624" s="2" t="n">
        <v>43233.13839120371</v>
      </c>
      <c r="C624" t="n">
        <v>0</v>
      </c>
      <c r="D624" t="n">
        <v>2</v>
      </c>
      <c r="E624" t="s">
        <v>630</v>
      </c>
      <c r="F624" t="s"/>
      <c r="G624" t="s"/>
      <c r="H624" t="s"/>
      <c r="I624" t="s"/>
      <c r="J624" t="n">
        <v>0.6369</v>
      </c>
      <c r="K624" t="n">
        <v>0</v>
      </c>
      <c r="L624" t="n">
        <v>0.781</v>
      </c>
      <c r="M624" t="n">
        <v>0.219</v>
      </c>
    </row>
    <row r="625" spans="1:13">
      <c r="A625" s="1">
        <f>HYPERLINK("http://www.twitter.com/NathanBLawrence/status/995501781575786497", "995501781575786497")</f>
        <v/>
      </c>
      <c r="B625" s="2" t="n">
        <v>43233.13303240741</v>
      </c>
      <c r="C625" t="n">
        <v>0</v>
      </c>
      <c r="D625" t="n">
        <v>6</v>
      </c>
      <c r="E625" t="s">
        <v>631</v>
      </c>
      <c r="F625" t="s"/>
      <c r="G625" t="s"/>
      <c r="H625" t="s"/>
      <c r="I625" t="s"/>
      <c r="J625" t="n">
        <v>0</v>
      </c>
      <c r="K625" t="n">
        <v>0</v>
      </c>
      <c r="L625" t="n">
        <v>1</v>
      </c>
      <c r="M625" t="n">
        <v>0</v>
      </c>
    </row>
    <row r="626" spans="1:13">
      <c r="A626" s="1">
        <f>HYPERLINK("http://www.twitter.com/NathanBLawrence/status/995498653165944832", "995498653165944832")</f>
        <v/>
      </c>
      <c r="B626" s="2" t="n">
        <v>43233.12440972222</v>
      </c>
      <c r="C626" t="n">
        <v>0</v>
      </c>
      <c r="D626" t="n">
        <v>7</v>
      </c>
      <c r="E626" t="s">
        <v>632</v>
      </c>
      <c r="F626" t="s"/>
      <c r="G626" t="s"/>
      <c r="H626" t="s"/>
      <c r="I626" t="s"/>
      <c r="J626" t="n">
        <v>-0.4019</v>
      </c>
      <c r="K626" t="n">
        <v>0.252</v>
      </c>
      <c r="L626" t="n">
        <v>0.748</v>
      </c>
      <c r="M626" t="n">
        <v>0</v>
      </c>
    </row>
    <row r="627" spans="1:13">
      <c r="A627" s="1">
        <f>HYPERLINK("http://www.twitter.com/NathanBLawrence/status/995498144493375488", "995498144493375488")</f>
        <v/>
      </c>
      <c r="B627" s="2" t="n">
        <v>43233.12299768518</v>
      </c>
      <c r="C627" t="n">
        <v>0</v>
      </c>
      <c r="D627" t="n">
        <v>1</v>
      </c>
      <c r="E627" t="s">
        <v>633</v>
      </c>
      <c r="F627">
        <f>HYPERLINK("http://pbs.twimg.com/media/DdCyQHcVQAAnQ2O.jpg", "http://pbs.twimg.com/media/DdCyQHcVQAAnQ2O.jpg")</f>
        <v/>
      </c>
      <c r="G627" t="s"/>
      <c r="H627" t="s"/>
      <c r="I627" t="s"/>
      <c r="J627" t="n">
        <v>0.6597</v>
      </c>
      <c r="K627" t="n">
        <v>0</v>
      </c>
      <c r="L627" t="n">
        <v>0.779</v>
      </c>
      <c r="M627" t="n">
        <v>0.221</v>
      </c>
    </row>
    <row r="628" spans="1:13">
      <c r="A628" s="1">
        <f>HYPERLINK("http://www.twitter.com/NathanBLawrence/status/995491405660409856", "995491405660409856")</f>
        <v/>
      </c>
      <c r="B628" s="2" t="n">
        <v>43233.10440972223</v>
      </c>
      <c r="C628" t="n">
        <v>0</v>
      </c>
      <c r="D628" t="n">
        <v>8</v>
      </c>
      <c r="E628" t="s">
        <v>634</v>
      </c>
      <c r="F628">
        <f>HYPERLINK("http://pbs.twimg.com/media/DdCtiQqV0AALdRk.jpg", "http://pbs.twimg.com/media/DdCtiQqV0AALdRk.jpg")</f>
        <v/>
      </c>
      <c r="G628" t="s"/>
      <c r="H628" t="s"/>
      <c r="I628" t="s"/>
      <c r="J628" t="n">
        <v>-0.4648</v>
      </c>
      <c r="K628" t="n">
        <v>0.132</v>
      </c>
      <c r="L628" t="n">
        <v>0.868</v>
      </c>
      <c r="M628" t="n">
        <v>0</v>
      </c>
    </row>
    <row r="629" spans="1:13">
      <c r="A629" s="1">
        <f>HYPERLINK("http://www.twitter.com/NathanBLawrence/status/995472558840479744", "995472558840479744")</f>
        <v/>
      </c>
      <c r="B629" s="2" t="n">
        <v>43233.05239583334</v>
      </c>
      <c r="C629" t="n">
        <v>0</v>
      </c>
      <c r="D629" t="n">
        <v>5</v>
      </c>
      <c r="E629" t="s">
        <v>635</v>
      </c>
      <c r="F629" t="s"/>
      <c r="G629" t="s"/>
      <c r="H629" t="s"/>
      <c r="I629" t="s"/>
      <c r="J629" t="n">
        <v>-0.6808</v>
      </c>
      <c r="K629" t="n">
        <v>0.258</v>
      </c>
      <c r="L629" t="n">
        <v>0.742</v>
      </c>
      <c r="M629" t="n">
        <v>0</v>
      </c>
    </row>
    <row r="630" spans="1:13">
      <c r="A630" s="1">
        <f>HYPERLINK("http://www.twitter.com/NathanBLawrence/status/995472488762101760", "995472488762101760")</f>
        <v/>
      </c>
      <c r="B630" s="2" t="n">
        <v>43233.05219907407</v>
      </c>
      <c r="C630" t="n">
        <v>6</v>
      </c>
      <c r="D630" t="n">
        <v>5</v>
      </c>
      <c r="E630" t="s">
        <v>636</v>
      </c>
      <c r="F630" t="s"/>
      <c r="G630" t="s"/>
      <c r="H630" t="s"/>
      <c r="I630" t="s"/>
      <c r="J630" t="n">
        <v>-0.8979</v>
      </c>
      <c r="K630" t="n">
        <v>0.275</v>
      </c>
      <c r="L630" t="n">
        <v>0.725</v>
      </c>
      <c r="M630" t="n">
        <v>0</v>
      </c>
    </row>
    <row r="631" spans="1:13">
      <c r="A631" s="1">
        <f>HYPERLINK("http://www.twitter.com/NathanBLawrence/status/995444703297404933", "995444703297404933")</f>
        <v/>
      </c>
      <c r="B631" s="2" t="n">
        <v>43232.97553240741</v>
      </c>
      <c r="C631" t="n">
        <v>0</v>
      </c>
      <c r="D631" t="n">
        <v>13</v>
      </c>
      <c r="E631" t="s">
        <v>637</v>
      </c>
      <c r="F631">
        <f>HYPERLINK("http://pbs.twimg.com/media/DdCHdYmXkAA-ydw.jpg", "http://pbs.twimg.com/media/DdCHdYmXkAA-ydw.jpg")</f>
        <v/>
      </c>
      <c r="G631" t="s"/>
      <c r="H631" t="s"/>
      <c r="I631" t="s"/>
      <c r="J631" t="n">
        <v>0.5319</v>
      </c>
      <c r="K631" t="n">
        <v>0</v>
      </c>
      <c r="L631" t="n">
        <v>0.879</v>
      </c>
      <c r="M631" t="n">
        <v>0.121</v>
      </c>
    </row>
    <row r="632" spans="1:13">
      <c r="A632" s="1">
        <f>HYPERLINK("http://www.twitter.com/NathanBLawrence/status/995444653985095680", "995444653985095680")</f>
        <v/>
      </c>
      <c r="B632" s="2" t="n">
        <v>43232.97539351852</v>
      </c>
      <c r="C632" t="n">
        <v>15</v>
      </c>
      <c r="D632" t="n">
        <v>13</v>
      </c>
      <c r="E632" t="s">
        <v>638</v>
      </c>
      <c r="F632">
        <f>HYPERLINK("http://pbs.twimg.com/media/DdCHdYmXkAA-ydw.jpg", "http://pbs.twimg.com/media/DdCHdYmXkAA-ydw.jpg")</f>
        <v/>
      </c>
      <c r="G632" t="s"/>
      <c r="H632" t="s"/>
      <c r="I632" t="s"/>
      <c r="J632" t="n">
        <v>0.706</v>
      </c>
      <c r="K632" t="n">
        <v>0</v>
      </c>
      <c r="L632" t="n">
        <v>0.872</v>
      </c>
      <c r="M632" t="n">
        <v>0.128</v>
      </c>
    </row>
    <row r="633" spans="1:13">
      <c r="A633" s="1">
        <f>HYPERLINK("http://www.twitter.com/NathanBLawrence/status/995443147621662720", "995443147621662720")</f>
        <v/>
      </c>
      <c r="B633" s="2" t="n">
        <v>43232.97123842593</v>
      </c>
      <c r="C633" t="n">
        <v>0</v>
      </c>
      <c r="D633" t="n">
        <v>5</v>
      </c>
      <c r="E633" t="s">
        <v>639</v>
      </c>
      <c r="F633" t="s"/>
      <c r="G633" t="s"/>
      <c r="H633" t="s"/>
      <c r="I633" t="s"/>
      <c r="J633" t="n">
        <v>0.3818</v>
      </c>
      <c r="K633" t="n">
        <v>0</v>
      </c>
      <c r="L633" t="n">
        <v>0.867</v>
      </c>
      <c r="M633" t="n">
        <v>0.133</v>
      </c>
    </row>
    <row r="634" spans="1:13">
      <c r="A634" s="1">
        <f>HYPERLINK("http://www.twitter.com/NathanBLawrence/status/995443076880531462", "995443076880531462")</f>
        <v/>
      </c>
      <c r="B634" s="2" t="n">
        <v>43232.97104166666</v>
      </c>
      <c r="C634" t="n">
        <v>0</v>
      </c>
      <c r="D634" t="n">
        <v>0</v>
      </c>
      <c r="E634" t="s">
        <v>640</v>
      </c>
      <c r="F634" t="s"/>
      <c r="G634" t="s"/>
      <c r="H634" t="s"/>
      <c r="I634" t="s"/>
      <c r="J634" t="n">
        <v>0.6588000000000001</v>
      </c>
      <c r="K634" t="n">
        <v>0.045</v>
      </c>
      <c r="L634" t="n">
        <v>0.769</v>
      </c>
      <c r="M634" t="n">
        <v>0.186</v>
      </c>
    </row>
    <row r="635" spans="1:13">
      <c r="A635" s="1">
        <f>HYPERLINK("http://www.twitter.com/NathanBLawrence/status/995441141720997890", "995441141720997890")</f>
        <v/>
      </c>
      <c r="B635" s="2" t="n">
        <v>43232.96570601852</v>
      </c>
      <c r="C635" t="n">
        <v>0</v>
      </c>
      <c r="D635" t="n">
        <v>16</v>
      </c>
      <c r="E635" t="s">
        <v>641</v>
      </c>
      <c r="F635" t="s"/>
      <c r="G635" t="s"/>
      <c r="H635" t="s"/>
      <c r="I635" t="s"/>
      <c r="J635" t="n">
        <v>-0.0258</v>
      </c>
      <c r="K635" t="n">
        <v>0.105</v>
      </c>
      <c r="L635" t="n">
        <v>0.795</v>
      </c>
      <c r="M635" t="n">
        <v>0.1</v>
      </c>
    </row>
    <row r="636" spans="1:13">
      <c r="A636" s="1">
        <f>HYPERLINK("http://www.twitter.com/NathanBLawrence/status/995441098918162433", "995441098918162433")</f>
        <v/>
      </c>
      <c r="B636" s="2" t="n">
        <v>43232.96559027778</v>
      </c>
      <c r="C636" t="n">
        <v>0</v>
      </c>
      <c r="D636" t="n">
        <v>7</v>
      </c>
      <c r="E636" t="s">
        <v>642</v>
      </c>
      <c r="F636" t="s"/>
      <c r="G636" t="s"/>
      <c r="H636" t="s"/>
      <c r="I636" t="s"/>
      <c r="J636" t="n">
        <v>0.5719</v>
      </c>
      <c r="K636" t="n">
        <v>0</v>
      </c>
      <c r="L636" t="n">
        <v>0.821</v>
      </c>
      <c r="M636" t="n">
        <v>0.179</v>
      </c>
    </row>
    <row r="637" spans="1:13">
      <c r="A637" s="1">
        <f>HYPERLINK("http://www.twitter.com/NathanBLawrence/status/995430250845802496", "995430250845802496")</f>
        <v/>
      </c>
      <c r="B637" s="2" t="n">
        <v>43232.93564814814</v>
      </c>
      <c r="C637" t="n">
        <v>0</v>
      </c>
      <c r="D637" t="n">
        <v>20</v>
      </c>
      <c r="E637" t="s">
        <v>643</v>
      </c>
      <c r="F637" t="s"/>
      <c r="G637" t="s"/>
      <c r="H637" t="s"/>
      <c r="I637" t="s"/>
      <c r="J637" t="n">
        <v>-0.4019</v>
      </c>
      <c r="K637" t="n">
        <v>0.144</v>
      </c>
      <c r="L637" t="n">
        <v>0.856</v>
      </c>
      <c r="M637" t="n">
        <v>0</v>
      </c>
    </row>
    <row r="638" spans="1:13">
      <c r="A638" s="1">
        <f>HYPERLINK("http://www.twitter.com/NathanBLawrence/status/995419716779995136", "995419716779995136")</f>
        <v/>
      </c>
      <c r="B638" s="2" t="n">
        <v>43232.90658564815</v>
      </c>
      <c r="C638" t="n">
        <v>0</v>
      </c>
      <c r="D638" t="n">
        <v>6</v>
      </c>
      <c r="E638" t="s">
        <v>644</v>
      </c>
      <c r="F638" t="s"/>
      <c r="G638" t="s"/>
      <c r="H638" t="s"/>
      <c r="I638" t="s"/>
      <c r="J638" t="n">
        <v>0.6249</v>
      </c>
      <c r="K638" t="n">
        <v>0</v>
      </c>
      <c r="L638" t="n">
        <v>0.661</v>
      </c>
      <c r="M638" t="n">
        <v>0.339</v>
      </c>
    </row>
    <row r="639" spans="1:13">
      <c r="A639" s="1">
        <f>HYPERLINK("http://www.twitter.com/NathanBLawrence/status/995409526164803584", "995409526164803584")</f>
        <v/>
      </c>
      <c r="B639" s="2" t="n">
        <v>43232.87846064815</v>
      </c>
      <c r="C639" t="n">
        <v>0</v>
      </c>
      <c r="D639" t="n">
        <v>2</v>
      </c>
      <c r="E639" t="s">
        <v>645</v>
      </c>
      <c r="F639" t="s"/>
      <c r="G639" t="s"/>
      <c r="H639" t="s"/>
      <c r="I639" t="s"/>
      <c r="J639" t="n">
        <v>-0.6541</v>
      </c>
      <c r="K639" t="n">
        <v>0.204</v>
      </c>
      <c r="L639" t="n">
        <v>0.796</v>
      </c>
      <c r="M639" t="n">
        <v>0</v>
      </c>
    </row>
    <row r="640" spans="1:13">
      <c r="A640" s="1">
        <f>HYPERLINK("http://www.twitter.com/NathanBLawrence/status/995403547113152512", "995403547113152512")</f>
        <v/>
      </c>
      <c r="B640" s="2" t="n">
        <v>43232.86195601852</v>
      </c>
      <c r="C640" t="n">
        <v>0</v>
      </c>
      <c r="D640" t="n">
        <v>10</v>
      </c>
      <c r="E640" t="s">
        <v>646</v>
      </c>
      <c r="F640">
        <f>HYPERLINK("http://pbs.twimg.com/media/DdBh1X9X4AA_CsJ.jpg", "http://pbs.twimg.com/media/DdBh1X9X4AA_CsJ.jpg")</f>
        <v/>
      </c>
      <c r="G640" t="s"/>
      <c r="H640" t="s"/>
      <c r="I640" t="s"/>
      <c r="J640" t="n">
        <v>-0.1027</v>
      </c>
      <c r="K640" t="n">
        <v>0.117</v>
      </c>
      <c r="L640" t="n">
        <v>0.78</v>
      </c>
      <c r="M640" t="n">
        <v>0.103</v>
      </c>
    </row>
    <row r="641" spans="1:13">
      <c r="A641" s="1">
        <f>HYPERLINK("http://www.twitter.com/NathanBLawrence/status/995403524648439808", "995403524648439808")</f>
        <v/>
      </c>
      <c r="B641" s="2" t="n">
        <v>43232.86189814815</v>
      </c>
      <c r="C641" t="n">
        <v>12</v>
      </c>
      <c r="D641" t="n">
        <v>10</v>
      </c>
      <c r="E641" t="s">
        <v>647</v>
      </c>
      <c r="F641">
        <f>HYPERLINK("http://pbs.twimg.com/media/DdBh1X9X4AA_CsJ.jpg", "http://pbs.twimg.com/media/DdBh1X9X4AA_CsJ.jpg")</f>
        <v/>
      </c>
      <c r="G641" t="s"/>
      <c r="H641" t="s"/>
      <c r="I641" t="s"/>
      <c r="J641" t="n">
        <v>-0.4939</v>
      </c>
      <c r="K641" t="n">
        <v>0.127</v>
      </c>
      <c r="L641" t="n">
        <v>0.8120000000000001</v>
      </c>
      <c r="M641" t="n">
        <v>0.06</v>
      </c>
    </row>
    <row r="642" spans="1:13">
      <c r="A642" s="1">
        <f>HYPERLINK("http://www.twitter.com/NathanBLawrence/status/995401067536973824", "995401067536973824")</f>
        <v/>
      </c>
      <c r="B642" s="2" t="n">
        <v>43232.85511574074</v>
      </c>
      <c r="C642" t="n">
        <v>0</v>
      </c>
      <c r="D642" t="n">
        <v>8</v>
      </c>
      <c r="E642" t="s">
        <v>648</v>
      </c>
      <c r="F642" t="s"/>
      <c r="G642" t="s"/>
      <c r="H642" t="s"/>
      <c r="I642" t="s"/>
      <c r="J642" t="n">
        <v>0</v>
      </c>
      <c r="K642" t="n">
        <v>0</v>
      </c>
      <c r="L642" t="n">
        <v>1</v>
      </c>
      <c r="M642" t="n">
        <v>0</v>
      </c>
    </row>
    <row r="643" spans="1:13">
      <c r="A643" s="1">
        <f>HYPERLINK("http://www.twitter.com/NathanBLawrence/status/995401056266997761", "995401056266997761")</f>
        <v/>
      </c>
      <c r="B643" s="2" t="n">
        <v>43232.8550925926</v>
      </c>
      <c r="C643" t="n">
        <v>0</v>
      </c>
      <c r="D643" t="n">
        <v>7</v>
      </c>
      <c r="E643" t="s">
        <v>649</v>
      </c>
      <c r="F643" t="s"/>
      <c r="G643" t="s"/>
      <c r="H643" t="s"/>
      <c r="I643" t="s"/>
      <c r="J643" t="n">
        <v>0</v>
      </c>
      <c r="K643" t="n">
        <v>0</v>
      </c>
      <c r="L643" t="n">
        <v>1</v>
      </c>
      <c r="M643" t="n">
        <v>0</v>
      </c>
    </row>
    <row r="644" spans="1:13">
      <c r="A644" s="1">
        <f>HYPERLINK("http://www.twitter.com/NathanBLawrence/status/995398315855491073", "995398315855491073")</f>
        <v/>
      </c>
      <c r="B644" s="2" t="n">
        <v>43232.84752314815</v>
      </c>
      <c r="C644" t="n">
        <v>0</v>
      </c>
      <c r="D644" t="n">
        <v>9</v>
      </c>
      <c r="E644" t="s">
        <v>650</v>
      </c>
      <c r="F644" t="s"/>
      <c r="G644" t="s"/>
      <c r="H644" t="s"/>
      <c r="I644" t="s"/>
      <c r="J644" t="n">
        <v>-0.3182</v>
      </c>
      <c r="K644" t="n">
        <v>0.126</v>
      </c>
      <c r="L644" t="n">
        <v>0.874</v>
      </c>
      <c r="M644" t="n">
        <v>0</v>
      </c>
    </row>
    <row r="645" spans="1:13">
      <c r="A645" s="1">
        <f>HYPERLINK("http://www.twitter.com/NathanBLawrence/status/995397513883635713", "995397513883635713")</f>
        <v/>
      </c>
      <c r="B645" s="2" t="n">
        <v>43232.8453125</v>
      </c>
      <c r="C645" t="n">
        <v>6</v>
      </c>
      <c r="D645" t="n">
        <v>8</v>
      </c>
      <c r="E645" t="s">
        <v>651</v>
      </c>
      <c r="F645" t="s"/>
      <c r="G645" t="s"/>
      <c r="H645" t="s"/>
      <c r="I645" t="s"/>
      <c r="J645" t="n">
        <v>0</v>
      </c>
      <c r="K645" t="n">
        <v>0</v>
      </c>
      <c r="L645" t="n">
        <v>1</v>
      </c>
      <c r="M645" t="n">
        <v>0</v>
      </c>
    </row>
    <row r="646" spans="1:13">
      <c r="A646" s="1">
        <f>HYPERLINK("http://www.twitter.com/NathanBLawrence/status/995397511929126912", "995397511929126912")</f>
        <v/>
      </c>
      <c r="B646" s="2" t="n">
        <v>43232.8453125</v>
      </c>
      <c r="C646" t="n">
        <v>6</v>
      </c>
      <c r="D646" t="n">
        <v>7</v>
      </c>
      <c r="E646" t="s">
        <v>652</v>
      </c>
      <c r="F646" t="s"/>
      <c r="G646" t="s"/>
      <c r="H646" t="s"/>
      <c r="I646" t="s"/>
      <c r="J646" t="n">
        <v>-0.6249</v>
      </c>
      <c r="K646" t="n">
        <v>0.148</v>
      </c>
      <c r="L646" t="n">
        <v>0.803</v>
      </c>
      <c r="M646" t="n">
        <v>0.049</v>
      </c>
    </row>
    <row r="647" spans="1:13">
      <c r="A647" s="1">
        <f>HYPERLINK("http://www.twitter.com/NathanBLawrence/status/995397510976933888", "995397510976933888")</f>
        <v/>
      </c>
      <c r="B647" s="2" t="n">
        <v>43232.84530092592</v>
      </c>
      <c r="C647" t="n">
        <v>8</v>
      </c>
      <c r="D647" t="n">
        <v>9</v>
      </c>
      <c r="E647" t="s">
        <v>653</v>
      </c>
      <c r="F647" t="s"/>
      <c r="G647" t="s"/>
      <c r="H647" t="s"/>
      <c r="I647" t="s"/>
      <c r="J647" t="n">
        <v>-0.3182</v>
      </c>
      <c r="K647" t="n">
        <v>0.081</v>
      </c>
      <c r="L647" t="n">
        <v>0.919</v>
      </c>
      <c r="M647" t="n">
        <v>0</v>
      </c>
    </row>
    <row r="648" spans="1:13">
      <c r="A648" s="1">
        <f>HYPERLINK("http://www.twitter.com/NathanBLawrence/status/995376446184050688", "995376446184050688")</f>
        <v/>
      </c>
      <c r="B648" s="2" t="n">
        <v>43232.78717592593</v>
      </c>
      <c r="C648" t="n">
        <v>0</v>
      </c>
      <c r="D648" t="n">
        <v>13</v>
      </c>
      <c r="E648" t="s">
        <v>654</v>
      </c>
      <c r="F648">
        <f>HYPERLINK("http://pbs.twimg.com/media/DdBJcgjVMAAZeSX.jpg", "http://pbs.twimg.com/media/DdBJcgjVMAAZeSX.jpg")</f>
        <v/>
      </c>
      <c r="G648" t="s"/>
      <c r="H648" t="s"/>
      <c r="I648" t="s"/>
      <c r="J648" t="n">
        <v>0</v>
      </c>
      <c r="K648" t="n">
        <v>0</v>
      </c>
      <c r="L648" t="n">
        <v>1</v>
      </c>
      <c r="M648" t="n">
        <v>0</v>
      </c>
    </row>
    <row r="649" spans="1:13">
      <c r="A649" s="1">
        <f>HYPERLINK("http://www.twitter.com/NathanBLawrence/status/995376414869413888", "995376414869413888")</f>
        <v/>
      </c>
      <c r="B649" s="2" t="n">
        <v>43232.78709490741</v>
      </c>
      <c r="C649" t="n">
        <v>15</v>
      </c>
      <c r="D649" t="n">
        <v>13</v>
      </c>
      <c r="E649" t="s">
        <v>655</v>
      </c>
      <c r="F649">
        <f>HYPERLINK("http://pbs.twimg.com/media/DdBJcgjVMAAZeSX.jpg", "http://pbs.twimg.com/media/DdBJcgjVMAAZeSX.jpg")</f>
        <v/>
      </c>
      <c r="G649" t="s"/>
      <c r="H649" t="s"/>
      <c r="I649" t="s"/>
      <c r="J649" t="n">
        <v>0</v>
      </c>
      <c r="K649" t="n">
        <v>0</v>
      </c>
      <c r="L649" t="n">
        <v>1</v>
      </c>
      <c r="M649" t="n">
        <v>0</v>
      </c>
    </row>
    <row r="650" spans="1:13">
      <c r="A650" s="1">
        <f>HYPERLINK("http://www.twitter.com/NathanBLawrence/status/995280360287162369", "995280360287162369")</f>
        <v/>
      </c>
      <c r="B650" s="2" t="n">
        <v>43232.52202546296</v>
      </c>
      <c r="C650" t="n">
        <v>0</v>
      </c>
      <c r="D650" t="n">
        <v>9</v>
      </c>
      <c r="E650" t="s">
        <v>656</v>
      </c>
      <c r="F650">
        <f>HYPERLINK("http://pbs.twimg.com/media/Dc_xeNSVQAAbpb9.jpg", "http://pbs.twimg.com/media/Dc_xeNSVQAAbpb9.jpg")</f>
        <v/>
      </c>
      <c r="G650" t="s"/>
      <c r="H650" t="s"/>
      <c r="I650" t="s"/>
      <c r="J650" t="n">
        <v>0</v>
      </c>
      <c r="K650" t="n">
        <v>0</v>
      </c>
      <c r="L650" t="n">
        <v>1</v>
      </c>
      <c r="M650" t="n">
        <v>0</v>
      </c>
    </row>
    <row r="651" spans="1:13">
      <c r="A651" s="1">
        <f>HYPERLINK("http://www.twitter.com/NathanBLawrence/status/995280308219064321", "995280308219064321")</f>
        <v/>
      </c>
      <c r="B651" s="2" t="n">
        <v>43232.52188657408</v>
      </c>
      <c r="C651" t="n">
        <v>12</v>
      </c>
      <c r="D651" t="n">
        <v>9</v>
      </c>
      <c r="E651" t="s">
        <v>657</v>
      </c>
      <c r="F651">
        <f>HYPERLINK("http://pbs.twimg.com/media/Dc_xeNSVQAAbpb9.jpg", "http://pbs.twimg.com/media/Dc_xeNSVQAAbpb9.jpg")</f>
        <v/>
      </c>
      <c r="G651" t="s"/>
      <c r="H651" t="s"/>
      <c r="I651" t="s"/>
      <c r="J651" t="n">
        <v>0.3695</v>
      </c>
      <c r="K651" t="n">
        <v>0.042</v>
      </c>
      <c r="L651" t="n">
        <v>0.886</v>
      </c>
      <c r="M651" t="n">
        <v>0.07199999999999999</v>
      </c>
    </row>
    <row r="652" spans="1:13">
      <c r="A652" s="1">
        <f>HYPERLINK("http://www.twitter.com/NathanBLawrence/status/995278514923417601", "995278514923417601")</f>
        <v/>
      </c>
      <c r="B652" s="2" t="n">
        <v>43232.51693287037</v>
      </c>
      <c r="C652" t="n">
        <v>0</v>
      </c>
      <c r="D652" t="n">
        <v>5</v>
      </c>
      <c r="E652" t="s">
        <v>658</v>
      </c>
      <c r="F652" t="s"/>
      <c r="G652" t="s"/>
      <c r="H652" t="s"/>
      <c r="I652" t="s"/>
      <c r="J652" t="n">
        <v>0</v>
      </c>
      <c r="K652" t="n">
        <v>0</v>
      </c>
      <c r="L652" t="n">
        <v>1</v>
      </c>
      <c r="M652" t="n">
        <v>0</v>
      </c>
    </row>
    <row r="653" spans="1:13">
      <c r="A653" s="1">
        <f>HYPERLINK("http://www.twitter.com/NathanBLawrence/status/995268658028007425", "995268658028007425")</f>
        <v/>
      </c>
      <c r="B653" s="2" t="n">
        <v>43232.4897337963</v>
      </c>
      <c r="C653" t="n">
        <v>0</v>
      </c>
      <c r="D653" t="n">
        <v>1</v>
      </c>
      <c r="E653" t="s">
        <v>659</v>
      </c>
      <c r="F653" t="s"/>
      <c r="G653" t="s"/>
      <c r="H653" t="s"/>
      <c r="I653" t="s"/>
      <c r="J653" t="n">
        <v>-0.1027</v>
      </c>
      <c r="K653" t="n">
        <v>0.065</v>
      </c>
      <c r="L653" t="n">
        <v>0.9350000000000001</v>
      </c>
      <c r="M653" t="n">
        <v>0</v>
      </c>
    </row>
    <row r="654" spans="1:13">
      <c r="A654" s="1">
        <f>HYPERLINK("http://www.twitter.com/NathanBLawrence/status/995138955480793088", "995138955480793088")</f>
        <v/>
      </c>
      <c r="B654" s="2" t="n">
        <v>43232.13182870371</v>
      </c>
      <c r="C654" t="n">
        <v>0</v>
      </c>
      <c r="D654" t="n">
        <v>7</v>
      </c>
      <c r="E654" t="s">
        <v>660</v>
      </c>
      <c r="F654" t="s"/>
      <c r="G654" t="s"/>
      <c r="H654" t="s"/>
      <c r="I654" t="s"/>
      <c r="J654" t="n">
        <v>-0.296</v>
      </c>
      <c r="K654" t="n">
        <v>0.115</v>
      </c>
      <c r="L654" t="n">
        <v>0.885</v>
      </c>
      <c r="M654" t="n">
        <v>0</v>
      </c>
    </row>
    <row r="655" spans="1:13">
      <c r="A655" s="1">
        <f>HYPERLINK("http://www.twitter.com/NathanBLawrence/status/995128800718540800", "995128800718540800")</f>
        <v/>
      </c>
      <c r="B655" s="2" t="n">
        <v>43232.10380787037</v>
      </c>
      <c r="C655" t="n">
        <v>0</v>
      </c>
      <c r="D655" t="n">
        <v>0</v>
      </c>
      <c r="E655" t="s">
        <v>661</v>
      </c>
      <c r="F655" t="s"/>
      <c r="G655" t="s"/>
      <c r="H655" t="s"/>
      <c r="I655" t="s"/>
      <c r="J655" t="n">
        <v>0</v>
      </c>
      <c r="K655" t="n">
        <v>0</v>
      </c>
      <c r="L655" t="n">
        <v>1</v>
      </c>
      <c r="M655" t="n">
        <v>0</v>
      </c>
    </row>
    <row r="656" spans="1:13">
      <c r="A656" s="1">
        <f>HYPERLINK("http://www.twitter.com/NathanBLawrence/status/995122953292574720", "995122953292574720")</f>
        <v/>
      </c>
      <c r="B656" s="2" t="n">
        <v>43232.08767361111</v>
      </c>
      <c r="C656" t="n">
        <v>0</v>
      </c>
      <c r="D656" t="n">
        <v>0</v>
      </c>
      <c r="E656" t="s">
        <v>662</v>
      </c>
      <c r="F656" t="s"/>
      <c r="G656" t="s"/>
      <c r="H656" t="s"/>
      <c r="I656" t="s"/>
      <c r="J656" t="n">
        <v>0.4215</v>
      </c>
      <c r="K656" t="n">
        <v>0</v>
      </c>
      <c r="L656" t="n">
        <v>0.833</v>
      </c>
      <c r="M656" t="n">
        <v>0.167</v>
      </c>
    </row>
    <row r="657" spans="1:13">
      <c r="A657" s="1">
        <f>HYPERLINK("http://www.twitter.com/NathanBLawrence/status/995109990766608384", "995109990766608384")</f>
        <v/>
      </c>
      <c r="B657" s="2" t="n">
        <v>43232.05189814815</v>
      </c>
      <c r="C657" t="n">
        <v>2</v>
      </c>
      <c r="D657" t="n">
        <v>0</v>
      </c>
      <c r="E657" t="s">
        <v>663</v>
      </c>
      <c r="F657" t="s"/>
      <c r="G657" t="s"/>
      <c r="H657" t="s"/>
      <c r="I657" t="s"/>
      <c r="J657" t="n">
        <v>-0.5423</v>
      </c>
      <c r="K657" t="n">
        <v>0.467</v>
      </c>
      <c r="L657" t="n">
        <v>0.533</v>
      </c>
      <c r="M657" t="n">
        <v>0</v>
      </c>
    </row>
    <row r="658" spans="1:13">
      <c r="A658" s="1">
        <f>HYPERLINK("http://www.twitter.com/NathanBLawrence/status/995109035950125056", "995109035950125056")</f>
        <v/>
      </c>
      <c r="B658" s="2" t="n">
        <v>43232.04927083333</v>
      </c>
      <c r="C658" t="n">
        <v>0</v>
      </c>
      <c r="D658" t="n">
        <v>3</v>
      </c>
      <c r="E658" t="s">
        <v>664</v>
      </c>
      <c r="F658">
        <f>HYPERLINK("http://pbs.twimg.com/media/Dct5knPVQAEswl9.jpg", "http://pbs.twimg.com/media/Dct5knPVQAEswl9.jpg")</f>
        <v/>
      </c>
      <c r="G658">
        <f>HYPERLINK("http://pbs.twimg.com/media/Dct5knQVAAA9KAg.jpg", "http://pbs.twimg.com/media/Dct5knQVAAA9KAg.jpg")</f>
        <v/>
      </c>
      <c r="H658" t="s"/>
      <c r="I658" t="s"/>
      <c r="J658" t="n">
        <v>0</v>
      </c>
      <c r="K658" t="n">
        <v>0</v>
      </c>
      <c r="L658" t="n">
        <v>1</v>
      </c>
      <c r="M658" t="n">
        <v>0</v>
      </c>
    </row>
    <row r="659" spans="1:13">
      <c r="A659" s="1">
        <f>HYPERLINK("http://www.twitter.com/NathanBLawrence/status/995100047103668224", "995100047103668224")</f>
        <v/>
      </c>
      <c r="B659" s="2" t="n">
        <v>43232.02445601852</v>
      </c>
      <c r="C659" t="n">
        <v>0</v>
      </c>
      <c r="D659" t="n">
        <v>15</v>
      </c>
      <c r="E659" t="s">
        <v>665</v>
      </c>
      <c r="F659" t="s"/>
      <c r="G659" t="s"/>
      <c r="H659" t="s"/>
      <c r="I659" t="s"/>
      <c r="J659" t="n">
        <v>-0.296</v>
      </c>
      <c r="K659" t="n">
        <v>0.109</v>
      </c>
      <c r="L659" t="n">
        <v>0.891</v>
      </c>
      <c r="M659" t="n">
        <v>0</v>
      </c>
    </row>
    <row r="660" spans="1:13">
      <c r="A660" s="1">
        <f>HYPERLINK("http://www.twitter.com/NathanBLawrence/status/995090598913888256", "995090598913888256")</f>
        <v/>
      </c>
      <c r="B660" s="2" t="n">
        <v>43231.99839120371</v>
      </c>
      <c r="C660" t="n">
        <v>0</v>
      </c>
      <c r="D660" t="n">
        <v>1</v>
      </c>
      <c r="E660" t="s">
        <v>666</v>
      </c>
      <c r="F660">
        <f>HYPERLINK("http://pbs.twimg.com/media/Dc9FiHRWsAAffO3.jpg", "http://pbs.twimg.com/media/Dc9FiHRWsAAffO3.jpg")</f>
        <v/>
      </c>
      <c r="G660" t="s"/>
      <c r="H660" t="s"/>
      <c r="I660" t="s"/>
      <c r="J660" t="n">
        <v>0</v>
      </c>
      <c r="K660" t="n">
        <v>0</v>
      </c>
      <c r="L660" t="n">
        <v>1</v>
      </c>
      <c r="M660" t="n">
        <v>0</v>
      </c>
    </row>
    <row r="661" spans="1:13">
      <c r="A661" s="1">
        <f>HYPERLINK("http://www.twitter.com/NathanBLawrence/status/995090506911834112", "995090506911834112")</f>
        <v/>
      </c>
      <c r="B661" s="2" t="n">
        <v>43231.99813657408</v>
      </c>
      <c r="C661" t="n">
        <v>1</v>
      </c>
      <c r="D661" t="n">
        <v>1</v>
      </c>
      <c r="E661" t="s">
        <v>667</v>
      </c>
      <c r="F661">
        <f>HYPERLINK("http://pbs.twimg.com/media/Dc9FiHRWsAAffO3.jpg", "http://pbs.twimg.com/media/Dc9FiHRWsAAffO3.jpg")</f>
        <v/>
      </c>
      <c r="G661" t="s"/>
      <c r="H661" t="s"/>
      <c r="I661" t="s"/>
      <c r="J661" t="n">
        <v>0</v>
      </c>
      <c r="K661" t="n">
        <v>0</v>
      </c>
      <c r="L661" t="n">
        <v>1</v>
      </c>
      <c r="M661" t="n">
        <v>0</v>
      </c>
    </row>
    <row r="662" spans="1:13">
      <c r="A662" s="1">
        <f>HYPERLINK("http://www.twitter.com/NathanBLawrence/status/995083711749160965", "995083711749160965")</f>
        <v/>
      </c>
      <c r="B662" s="2" t="n">
        <v>43231.97938657407</v>
      </c>
      <c r="C662" t="n">
        <v>0</v>
      </c>
      <c r="D662" t="n">
        <v>14</v>
      </c>
      <c r="E662" t="s">
        <v>668</v>
      </c>
      <c r="F662">
        <f>HYPERLINK("http://pbs.twimg.com/media/Dc8-wM3XUAUNJnJ.jpg", "http://pbs.twimg.com/media/Dc8-wM3XUAUNJnJ.jpg")</f>
        <v/>
      </c>
      <c r="G662" t="s"/>
      <c r="H662" t="s"/>
      <c r="I662" t="s"/>
      <c r="J662" t="n">
        <v>-0.3182</v>
      </c>
      <c r="K662" t="n">
        <v>0.108</v>
      </c>
      <c r="L662" t="n">
        <v>0.892</v>
      </c>
      <c r="M662" t="n">
        <v>0</v>
      </c>
    </row>
    <row r="663" spans="1:13">
      <c r="A663" s="1">
        <f>HYPERLINK("http://www.twitter.com/NathanBLawrence/status/995083684788174854", "995083684788174854")</f>
        <v/>
      </c>
      <c r="B663" s="2" t="n">
        <v>43231.97930555556</v>
      </c>
      <c r="C663" t="n">
        <v>19</v>
      </c>
      <c r="D663" t="n">
        <v>14</v>
      </c>
      <c r="E663" t="s">
        <v>669</v>
      </c>
      <c r="F663">
        <f>HYPERLINK("http://pbs.twimg.com/media/Dc8-wM3XUAUNJnJ.jpg", "http://pbs.twimg.com/media/Dc8-wM3XUAUNJnJ.jpg")</f>
        <v/>
      </c>
      <c r="G663" t="s"/>
      <c r="H663" t="s"/>
      <c r="I663" t="s"/>
      <c r="J663" t="n">
        <v>-0.3182</v>
      </c>
      <c r="K663" t="n">
        <v>0.06</v>
      </c>
      <c r="L663" t="n">
        <v>0.9399999999999999</v>
      </c>
      <c r="M663" t="n">
        <v>0</v>
      </c>
    </row>
    <row r="664" spans="1:13">
      <c r="A664" s="1">
        <f>HYPERLINK("http://www.twitter.com/NathanBLawrence/status/995054734250737664", "995054734250737664")</f>
        <v/>
      </c>
      <c r="B664" s="2" t="n">
        <v>43231.89942129629</v>
      </c>
      <c r="C664" t="n">
        <v>0</v>
      </c>
      <c r="D664" t="n">
        <v>1</v>
      </c>
      <c r="E664" t="s">
        <v>670</v>
      </c>
      <c r="F664" t="s"/>
      <c r="G664" t="s"/>
      <c r="H664" t="s"/>
      <c r="I664" t="s"/>
      <c r="J664" t="n">
        <v>0</v>
      </c>
      <c r="K664" t="n">
        <v>0</v>
      </c>
      <c r="L664" t="n">
        <v>1</v>
      </c>
      <c r="M664" t="n">
        <v>0</v>
      </c>
    </row>
    <row r="665" spans="1:13">
      <c r="A665" s="1">
        <f>HYPERLINK("http://www.twitter.com/NathanBLawrence/status/995054554663325702", "995054554663325702")</f>
        <v/>
      </c>
      <c r="B665" s="2" t="n">
        <v>43231.89892361111</v>
      </c>
      <c r="C665" t="n">
        <v>0</v>
      </c>
      <c r="D665" t="n">
        <v>1</v>
      </c>
      <c r="E665" t="s">
        <v>671</v>
      </c>
      <c r="F665" t="s"/>
      <c r="G665" t="s"/>
      <c r="H665" t="s"/>
      <c r="I665" t="s"/>
      <c r="J665" t="n">
        <v>0</v>
      </c>
      <c r="K665" t="n">
        <v>0</v>
      </c>
      <c r="L665" t="n">
        <v>1</v>
      </c>
      <c r="M665" t="n">
        <v>0</v>
      </c>
    </row>
    <row r="666" spans="1:13">
      <c r="A666" s="1">
        <f>HYPERLINK("http://www.twitter.com/NathanBLawrence/status/995049385007468544", "995049385007468544")</f>
        <v/>
      </c>
      <c r="B666" s="2" t="n">
        <v>43231.88466435186</v>
      </c>
      <c r="C666" t="n">
        <v>0</v>
      </c>
      <c r="D666" t="n">
        <v>5</v>
      </c>
      <c r="E666" t="s">
        <v>672</v>
      </c>
      <c r="F666" t="s"/>
      <c r="G666" t="s"/>
      <c r="H666" t="s"/>
      <c r="I666" t="s"/>
      <c r="J666" t="n">
        <v>-0.4215</v>
      </c>
      <c r="K666" t="n">
        <v>0.275</v>
      </c>
      <c r="L666" t="n">
        <v>0.725</v>
      </c>
      <c r="M666" t="n">
        <v>0</v>
      </c>
    </row>
    <row r="667" spans="1:13">
      <c r="A667" s="1">
        <f>HYPERLINK("http://www.twitter.com/NathanBLawrence/status/995039274830614529", "995039274830614529")</f>
        <v/>
      </c>
      <c r="B667" s="2" t="n">
        <v>43231.85675925926</v>
      </c>
      <c r="C667" t="n">
        <v>0</v>
      </c>
      <c r="D667" t="n">
        <v>0</v>
      </c>
      <c r="E667" t="s">
        <v>673</v>
      </c>
      <c r="F667" t="s"/>
      <c r="G667" t="s"/>
      <c r="H667" t="s"/>
      <c r="I667" t="s"/>
      <c r="J667" t="n">
        <v>-0.5106000000000001</v>
      </c>
      <c r="K667" t="n">
        <v>0.589</v>
      </c>
      <c r="L667" t="n">
        <v>0.411</v>
      </c>
      <c r="M667" t="n">
        <v>0</v>
      </c>
    </row>
    <row r="668" spans="1:13">
      <c r="A668" s="1">
        <f>HYPERLINK("http://www.twitter.com/NathanBLawrence/status/995022685934686208", "995022685934686208")</f>
        <v/>
      </c>
      <c r="B668" s="2" t="n">
        <v>43231.8109837963</v>
      </c>
      <c r="C668" t="n">
        <v>0</v>
      </c>
      <c r="D668" t="n">
        <v>2</v>
      </c>
      <c r="E668" t="s">
        <v>674</v>
      </c>
      <c r="F668" t="s"/>
      <c r="G668" t="s"/>
      <c r="H668" t="s"/>
      <c r="I668" t="s"/>
      <c r="J668" t="n">
        <v>-0.8439</v>
      </c>
      <c r="K668" t="n">
        <v>0.532</v>
      </c>
      <c r="L668" t="n">
        <v>0.468</v>
      </c>
      <c r="M668" t="n">
        <v>0</v>
      </c>
    </row>
    <row r="669" spans="1:13">
      <c r="A669" s="1">
        <f>HYPERLINK("http://www.twitter.com/NathanBLawrence/status/995011632152698880", "995011632152698880")</f>
        <v/>
      </c>
      <c r="B669" s="2" t="n">
        <v>43231.78048611111</v>
      </c>
      <c r="C669" t="n">
        <v>0</v>
      </c>
      <c r="D669" t="n">
        <v>8</v>
      </c>
      <c r="E669" t="s">
        <v>675</v>
      </c>
      <c r="F669" t="s"/>
      <c r="G669" t="s"/>
      <c r="H669" t="s"/>
      <c r="I669" t="s"/>
      <c r="J669" t="n">
        <v>0.0516</v>
      </c>
      <c r="K669" t="n">
        <v>0.105</v>
      </c>
      <c r="L669" t="n">
        <v>0.781</v>
      </c>
      <c r="M669" t="n">
        <v>0.113</v>
      </c>
    </row>
    <row r="670" spans="1:13">
      <c r="A670" s="1">
        <f>HYPERLINK("http://www.twitter.com/NathanBLawrence/status/995009379844976640", "995009379844976640")</f>
        <v/>
      </c>
      <c r="B670" s="2" t="n">
        <v>43231.77427083333</v>
      </c>
      <c r="C670" t="n">
        <v>0</v>
      </c>
      <c r="D670" t="n">
        <v>1</v>
      </c>
      <c r="E670" t="s">
        <v>676</v>
      </c>
      <c r="F670" t="s"/>
      <c r="G670" t="s"/>
      <c r="H670" t="s"/>
      <c r="I670" t="s"/>
      <c r="J670" t="n">
        <v>0</v>
      </c>
      <c r="K670" t="n">
        <v>0</v>
      </c>
      <c r="L670" t="n">
        <v>1</v>
      </c>
      <c r="M670" t="n">
        <v>0</v>
      </c>
    </row>
    <row r="671" spans="1:13">
      <c r="A671" s="1">
        <f>HYPERLINK("http://www.twitter.com/NathanBLawrence/status/995006119331418112", "995006119331418112")</f>
        <v/>
      </c>
      <c r="B671" s="2" t="n">
        <v>43231.76526620371</v>
      </c>
      <c r="C671" t="n">
        <v>0</v>
      </c>
      <c r="D671" t="n">
        <v>1</v>
      </c>
      <c r="E671" t="s">
        <v>677</v>
      </c>
      <c r="F671" t="s"/>
      <c r="G671" t="s"/>
      <c r="H671" t="s"/>
      <c r="I671" t="s"/>
      <c r="J671" t="n">
        <v>0</v>
      </c>
      <c r="K671" t="n">
        <v>0</v>
      </c>
      <c r="L671" t="n">
        <v>1</v>
      </c>
      <c r="M671" t="n">
        <v>0</v>
      </c>
    </row>
    <row r="672" spans="1:13">
      <c r="A672" s="1">
        <f>HYPERLINK("http://www.twitter.com/NathanBLawrence/status/995000273222414336", "995000273222414336")</f>
        <v/>
      </c>
      <c r="B672" s="2" t="n">
        <v>43231.74914351852</v>
      </c>
      <c r="C672" t="n">
        <v>0</v>
      </c>
      <c r="D672" t="n">
        <v>16</v>
      </c>
      <c r="E672" t="s">
        <v>678</v>
      </c>
      <c r="F672">
        <f>HYPERLINK("http://pbs.twimg.com/media/DcDJLcNUQAAw3Le.jpg", "http://pbs.twimg.com/media/DcDJLcNUQAAw3Le.jpg")</f>
        <v/>
      </c>
      <c r="G672">
        <f>HYPERLINK("http://pbs.twimg.com/media/DcDJLcqU0AcXZcW.jpg", "http://pbs.twimg.com/media/DcDJLcqU0AcXZcW.jpg")</f>
        <v/>
      </c>
      <c r="H672">
        <f>HYPERLINK("http://pbs.twimg.com/media/DcDJLcMU0AItRbc.jpg", "http://pbs.twimg.com/media/DcDJLcMU0AItRbc.jpg")</f>
        <v/>
      </c>
      <c r="I672">
        <f>HYPERLINK("http://pbs.twimg.com/media/DcDJLcOU0AA1S0X.jpg", "http://pbs.twimg.com/media/DcDJLcOU0AA1S0X.jpg")</f>
        <v/>
      </c>
      <c r="J672" t="n">
        <v>0.926</v>
      </c>
      <c r="K672" t="n">
        <v>0</v>
      </c>
      <c r="L672" t="n">
        <v>0.453</v>
      </c>
      <c r="M672" t="n">
        <v>0.547</v>
      </c>
    </row>
    <row r="673" spans="1:13">
      <c r="A673" s="1">
        <f>HYPERLINK("http://www.twitter.com/NathanBLawrence/status/994996469118767104", "994996469118767104")</f>
        <v/>
      </c>
      <c r="B673" s="2" t="n">
        <v>43231.73864583333</v>
      </c>
      <c r="C673" t="n">
        <v>0</v>
      </c>
      <c r="D673" t="n">
        <v>3</v>
      </c>
      <c r="E673" t="s">
        <v>679</v>
      </c>
      <c r="F673" t="s"/>
      <c r="G673" t="s"/>
      <c r="H673" t="s"/>
      <c r="I673" t="s"/>
      <c r="J673" t="n">
        <v>-0.2263</v>
      </c>
      <c r="K673" t="n">
        <v>0.149</v>
      </c>
      <c r="L673" t="n">
        <v>0.746</v>
      </c>
      <c r="M673" t="n">
        <v>0.104</v>
      </c>
    </row>
    <row r="674" spans="1:13">
      <c r="A674" s="1">
        <f>HYPERLINK("http://www.twitter.com/NathanBLawrence/status/994996423732187137", "994996423732187137")</f>
        <v/>
      </c>
      <c r="B674" s="2" t="n">
        <v>43231.73851851852</v>
      </c>
      <c r="C674" t="n">
        <v>7</v>
      </c>
      <c r="D674" t="n">
        <v>3</v>
      </c>
      <c r="E674" t="s">
        <v>680</v>
      </c>
      <c r="F674" t="s"/>
      <c r="G674" t="s"/>
      <c r="H674" t="s"/>
      <c r="I674" t="s"/>
      <c r="J674" t="n">
        <v>-0.835</v>
      </c>
      <c r="K674" t="n">
        <v>0.217</v>
      </c>
      <c r="L674" t="n">
        <v>0.744</v>
      </c>
      <c r="M674" t="n">
        <v>0.038</v>
      </c>
    </row>
    <row r="675" spans="1:13">
      <c r="A675" s="1">
        <f>HYPERLINK("http://www.twitter.com/NathanBLawrence/status/994989498961399813", "994989498961399813")</f>
        <v/>
      </c>
      <c r="B675" s="2" t="n">
        <v>43231.71940972222</v>
      </c>
      <c r="C675" t="n">
        <v>0</v>
      </c>
      <c r="D675" t="n">
        <v>1</v>
      </c>
      <c r="E675" t="s">
        <v>681</v>
      </c>
      <c r="F675" t="s"/>
      <c r="G675" t="s"/>
      <c r="H675" t="s"/>
      <c r="I675" t="s"/>
      <c r="J675" t="n">
        <v>0</v>
      </c>
      <c r="K675" t="n">
        <v>0</v>
      </c>
      <c r="L675" t="n">
        <v>1</v>
      </c>
      <c r="M675" t="n">
        <v>0</v>
      </c>
    </row>
    <row r="676" spans="1:13">
      <c r="A676" s="1">
        <f>HYPERLINK("http://www.twitter.com/NathanBLawrence/status/994987906342244353", "994987906342244353")</f>
        <v/>
      </c>
      <c r="B676" s="2" t="n">
        <v>43231.71501157407</v>
      </c>
      <c r="C676" t="n">
        <v>0</v>
      </c>
      <c r="D676" t="n">
        <v>3</v>
      </c>
      <c r="E676" t="s">
        <v>682</v>
      </c>
      <c r="F676">
        <f>HYPERLINK("http://pbs.twimg.com/media/Dc38RdtXkAADbar.jpg", "http://pbs.twimg.com/media/Dc38RdtXkAADbar.jpg")</f>
        <v/>
      </c>
      <c r="G676" t="s"/>
      <c r="H676" t="s"/>
      <c r="I676" t="s"/>
      <c r="J676" t="n">
        <v>0.4434</v>
      </c>
      <c r="K676" t="n">
        <v>0.098</v>
      </c>
      <c r="L676" t="n">
        <v>0.718</v>
      </c>
      <c r="M676" t="n">
        <v>0.184</v>
      </c>
    </row>
    <row r="677" spans="1:13">
      <c r="A677" s="1">
        <f>HYPERLINK("http://www.twitter.com/NathanBLawrence/status/994987470944161792", "994987470944161792")</f>
        <v/>
      </c>
      <c r="B677" s="2" t="n">
        <v>43231.71380787037</v>
      </c>
      <c r="C677" t="n">
        <v>3</v>
      </c>
      <c r="D677" t="n">
        <v>1</v>
      </c>
      <c r="E677" t="s">
        <v>683</v>
      </c>
      <c r="F677" t="s"/>
      <c r="G677" t="s"/>
      <c r="H677" t="s"/>
      <c r="I677" t="s"/>
      <c r="J677" t="n">
        <v>0</v>
      </c>
      <c r="K677" t="n">
        <v>0</v>
      </c>
      <c r="L677" t="n">
        <v>1</v>
      </c>
      <c r="M677" t="n">
        <v>0</v>
      </c>
    </row>
    <row r="678" spans="1:13">
      <c r="A678" s="1">
        <f>HYPERLINK("http://www.twitter.com/NathanBLawrence/status/994985361192431617", "994985361192431617")</f>
        <v/>
      </c>
      <c r="B678" s="2" t="n">
        <v>43231.70798611111</v>
      </c>
      <c r="C678" t="n">
        <v>0</v>
      </c>
      <c r="D678" t="n">
        <v>2</v>
      </c>
      <c r="E678" t="s">
        <v>684</v>
      </c>
      <c r="F678" t="s"/>
      <c r="G678" t="s"/>
      <c r="H678" t="s"/>
      <c r="I678" t="s"/>
      <c r="J678" t="n">
        <v>-0.1779</v>
      </c>
      <c r="K678" t="n">
        <v>0.188</v>
      </c>
      <c r="L678" t="n">
        <v>0.671</v>
      </c>
      <c r="M678" t="n">
        <v>0.141</v>
      </c>
    </row>
    <row r="679" spans="1:13">
      <c r="A679" s="1">
        <f>HYPERLINK("http://www.twitter.com/NathanBLawrence/status/994985290828865536", "994985290828865536")</f>
        <v/>
      </c>
      <c r="B679" s="2" t="n">
        <v>43231.70778935185</v>
      </c>
      <c r="C679" t="n">
        <v>4</v>
      </c>
      <c r="D679" t="n">
        <v>2</v>
      </c>
      <c r="E679" t="s">
        <v>685</v>
      </c>
      <c r="F679" t="s"/>
      <c r="G679" t="s"/>
      <c r="H679" t="s"/>
      <c r="I679" t="s"/>
      <c r="J679" t="n">
        <v>-0.1779</v>
      </c>
      <c r="K679" t="n">
        <v>0.217</v>
      </c>
      <c r="L679" t="n">
        <v>0.62</v>
      </c>
      <c r="M679" t="n">
        <v>0.163</v>
      </c>
    </row>
    <row r="680" spans="1:13">
      <c r="A680" s="1">
        <f>HYPERLINK("http://www.twitter.com/NathanBLawrence/status/994985136486797313", "994985136486797313")</f>
        <v/>
      </c>
      <c r="B680" s="2" t="n">
        <v>43231.70737268519</v>
      </c>
      <c r="C680" t="n">
        <v>0</v>
      </c>
      <c r="D680" t="n">
        <v>20</v>
      </c>
      <c r="E680" t="s">
        <v>686</v>
      </c>
      <c r="F680" t="s"/>
      <c r="G680" t="s"/>
      <c r="H680" t="s"/>
      <c r="I680" t="s"/>
      <c r="J680" t="n">
        <v>0.1144</v>
      </c>
      <c r="K680" t="n">
        <v>0.104</v>
      </c>
      <c r="L680" t="n">
        <v>0.774</v>
      </c>
      <c r="M680" t="n">
        <v>0.122</v>
      </c>
    </row>
    <row r="681" spans="1:13">
      <c r="A681" s="1">
        <f>HYPERLINK("http://www.twitter.com/NathanBLawrence/status/994978590222639106", "994978590222639106")</f>
        <v/>
      </c>
      <c r="B681" s="2" t="n">
        <v>43231.68930555556</v>
      </c>
      <c r="C681" t="n">
        <v>1</v>
      </c>
      <c r="D681" t="n">
        <v>0</v>
      </c>
      <c r="E681" t="s">
        <v>687</v>
      </c>
      <c r="F681" t="s"/>
      <c r="G681" t="s"/>
      <c r="H681" t="s"/>
      <c r="I681" t="s"/>
      <c r="J681" t="n">
        <v>0.4019</v>
      </c>
      <c r="K681" t="n">
        <v>0</v>
      </c>
      <c r="L681" t="n">
        <v>0.828</v>
      </c>
      <c r="M681" t="n">
        <v>0.172</v>
      </c>
    </row>
    <row r="682" spans="1:13">
      <c r="A682" s="1">
        <f>HYPERLINK("http://www.twitter.com/NathanBLawrence/status/994972713453281281", "994972713453281281")</f>
        <v/>
      </c>
      <c r="B682" s="2" t="n">
        <v>43231.67309027778</v>
      </c>
      <c r="C682" t="n">
        <v>0</v>
      </c>
      <c r="D682" t="n">
        <v>13</v>
      </c>
      <c r="E682" t="s">
        <v>688</v>
      </c>
      <c r="F682" t="s"/>
      <c r="G682" t="s"/>
      <c r="H682" t="s"/>
      <c r="I682" t="s"/>
      <c r="J682" t="n">
        <v>0</v>
      </c>
      <c r="K682" t="n">
        <v>0</v>
      </c>
      <c r="L682" t="n">
        <v>1</v>
      </c>
      <c r="M682" t="n">
        <v>0</v>
      </c>
    </row>
    <row r="683" spans="1:13">
      <c r="A683" s="1">
        <f>HYPERLINK("http://www.twitter.com/NathanBLawrence/status/994972618993360896", "994972618993360896")</f>
        <v/>
      </c>
      <c r="B683" s="2" t="n">
        <v>43231.67282407408</v>
      </c>
      <c r="C683" t="n">
        <v>16</v>
      </c>
      <c r="D683" t="n">
        <v>13</v>
      </c>
      <c r="E683" t="s">
        <v>689</v>
      </c>
      <c r="F683" t="s"/>
      <c r="G683" t="s"/>
      <c r="H683" t="s"/>
      <c r="I683" t="s"/>
      <c r="J683" t="n">
        <v>0.2714</v>
      </c>
      <c r="K683" t="n">
        <v>0</v>
      </c>
      <c r="L683" t="n">
        <v>0.948</v>
      </c>
      <c r="M683" t="n">
        <v>0.052</v>
      </c>
    </row>
    <row r="684" spans="1:13">
      <c r="A684" s="1">
        <f>HYPERLINK("http://www.twitter.com/NathanBLawrence/status/994958379549372416", "994958379549372416")</f>
        <v/>
      </c>
      <c r="B684" s="2" t="n">
        <v>43231.63353009259</v>
      </c>
      <c r="C684" t="n">
        <v>0</v>
      </c>
      <c r="D684" t="n">
        <v>3</v>
      </c>
      <c r="E684" t="s">
        <v>690</v>
      </c>
      <c r="F684" t="s"/>
      <c r="G684" t="s"/>
      <c r="H684" t="s"/>
      <c r="I684" t="s"/>
      <c r="J684" t="n">
        <v>0.1779</v>
      </c>
      <c r="K684" t="n">
        <v>0.142</v>
      </c>
      <c r="L684" t="n">
        <v>0.6879999999999999</v>
      </c>
      <c r="M684" t="n">
        <v>0.17</v>
      </c>
    </row>
    <row r="685" spans="1:13">
      <c r="A685" s="1">
        <f>HYPERLINK("http://www.twitter.com/NathanBLawrence/status/994958227103240192", "994958227103240192")</f>
        <v/>
      </c>
      <c r="B685" s="2" t="n">
        <v>43231.63311342592</v>
      </c>
      <c r="C685" t="n">
        <v>1</v>
      </c>
      <c r="D685" t="n">
        <v>3</v>
      </c>
      <c r="E685" t="s">
        <v>691</v>
      </c>
      <c r="F685" t="s"/>
      <c r="G685" t="s"/>
      <c r="H685" t="s"/>
      <c r="I685" t="s"/>
      <c r="J685" t="n">
        <v>0.1779</v>
      </c>
      <c r="K685" t="n">
        <v>0.07000000000000001</v>
      </c>
      <c r="L685" t="n">
        <v>0.845</v>
      </c>
      <c r="M685" t="n">
        <v>0.08500000000000001</v>
      </c>
    </row>
    <row r="686" spans="1:13">
      <c r="A686" s="1">
        <f>HYPERLINK("http://www.twitter.com/NathanBLawrence/status/994957670921711616", "994957670921711616")</f>
        <v/>
      </c>
      <c r="B686" s="2" t="n">
        <v>43231.63157407408</v>
      </c>
      <c r="C686" t="n">
        <v>0</v>
      </c>
      <c r="D686" t="n">
        <v>1</v>
      </c>
      <c r="E686" t="s">
        <v>692</v>
      </c>
      <c r="F686" t="s"/>
      <c r="G686" t="s"/>
      <c r="H686" t="s"/>
      <c r="I686" t="s"/>
      <c r="J686" t="n">
        <v>-0.0516</v>
      </c>
      <c r="K686" t="n">
        <v>0.079</v>
      </c>
      <c r="L686" t="n">
        <v>0.921</v>
      </c>
      <c r="M686" t="n">
        <v>0</v>
      </c>
    </row>
    <row r="687" spans="1:13">
      <c r="A687" s="1">
        <f>HYPERLINK("http://www.twitter.com/NathanBLawrence/status/994957661153177600", "994957661153177600")</f>
        <v/>
      </c>
      <c r="B687" s="2" t="n">
        <v>43231.63155092593</v>
      </c>
      <c r="C687" t="n">
        <v>0</v>
      </c>
      <c r="D687" t="n">
        <v>2</v>
      </c>
      <c r="E687" t="s">
        <v>693</v>
      </c>
      <c r="F687" t="s"/>
      <c r="G687" t="s"/>
      <c r="H687" t="s"/>
      <c r="I687" t="s"/>
      <c r="J687" t="n">
        <v>-0.296</v>
      </c>
      <c r="K687" t="n">
        <v>0.18</v>
      </c>
      <c r="L687" t="n">
        <v>0.82</v>
      </c>
      <c r="M687" t="n">
        <v>0</v>
      </c>
    </row>
    <row r="688" spans="1:13">
      <c r="A688" s="1">
        <f>HYPERLINK("http://www.twitter.com/NathanBLawrence/status/994957361596035073", "994957361596035073")</f>
        <v/>
      </c>
      <c r="B688" s="2" t="n">
        <v>43231.63072916667</v>
      </c>
      <c r="C688" t="n">
        <v>1</v>
      </c>
      <c r="D688" t="n">
        <v>1</v>
      </c>
      <c r="E688" t="s">
        <v>694</v>
      </c>
      <c r="F688" t="s"/>
      <c r="G688" t="s"/>
      <c r="H688" t="s"/>
      <c r="I688" t="s"/>
      <c r="J688" t="n">
        <v>-0.0516</v>
      </c>
      <c r="K688" t="n">
        <v>0.091</v>
      </c>
      <c r="L688" t="n">
        <v>0.909</v>
      </c>
      <c r="M688" t="n">
        <v>0</v>
      </c>
    </row>
    <row r="689" spans="1:13">
      <c r="A689" s="1">
        <f>HYPERLINK("http://www.twitter.com/NathanBLawrence/status/994956687785250819", "994956687785250819")</f>
        <v/>
      </c>
      <c r="B689" s="2" t="n">
        <v>43231.62886574074</v>
      </c>
      <c r="C689" t="n">
        <v>1</v>
      </c>
      <c r="D689" t="n">
        <v>2</v>
      </c>
      <c r="E689" t="s">
        <v>695</v>
      </c>
      <c r="F689" t="s"/>
      <c r="G689" t="s"/>
      <c r="H689" t="s"/>
      <c r="I689" t="s"/>
      <c r="J689" t="n">
        <v>-0.296</v>
      </c>
      <c r="K689" t="n">
        <v>0.216</v>
      </c>
      <c r="L689" t="n">
        <v>0.784</v>
      </c>
      <c r="M689" t="n">
        <v>0</v>
      </c>
    </row>
    <row r="690" spans="1:13">
      <c r="A690" s="1">
        <f>HYPERLINK("http://www.twitter.com/NathanBLawrence/status/994956559712227329", "994956559712227329")</f>
        <v/>
      </c>
      <c r="B690" s="2" t="n">
        <v>43231.62850694444</v>
      </c>
      <c r="C690" t="n">
        <v>0</v>
      </c>
      <c r="D690" t="n">
        <v>3</v>
      </c>
      <c r="E690" t="s">
        <v>696</v>
      </c>
      <c r="F690" t="s"/>
      <c r="G690" t="s"/>
      <c r="H690" t="s"/>
      <c r="I690" t="s"/>
      <c r="J690" t="n">
        <v>-0.7845</v>
      </c>
      <c r="K690" t="n">
        <v>0.247</v>
      </c>
      <c r="L690" t="n">
        <v>0.753</v>
      </c>
      <c r="M690" t="n">
        <v>0</v>
      </c>
    </row>
    <row r="691" spans="1:13">
      <c r="A691" s="1">
        <f>HYPERLINK("http://www.twitter.com/NathanBLawrence/status/994956291813642243", "994956291813642243")</f>
        <v/>
      </c>
      <c r="B691" s="2" t="n">
        <v>43231.62777777778</v>
      </c>
      <c r="C691" t="n">
        <v>1</v>
      </c>
      <c r="D691" t="n">
        <v>3</v>
      </c>
      <c r="E691" t="s">
        <v>697</v>
      </c>
      <c r="F691" t="s"/>
      <c r="G691" t="s"/>
      <c r="H691" t="s"/>
      <c r="I691" t="s"/>
      <c r="J691" t="n">
        <v>-0.7845</v>
      </c>
      <c r="K691" t="n">
        <v>0.247</v>
      </c>
      <c r="L691" t="n">
        <v>0.753</v>
      </c>
      <c r="M691" t="n">
        <v>0</v>
      </c>
    </row>
    <row r="692" spans="1:13">
      <c r="A692" s="1">
        <f>HYPERLINK("http://www.twitter.com/NathanBLawrence/status/994956044576153600", "994956044576153600")</f>
        <v/>
      </c>
      <c r="B692" s="2" t="n">
        <v>43231.62709490741</v>
      </c>
      <c r="C692" t="n">
        <v>0</v>
      </c>
      <c r="D692" t="n">
        <v>0</v>
      </c>
      <c r="E692" t="s">
        <v>698</v>
      </c>
      <c r="F692" t="s"/>
      <c r="G692" t="s"/>
      <c r="H692" t="s"/>
      <c r="I692" t="s"/>
      <c r="J692" t="n">
        <v>-0.296</v>
      </c>
      <c r="K692" t="n">
        <v>0.08699999999999999</v>
      </c>
      <c r="L692" t="n">
        <v>0.913</v>
      </c>
      <c r="M692" t="n">
        <v>0</v>
      </c>
    </row>
    <row r="693" spans="1:13">
      <c r="A693" s="1">
        <f>HYPERLINK("http://www.twitter.com/NathanBLawrence/status/994955417397559299", "994955417397559299")</f>
        <v/>
      </c>
      <c r="B693" s="2" t="n">
        <v>43231.62535879629</v>
      </c>
      <c r="C693" t="n">
        <v>0</v>
      </c>
      <c r="D693" t="n">
        <v>0</v>
      </c>
      <c r="E693" t="s">
        <v>699</v>
      </c>
      <c r="F693" t="s"/>
      <c r="G693" t="s"/>
      <c r="H693" t="s"/>
      <c r="I693" t="s"/>
      <c r="J693" t="n">
        <v>-0.5266999999999999</v>
      </c>
      <c r="K693" t="n">
        <v>0.196</v>
      </c>
      <c r="L693" t="n">
        <v>0.804</v>
      </c>
      <c r="M693" t="n">
        <v>0</v>
      </c>
    </row>
    <row r="694" spans="1:13">
      <c r="A694" s="1">
        <f>HYPERLINK("http://www.twitter.com/NathanBLawrence/status/994954361297145858", "994954361297145858")</f>
        <v/>
      </c>
      <c r="B694" s="2" t="n">
        <v>43231.62244212963</v>
      </c>
      <c r="C694" t="n">
        <v>7</v>
      </c>
      <c r="D694" t="n">
        <v>1</v>
      </c>
      <c r="E694" t="s">
        <v>700</v>
      </c>
      <c r="F694" t="s"/>
      <c r="G694" t="s"/>
      <c r="H694" t="s"/>
      <c r="I694" t="s"/>
      <c r="J694" t="n">
        <v>-0.8122</v>
      </c>
      <c r="K694" t="n">
        <v>0.288</v>
      </c>
      <c r="L694" t="n">
        <v>0.657</v>
      </c>
      <c r="M694" t="n">
        <v>0.055</v>
      </c>
    </row>
    <row r="695" spans="1:13">
      <c r="A695" s="1">
        <f>HYPERLINK("http://www.twitter.com/NathanBLawrence/status/994953483467018241", "994953483467018241")</f>
        <v/>
      </c>
      <c r="B695" s="2" t="n">
        <v>43231.62002314815</v>
      </c>
      <c r="C695" t="n">
        <v>6</v>
      </c>
      <c r="D695" t="n">
        <v>2</v>
      </c>
      <c r="E695" t="s">
        <v>701</v>
      </c>
      <c r="F695" t="s"/>
      <c r="G695" t="s"/>
      <c r="H695" t="s"/>
      <c r="I695" t="s"/>
      <c r="J695" t="n">
        <v>-0.5915</v>
      </c>
      <c r="K695" t="n">
        <v>0.145</v>
      </c>
      <c r="L695" t="n">
        <v>0.796</v>
      </c>
      <c r="M695" t="n">
        <v>0.06</v>
      </c>
    </row>
    <row r="696" spans="1:13">
      <c r="A696" s="1">
        <f>HYPERLINK("http://www.twitter.com/NathanBLawrence/status/994952770271801344", "994952770271801344")</f>
        <v/>
      </c>
      <c r="B696" s="2" t="n">
        <v>43231.61805555555</v>
      </c>
      <c r="C696" t="n">
        <v>0</v>
      </c>
      <c r="D696" t="n">
        <v>29</v>
      </c>
      <c r="E696" t="s">
        <v>702</v>
      </c>
      <c r="F696" t="s"/>
      <c r="G696" t="s"/>
      <c r="H696" t="s"/>
      <c r="I696" t="s"/>
      <c r="J696" t="n">
        <v>-0.5106000000000001</v>
      </c>
      <c r="K696" t="n">
        <v>0.142</v>
      </c>
      <c r="L696" t="n">
        <v>0.858</v>
      </c>
      <c r="M696" t="n">
        <v>0</v>
      </c>
    </row>
    <row r="697" spans="1:13">
      <c r="A697" s="1">
        <f>HYPERLINK("http://www.twitter.com/NathanBLawrence/status/994952571369525248", "994952571369525248")</f>
        <v/>
      </c>
      <c r="B697" s="2" t="n">
        <v>43231.6175</v>
      </c>
      <c r="C697" t="n">
        <v>0</v>
      </c>
      <c r="D697" t="n">
        <v>1</v>
      </c>
      <c r="E697" t="s">
        <v>703</v>
      </c>
      <c r="F697" t="s"/>
      <c r="G697" t="s"/>
      <c r="H697" t="s"/>
      <c r="I697" t="s"/>
      <c r="J697" t="n">
        <v>0.6249</v>
      </c>
      <c r="K697" t="n">
        <v>0</v>
      </c>
      <c r="L697" t="n">
        <v>0.728</v>
      </c>
      <c r="M697" t="n">
        <v>0.272</v>
      </c>
    </row>
    <row r="698" spans="1:13">
      <c r="A698" s="1">
        <f>HYPERLINK("http://www.twitter.com/NathanBLawrence/status/994952502234710017", "994952502234710017")</f>
        <v/>
      </c>
      <c r="B698" s="2" t="n">
        <v>43231.61731481482</v>
      </c>
      <c r="C698" t="n">
        <v>0</v>
      </c>
      <c r="D698" t="n">
        <v>1</v>
      </c>
      <c r="E698" t="s">
        <v>704</v>
      </c>
      <c r="F698" t="s"/>
      <c r="G698" t="s"/>
      <c r="H698" t="s"/>
      <c r="I698" t="s"/>
      <c r="J698" t="n">
        <v>-0.8164</v>
      </c>
      <c r="K698" t="n">
        <v>0.289</v>
      </c>
      <c r="L698" t="n">
        <v>0.649</v>
      </c>
      <c r="M698" t="n">
        <v>0.061</v>
      </c>
    </row>
    <row r="699" spans="1:13">
      <c r="A699" s="1">
        <f>HYPERLINK("http://www.twitter.com/NathanBLawrence/status/994950011296329728", "994950011296329728")</f>
        <v/>
      </c>
      <c r="B699" s="2" t="n">
        <v>43231.61043981482</v>
      </c>
      <c r="C699" t="n">
        <v>0</v>
      </c>
      <c r="D699" t="n">
        <v>9</v>
      </c>
      <c r="E699" t="s">
        <v>705</v>
      </c>
      <c r="F699" t="s"/>
      <c r="G699" t="s"/>
      <c r="H699" t="s"/>
      <c r="I699" t="s"/>
      <c r="J699" t="n">
        <v>-0.7712</v>
      </c>
      <c r="K699" t="n">
        <v>0.299</v>
      </c>
      <c r="L699" t="n">
        <v>0.701</v>
      </c>
      <c r="M699" t="n">
        <v>0</v>
      </c>
    </row>
    <row r="700" spans="1:13">
      <c r="A700" s="1">
        <f>HYPERLINK("http://www.twitter.com/NathanBLawrence/status/994949966312411138", "994949966312411138")</f>
        <v/>
      </c>
      <c r="B700" s="2" t="n">
        <v>43231.6103125</v>
      </c>
      <c r="C700" t="n">
        <v>5</v>
      </c>
      <c r="D700" t="n">
        <v>0</v>
      </c>
      <c r="E700" t="s">
        <v>706</v>
      </c>
      <c r="F700" t="s"/>
      <c r="G700" t="s"/>
      <c r="H700" t="s"/>
      <c r="I700" t="s"/>
      <c r="J700" t="n">
        <v>0</v>
      </c>
      <c r="K700" t="n">
        <v>0</v>
      </c>
      <c r="L700" t="n">
        <v>1</v>
      </c>
      <c r="M700" t="n">
        <v>0</v>
      </c>
    </row>
    <row r="701" spans="1:13">
      <c r="A701" s="1">
        <f>HYPERLINK("http://www.twitter.com/NathanBLawrence/status/994949779581997056", "994949779581997056")</f>
        <v/>
      </c>
      <c r="B701" s="2" t="n">
        <v>43231.60980324074</v>
      </c>
      <c r="C701" t="n">
        <v>0</v>
      </c>
      <c r="D701" t="n">
        <v>0</v>
      </c>
      <c r="E701" t="s">
        <v>707</v>
      </c>
      <c r="F701" t="s"/>
      <c r="G701" t="s"/>
      <c r="H701" t="s"/>
      <c r="I701" t="s"/>
      <c r="J701" t="n">
        <v>0</v>
      </c>
      <c r="K701" t="n">
        <v>0</v>
      </c>
      <c r="L701" t="n">
        <v>1</v>
      </c>
      <c r="M701" t="n">
        <v>0</v>
      </c>
    </row>
    <row r="702" spans="1:13">
      <c r="A702" s="1">
        <f>HYPERLINK("http://www.twitter.com/NathanBLawrence/status/994949760078540800", "994949760078540800")</f>
        <v/>
      </c>
      <c r="B702" s="2" t="n">
        <v>43231.60974537037</v>
      </c>
      <c r="C702" t="n">
        <v>19</v>
      </c>
      <c r="D702" t="n">
        <v>9</v>
      </c>
      <c r="E702" t="s">
        <v>708</v>
      </c>
      <c r="F702" t="s"/>
      <c r="G702" t="s"/>
      <c r="H702" t="s"/>
      <c r="I702" t="s"/>
      <c r="J702" t="n">
        <v>-0.8718</v>
      </c>
      <c r="K702" t="n">
        <v>0.287</v>
      </c>
      <c r="L702" t="n">
        <v>0.646</v>
      </c>
      <c r="M702" t="n">
        <v>0.067</v>
      </c>
    </row>
    <row r="703" spans="1:13">
      <c r="A703" s="1">
        <f>HYPERLINK("http://www.twitter.com/NathanBLawrence/status/994933174328283136", "994933174328283136")</f>
        <v/>
      </c>
      <c r="B703" s="2" t="n">
        <v>43231.56398148148</v>
      </c>
      <c r="C703" t="n">
        <v>0</v>
      </c>
      <c r="D703" t="n">
        <v>1</v>
      </c>
      <c r="E703" t="s">
        <v>709</v>
      </c>
      <c r="F703">
        <f>HYPERLINK("http://pbs.twimg.com/media/Dc62DC0XcAAZX3M.jpg", "http://pbs.twimg.com/media/Dc62DC0XcAAZX3M.jpg")</f>
        <v/>
      </c>
      <c r="G703" t="s"/>
      <c r="H703" t="s"/>
      <c r="I703" t="s"/>
      <c r="J703" t="n">
        <v>0.3612</v>
      </c>
      <c r="K703" t="n">
        <v>0</v>
      </c>
      <c r="L703" t="n">
        <v>0.839</v>
      </c>
      <c r="M703" t="n">
        <v>0.161</v>
      </c>
    </row>
    <row r="704" spans="1:13">
      <c r="A704" s="1">
        <f>HYPERLINK("http://www.twitter.com/NathanBLawrence/status/994932853719920640", "994932853719920640")</f>
        <v/>
      </c>
      <c r="B704" s="2" t="n">
        <v>43231.56309027778</v>
      </c>
      <c r="C704" t="n">
        <v>0</v>
      </c>
      <c r="D704" t="n">
        <v>1</v>
      </c>
      <c r="E704" t="s">
        <v>710</v>
      </c>
      <c r="F704">
        <f>HYPERLINK("http://pbs.twimg.com/media/Dc62DC0XcAAZX3M.jpg", "http://pbs.twimg.com/media/Dc62DC0XcAAZX3M.jpg")</f>
        <v/>
      </c>
      <c r="G704" t="s"/>
      <c r="H704" t="s"/>
      <c r="I704" t="s"/>
      <c r="J704" t="n">
        <v>0.3612</v>
      </c>
      <c r="K704" t="n">
        <v>0</v>
      </c>
      <c r="L704" t="n">
        <v>0.8149999999999999</v>
      </c>
      <c r="M704" t="n">
        <v>0.185</v>
      </c>
    </row>
    <row r="705" spans="1:13">
      <c r="A705" s="1">
        <f>HYPERLINK("http://www.twitter.com/NathanBLawrence/status/994923150621147137", "994923150621147137")</f>
        <v/>
      </c>
      <c r="B705" s="2" t="n">
        <v>43231.53631944444</v>
      </c>
      <c r="C705" t="n">
        <v>0</v>
      </c>
      <c r="D705" t="n">
        <v>3</v>
      </c>
      <c r="E705" t="s">
        <v>711</v>
      </c>
      <c r="F705" t="s"/>
      <c r="G705" t="s"/>
      <c r="H705" t="s"/>
      <c r="I705" t="s"/>
      <c r="J705" t="n">
        <v>0.765</v>
      </c>
      <c r="K705" t="n">
        <v>0</v>
      </c>
      <c r="L705" t="n">
        <v>0.703</v>
      </c>
      <c r="M705" t="n">
        <v>0.297</v>
      </c>
    </row>
    <row r="706" spans="1:13">
      <c r="A706" s="1">
        <f>HYPERLINK("http://www.twitter.com/NathanBLawrence/status/994923077443244032", "994923077443244032")</f>
        <v/>
      </c>
      <c r="B706" s="2" t="n">
        <v>43231.53612268518</v>
      </c>
      <c r="C706" t="n">
        <v>7</v>
      </c>
      <c r="D706" t="n">
        <v>3</v>
      </c>
      <c r="E706" t="s">
        <v>712</v>
      </c>
      <c r="F706" t="s"/>
      <c r="G706" t="s"/>
      <c r="H706" t="s"/>
      <c r="I706" t="s"/>
      <c r="J706" t="n">
        <v>0.765</v>
      </c>
      <c r="K706" t="n">
        <v>0</v>
      </c>
      <c r="L706" t="n">
        <v>0.6909999999999999</v>
      </c>
      <c r="M706" t="n">
        <v>0.309</v>
      </c>
    </row>
    <row r="707" spans="1:13">
      <c r="A707" s="1">
        <f>HYPERLINK("http://www.twitter.com/NathanBLawrence/status/994922719476056064", "994922719476056064")</f>
        <v/>
      </c>
      <c r="B707" s="2" t="n">
        <v>43231.53512731481</v>
      </c>
      <c r="C707" t="n">
        <v>0</v>
      </c>
      <c r="D707" t="n">
        <v>14</v>
      </c>
      <c r="E707" t="s">
        <v>713</v>
      </c>
      <c r="F707" t="s"/>
      <c r="G707" t="s"/>
      <c r="H707" t="s"/>
      <c r="I707" t="s"/>
      <c r="J707" t="n">
        <v>-0.4588</v>
      </c>
      <c r="K707" t="n">
        <v>0.134</v>
      </c>
      <c r="L707" t="n">
        <v>0.8129999999999999</v>
      </c>
      <c r="M707" t="n">
        <v>0.053</v>
      </c>
    </row>
    <row r="708" spans="1:13">
      <c r="A708" s="1">
        <f>HYPERLINK("http://www.twitter.com/NathanBLawrence/status/994908324046036992", "994908324046036992")</f>
        <v/>
      </c>
      <c r="B708" s="2" t="n">
        <v>43231.4954050926</v>
      </c>
      <c r="C708" t="n">
        <v>0</v>
      </c>
      <c r="D708" t="n">
        <v>3</v>
      </c>
      <c r="E708" t="s">
        <v>714</v>
      </c>
      <c r="F708" t="s"/>
      <c r="G708" t="s"/>
      <c r="H708" t="s"/>
      <c r="I708" t="s"/>
      <c r="J708" t="n">
        <v>0</v>
      </c>
      <c r="K708" t="n">
        <v>0</v>
      </c>
      <c r="L708" t="n">
        <v>1</v>
      </c>
      <c r="M708" t="n">
        <v>0</v>
      </c>
    </row>
    <row r="709" spans="1:13">
      <c r="A709" s="1">
        <f>HYPERLINK("http://www.twitter.com/NathanBLawrence/status/994908284325941249", "994908284325941249")</f>
        <v/>
      </c>
      <c r="B709" s="2" t="n">
        <v>43231.49530092593</v>
      </c>
      <c r="C709" t="n">
        <v>3</v>
      </c>
      <c r="D709" t="n">
        <v>3</v>
      </c>
      <c r="E709" t="s">
        <v>715</v>
      </c>
      <c r="F709" t="s"/>
      <c r="G709" t="s"/>
      <c r="H709" t="s"/>
      <c r="I709" t="s"/>
      <c r="J709" t="n">
        <v>0</v>
      </c>
      <c r="K709" t="n">
        <v>0</v>
      </c>
      <c r="L709" t="n">
        <v>1</v>
      </c>
      <c r="M709" t="n">
        <v>0</v>
      </c>
    </row>
    <row r="710" spans="1:13">
      <c r="A710" s="1">
        <f>HYPERLINK("http://www.twitter.com/NathanBLawrence/status/994902524510593024", "994902524510593024")</f>
        <v/>
      </c>
      <c r="B710" s="2" t="n">
        <v>43231.47939814815</v>
      </c>
      <c r="C710" t="n">
        <v>0</v>
      </c>
      <c r="D710" t="n">
        <v>2</v>
      </c>
      <c r="E710" t="s">
        <v>716</v>
      </c>
      <c r="F710" t="s"/>
      <c r="G710" t="s"/>
      <c r="H710" t="s"/>
      <c r="I710" t="s"/>
      <c r="J710" t="n">
        <v>-0.34</v>
      </c>
      <c r="K710" t="n">
        <v>0.117</v>
      </c>
      <c r="L710" t="n">
        <v>0.8159999999999999</v>
      </c>
      <c r="M710" t="n">
        <v>0.067</v>
      </c>
    </row>
    <row r="711" spans="1:13">
      <c r="A711" s="1">
        <f>HYPERLINK("http://www.twitter.com/NathanBLawrence/status/994902446878216195", "994902446878216195")</f>
        <v/>
      </c>
      <c r="B711" s="2" t="n">
        <v>43231.47918981482</v>
      </c>
      <c r="C711" t="n">
        <v>2</v>
      </c>
      <c r="D711" t="n">
        <v>2</v>
      </c>
      <c r="E711" t="s">
        <v>717</v>
      </c>
      <c r="F711" t="s"/>
      <c r="G711" t="s"/>
      <c r="H711" t="s"/>
      <c r="I711" t="s"/>
      <c r="J711" t="n">
        <v>-0.4215</v>
      </c>
      <c r="K711" t="n">
        <v>0.14</v>
      </c>
      <c r="L711" t="n">
        <v>0.804</v>
      </c>
      <c r="M711" t="n">
        <v>0.057</v>
      </c>
    </row>
    <row r="712" spans="1:13">
      <c r="A712" s="1">
        <f>HYPERLINK("http://www.twitter.com/NathanBLawrence/status/994887294262939648", "994887294262939648")</f>
        <v/>
      </c>
      <c r="B712" s="2" t="n">
        <v>43231.43737268518</v>
      </c>
      <c r="C712" t="n">
        <v>0</v>
      </c>
      <c r="D712" t="n">
        <v>4</v>
      </c>
      <c r="E712" t="s">
        <v>718</v>
      </c>
      <c r="F712" t="s"/>
      <c r="G712" t="s"/>
      <c r="H712" t="s"/>
      <c r="I712" t="s"/>
      <c r="J712" t="n">
        <v>-0.1531</v>
      </c>
      <c r="K712" t="n">
        <v>0.074</v>
      </c>
      <c r="L712" t="n">
        <v>0.926</v>
      </c>
      <c r="M712" t="n">
        <v>0</v>
      </c>
    </row>
    <row r="713" spans="1:13">
      <c r="A713" s="1">
        <f>HYPERLINK("http://www.twitter.com/NathanBLawrence/status/994885924772368388", "994885924772368388")</f>
        <v/>
      </c>
      <c r="B713" s="2" t="n">
        <v>43231.43359953703</v>
      </c>
      <c r="C713" t="n">
        <v>0</v>
      </c>
      <c r="D713" t="n">
        <v>13</v>
      </c>
      <c r="E713" t="s">
        <v>719</v>
      </c>
      <c r="F713" t="s"/>
      <c r="G713" t="s"/>
      <c r="H713" t="s"/>
      <c r="I713" t="s"/>
      <c r="J713" t="n">
        <v>-0.4005</v>
      </c>
      <c r="K713" t="n">
        <v>0.152</v>
      </c>
      <c r="L713" t="n">
        <v>0.848</v>
      </c>
      <c r="M713" t="n">
        <v>0</v>
      </c>
    </row>
    <row r="714" spans="1:13">
      <c r="A714" s="1">
        <f>HYPERLINK("http://www.twitter.com/NathanBLawrence/status/994868584437420032", "994868584437420032")</f>
        <v/>
      </c>
      <c r="B714" s="2" t="n">
        <v>43231.38574074074</v>
      </c>
      <c r="C714" t="n">
        <v>0</v>
      </c>
      <c r="D714" t="n">
        <v>5</v>
      </c>
      <c r="E714" t="s">
        <v>720</v>
      </c>
      <c r="F714">
        <f>HYPERLINK("http://pbs.twimg.com/media/Dc5CO3zWAAAl9eg.jpg", "http://pbs.twimg.com/media/Dc5CO3zWAAAl9eg.jpg")</f>
        <v/>
      </c>
      <c r="G714" t="s"/>
      <c r="H714" t="s"/>
      <c r="I714" t="s"/>
      <c r="J714" t="n">
        <v>-0.802</v>
      </c>
      <c r="K714" t="n">
        <v>0.291</v>
      </c>
      <c r="L714" t="n">
        <v>0.709</v>
      </c>
      <c r="M714" t="n">
        <v>0</v>
      </c>
    </row>
    <row r="715" spans="1:13">
      <c r="A715" s="1">
        <f>HYPERLINK("http://www.twitter.com/NathanBLawrence/status/994868056550670341", "994868056550670341")</f>
        <v/>
      </c>
      <c r="B715" s="2" t="n">
        <v>43231.38429398148</v>
      </c>
      <c r="C715" t="n">
        <v>0</v>
      </c>
      <c r="D715" t="n">
        <v>4</v>
      </c>
      <c r="E715" t="s">
        <v>721</v>
      </c>
      <c r="F715" t="s"/>
      <c r="G715" t="s"/>
      <c r="H715" t="s"/>
      <c r="I715" t="s"/>
      <c r="J715" t="n">
        <v>-0.4469</v>
      </c>
      <c r="K715" t="n">
        <v>0.264</v>
      </c>
      <c r="L715" t="n">
        <v>0.5639999999999999</v>
      </c>
      <c r="M715" t="n">
        <v>0.172</v>
      </c>
    </row>
    <row r="716" spans="1:13">
      <c r="A716" s="1">
        <f>HYPERLINK("http://www.twitter.com/NathanBLawrence/status/994785750557356033", "994785750557356033")</f>
        <v/>
      </c>
      <c r="B716" s="2" t="n">
        <v>43231.15716435185</v>
      </c>
      <c r="C716" t="n">
        <v>0</v>
      </c>
      <c r="D716" t="n">
        <v>2</v>
      </c>
      <c r="E716" t="s">
        <v>722</v>
      </c>
      <c r="F716" t="s"/>
      <c r="G716" t="s"/>
      <c r="H716" t="s"/>
      <c r="I716" t="s"/>
      <c r="J716" t="n">
        <v>0.7717000000000001</v>
      </c>
      <c r="K716" t="n">
        <v>0</v>
      </c>
      <c r="L716" t="n">
        <v>0.599</v>
      </c>
      <c r="M716" t="n">
        <v>0.401</v>
      </c>
    </row>
    <row r="717" spans="1:13">
      <c r="A717" s="1">
        <f>HYPERLINK("http://www.twitter.com/NathanBLawrence/status/994785715073572866", "994785715073572866")</f>
        <v/>
      </c>
      <c r="B717" s="2" t="n">
        <v>43231.15707175926</v>
      </c>
      <c r="C717" t="n">
        <v>5</v>
      </c>
      <c r="D717" t="n">
        <v>2</v>
      </c>
      <c r="E717" t="s">
        <v>723</v>
      </c>
      <c r="F717" t="s"/>
      <c r="G717" t="s"/>
      <c r="H717" t="s"/>
      <c r="I717" t="s"/>
      <c r="J717" t="n">
        <v>0.7717000000000001</v>
      </c>
      <c r="K717" t="n">
        <v>0</v>
      </c>
      <c r="L717" t="n">
        <v>0.5580000000000001</v>
      </c>
      <c r="M717" t="n">
        <v>0.442</v>
      </c>
    </row>
    <row r="718" spans="1:13">
      <c r="A718" s="1">
        <f>HYPERLINK("http://www.twitter.com/NathanBLawrence/status/994768304567934977", "994768304567934977")</f>
        <v/>
      </c>
      <c r="B718" s="2" t="n">
        <v>43231.10902777778</v>
      </c>
      <c r="C718" t="n">
        <v>1</v>
      </c>
      <c r="D718" t="n">
        <v>0</v>
      </c>
      <c r="E718" t="s">
        <v>724</v>
      </c>
      <c r="F718" t="s"/>
      <c r="G718" t="s"/>
      <c r="H718" t="s"/>
      <c r="I718" t="s"/>
      <c r="J718" t="n">
        <v>0.4215</v>
      </c>
      <c r="K718" t="n">
        <v>0</v>
      </c>
      <c r="L718" t="n">
        <v>0.741</v>
      </c>
      <c r="M718" t="n">
        <v>0.259</v>
      </c>
    </row>
    <row r="719" spans="1:13">
      <c r="A719" s="1">
        <f>HYPERLINK("http://www.twitter.com/NathanBLawrence/status/994752799232724992", "994752799232724992")</f>
        <v/>
      </c>
      <c r="B719" s="2" t="n">
        <v>43231.06623842593</v>
      </c>
      <c r="C719" t="n">
        <v>5</v>
      </c>
      <c r="D719" t="n">
        <v>2</v>
      </c>
      <c r="E719" t="s">
        <v>725</v>
      </c>
      <c r="F719" t="s"/>
      <c r="G719" t="s"/>
      <c r="H719" t="s"/>
      <c r="I719" t="s"/>
      <c r="J719" t="n">
        <v>-0.5707</v>
      </c>
      <c r="K719" t="n">
        <v>0.552</v>
      </c>
      <c r="L719" t="n">
        <v>0.448</v>
      </c>
      <c r="M719" t="n">
        <v>0</v>
      </c>
    </row>
    <row r="720" spans="1:13">
      <c r="A720" s="1">
        <f>HYPERLINK("http://www.twitter.com/NathanBLawrence/status/994736728895377408", "994736728895377408")</f>
        <v/>
      </c>
      <c r="B720" s="2" t="n">
        <v>43231.02189814814</v>
      </c>
      <c r="C720" t="n">
        <v>0</v>
      </c>
      <c r="D720" t="n">
        <v>2</v>
      </c>
      <c r="E720" t="s">
        <v>726</v>
      </c>
      <c r="F720" t="s"/>
      <c r="G720" t="s"/>
      <c r="H720" t="s"/>
      <c r="I720" t="s"/>
      <c r="J720" t="n">
        <v>0</v>
      </c>
      <c r="K720" t="n">
        <v>0</v>
      </c>
      <c r="L720" t="n">
        <v>1</v>
      </c>
      <c r="M720" t="n">
        <v>0</v>
      </c>
    </row>
    <row r="721" spans="1:13">
      <c r="A721" s="1">
        <f>HYPERLINK("http://www.twitter.com/NathanBLawrence/status/994735425502760960", "994735425502760960")</f>
        <v/>
      </c>
      <c r="B721" s="2" t="n">
        <v>43231.01829861111</v>
      </c>
      <c r="C721" t="n">
        <v>5</v>
      </c>
      <c r="D721" t="n">
        <v>2</v>
      </c>
      <c r="E721" t="s">
        <v>727</v>
      </c>
      <c r="F721" t="s"/>
      <c r="G721" t="s"/>
      <c r="H721" t="s"/>
      <c r="I721" t="s"/>
      <c r="J721" t="n">
        <v>0.044</v>
      </c>
      <c r="K721" t="n">
        <v>0.055</v>
      </c>
      <c r="L721" t="n">
        <v>0.886</v>
      </c>
      <c r="M721" t="n">
        <v>0.059</v>
      </c>
    </row>
    <row r="722" spans="1:13">
      <c r="A722" s="1">
        <f>HYPERLINK("http://www.twitter.com/NathanBLawrence/status/994724051011735552", "994724051011735552")</f>
        <v/>
      </c>
      <c r="B722" s="2" t="n">
        <v>43230.98690972223</v>
      </c>
      <c r="C722" t="n">
        <v>0</v>
      </c>
      <c r="D722" t="n">
        <v>240</v>
      </c>
      <c r="E722" t="s">
        <v>728</v>
      </c>
      <c r="F722">
        <f>HYPERLINK("https://video.twimg.com/ext_tw_video/994593516201230336/pu/vid/1280x720/GXcNqf574w5Xn2Cn.mp4?tag=3", "https://video.twimg.com/ext_tw_video/994593516201230336/pu/vid/1280x720/GXcNqf574w5Xn2Cn.mp4?tag=3")</f>
        <v/>
      </c>
      <c r="G722" t="s"/>
      <c r="H722" t="s"/>
      <c r="I722" t="s"/>
      <c r="J722" t="n">
        <v>0</v>
      </c>
      <c r="K722" t="n">
        <v>0</v>
      </c>
      <c r="L722" t="n">
        <v>1</v>
      </c>
      <c r="M722" t="n">
        <v>0</v>
      </c>
    </row>
    <row r="723" spans="1:13">
      <c r="A723" s="1">
        <f>HYPERLINK("http://www.twitter.com/NathanBLawrence/status/994713353372172288", "994713353372172288")</f>
        <v/>
      </c>
      <c r="B723" s="2" t="n">
        <v>43230.95738425926</v>
      </c>
      <c r="C723" t="n">
        <v>0</v>
      </c>
      <c r="D723" t="n">
        <v>0</v>
      </c>
      <c r="E723" t="s">
        <v>729</v>
      </c>
      <c r="F723" t="s"/>
      <c r="G723" t="s"/>
      <c r="H723" t="s"/>
      <c r="I723" t="s"/>
      <c r="J723" t="n">
        <v>-0.128</v>
      </c>
      <c r="K723" t="n">
        <v>0.15</v>
      </c>
      <c r="L723" t="n">
        <v>0.725</v>
      </c>
      <c r="M723" t="n">
        <v>0.124</v>
      </c>
    </row>
    <row r="724" spans="1:13">
      <c r="A724" s="1">
        <f>HYPERLINK("http://www.twitter.com/NathanBLawrence/status/994713235956883457", "994713235956883457")</f>
        <v/>
      </c>
      <c r="B724" s="2" t="n">
        <v>43230.95706018519</v>
      </c>
      <c r="C724" t="n">
        <v>0</v>
      </c>
      <c r="D724" t="n">
        <v>2</v>
      </c>
      <c r="E724" t="s">
        <v>730</v>
      </c>
      <c r="F724" t="s"/>
      <c r="G724" t="s"/>
      <c r="H724" t="s"/>
      <c r="I724" t="s"/>
      <c r="J724" t="n">
        <v>0</v>
      </c>
      <c r="K724" t="n">
        <v>0</v>
      </c>
      <c r="L724" t="n">
        <v>1</v>
      </c>
      <c r="M724" t="n">
        <v>0</v>
      </c>
    </row>
    <row r="725" spans="1:13">
      <c r="A725" s="1">
        <f>HYPERLINK("http://www.twitter.com/NathanBLawrence/status/994711400990826497", "994711400990826497")</f>
        <v/>
      </c>
      <c r="B725" s="2" t="n">
        <v>43230.95200231481</v>
      </c>
      <c r="C725" t="n">
        <v>0</v>
      </c>
      <c r="D725" t="n">
        <v>4</v>
      </c>
      <c r="E725" t="s">
        <v>731</v>
      </c>
      <c r="F725" t="s"/>
      <c r="G725" t="s"/>
      <c r="H725" t="s"/>
      <c r="I725" t="s"/>
      <c r="J725" t="n">
        <v>-0.596</v>
      </c>
      <c r="K725" t="n">
        <v>0.162</v>
      </c>
      <c r="L725" t="n">
        <v>0.838</v>
      </c>
      <c r="M725" t="n">
        <v>0</v>
      </c>
    </row>
    <row r="726" spans="1:13">
      <c r="A726" s="1">
        <f>HYPERLINK("http://www.twitter.com/NathanBLawrence/status/994689227181916162", "994689227181916162")</f>
        <v/>
      </c>
      <c r="B726" s="2" t="n">
        <v>43230.89081018518</v>
      </c>
      <c r="C726" t="n">
        <v>0</v>
      </c>
      <c r="D726" t="n">
        <v>1</v>
      </c>
      <c r="E726" t="s">
        <v>732</v>
      </c>
      <c r="F726" t="s"/>
      <c r="G726" t="s"/>
      <c r="H726" t="s"/>
      <c r="I726" t="s"/>
      <c r="J726" t="n">
        <v>0.128</v>
      </c>
      <c r="K726" t="n">
        <v>0.118</v>
      </c>
      <c r="L726" t="n">
        <v>0.742</v>
      </c>
      <c r="M726" t="n">
        <v>0.14</v>
      </c>
    </row>
    <row r="727" spans="1:13">
      <c r="A727" s="1">
        <f>HYPERLINK("http://www.twitter.com/NathanBLawrence/status/994689137734307843", "994689137734307843")</f>
        <v/>
      </c>
      <c r="B727" s="2" t="n">
        <v>43230.89056712963</v>
      </c>
      <c r="C727" t="n">
        <v>0</v>
      </c>
      <c r="D727" t="n">
        <v>1</v>
      </c>
      <c r="E727" t="s">
        <v>733</v>
      </c>
      <c r="F727" t="s"/>
      <c r="G727" t="s"/>
      <c r="H727" t="s"/>
      <c r="I727" t="s"/>
      <c r="J727" t="n">
        <v>0.128</v>
      </c>
      <c r="K727" t="n">
        <v>0.129</v>
      </c>
      <c r="L727" t="n">
        <v>0.718</v>
      </c>
      <c r="M727" t="n">
        <v>0.153</v>
      </c>
    </row>
    <row r="728" spans="1:13">
      <c r="A728" s="1">
        <f>HYPERLINK("http://www.twitter.com/NathanBLawrence/status/994678678083817472", "994678678083817472")</f>
        <v/>
      </c>
      <c r="B728" s="2" t="n">
        <v>43230.86170138889</v>
      </c>
      <c r="C728" t="n">
        <v>0</v>
      </c>
      <c r="D728" t="n">
        <v>11</v>
      </c>
      <c r="E728" t="s">
        <v>734</v>
      </c>
      <c r="F728" t="s"/>
      <c r="G728" t="s"/>
      <c r="H728" t="s"/>
      <c r="I728" t="s"/>
      <c r="J728" t="n">
        <v>0.1469</v>
      </c>
      <c r="K728" t="n">
        <v>0.16</v>
      </c>
      <c r="L728" t="n">
        <v>0.6929999999999999</v>
      </c>
      <c r="M728" t="n">
        <v>0.147</v>
      </c>
    </row>
    <row r="729" spans="1:13">
      <c r="A729" s="1">
        <f>HYPERLINK("http://www.twitter.com/NathanBLawrence/status/994675718637400064", "994675718637400064")</f>
        <v/>
      </c>
      <c r="B729" s="2" t="n">
        <v>43230.85354166666</v>
      </c>
      <c r="C729" t="n">
        <v>0</v>
      </c>
      <c r="D729" t="n">
        <v>2</v>
      </c>
      <c r="E729" t="s">
        <v>735</v>
      </c>
      <c r="F729" t="s"/>
      <c r="G729" t="s"/>
      <c r="H729" t="s"/>
      <c r="I729" t="s"/>
      <c r="J729" t="n">
        <v>0</v>
      </c>
      <c r="K729" t="n">
        <v>0</v>
      </c>
      <c r="L729" t="n">
        <v>1</v>
      </c>
      <c r="M729" t="n">
        <v>0</v>
      </c>
    </row>
    <row r="730" spans="1:13">
      <c r="A730" s="1">
        <f>HYPERLINK("http://www.twitter.com/NathanBLawrence/status/994668875290742790", "994668875290742790")</f>
        <v/>
      </c>
      <c r="B730" s="2" t="n">
        <v>43230.83465277778</v>
      </c>
      <c r="C730" t="n">
        <v>0</v>
      </c>
      <c r="D730" t="n">
        <v>4</v>
      </c>
      <c r="E730" t="s">
        <v>736</v>
      </c>
      <c r="F730" t="s"/>
      <c r="G730" t="s"/>
      <c r="H730" t="s"/>
      <c r="I730" t="s"/>
      <c r="J730" t="n">
        <v>0</v>
      </c>
      <c r="K730" t="n">
        <v>0</v>
      </c>
      <c r="L730" t="n">
        <v>1</v>
      </c>
      <c r="M730" t="n">
        <v>0</v>
      </c>
    </row>
    <row r="731" spans="1:13">
      <c r="A731" s="1">
        <f>HYPERLINK("http://www.twitter.com/NathanBLawrence/status/994666205658210304", "994666205658210304")</f>
        <v/>
      </c>
      <c r="B731" s="2" t="n">
        <v>43230.82729166667</v>
      </c>
      <c r="C731" t="n">
        <v>0</v>
      </c>
      <c r="D731" t="n">
        <v>7</v>
      </c>
      <c r="E731" t="s">
        <v>737</v>
      </c>
      <c r="F731" t="s"/>
      <c r="G731" t="s"/>
      <c r="H731" t="s"/>
      <c r="I731" t="s"/>
      <c r="J731" t="n">
        <v>0</v>
      </c>
      <c r="K731" t="n">
        <v>0</v>
      </c>
      <c r="L731" t="n">
        <v>1</v>
      </c>
      <c r="M731" t="n">
        <v>0</v>
      </c>
    </row>
    <row r="732" spans="1:13">
      <c r="A732" s="1">
        <f>HYPERLINK("http://www.twitter.com/NathanBLawrence/status/994666107406561280", "994666107406561280")</f>
        <v/>
      </c>
      <c r="B732" s="2" t="n">
        <v>43230.82701388889</v>
      </c>
      <c r="C732" t="n">
        <v>0</v>
      </c>
      <c r="D732" t="n">
        <v>14</v>
      </c>
      <c r="E732" t="s">
        <v>738</v>
      </c>
      <c r="F732" t="s"/>
      <c r="G732" t="s"/>
      <c r="H732" t="s"/>
      <c r="I732" t="s"/>
      <c r="J732" t="n">
        <v>0</v>
      </c>
      <c r="K732" t="n">
        <v>0</v>
      </c>
      <c r="L732" t="n">
        <v>1</v>
      </c>
      <c r="M732" t="n">
        <v>0</v>
      </c>
    </row>
    <row r="733" spans="1:13">
      <c r="A733" s="1">
        <f>HYPERLINK("http://www.twitter.com/NathanBLawrence/status/994657041770860544", "994657041770860544")</f>
        <v/>
      </c>
      <c r="B733" s="2" t="n">
        <v>43230.80200231481</v>
      </c>
      <c r="C733" t="n">
        <v>0</v>
      </c>
      <c r="D733" t="n">
        <v>2</v>
      </c>
      <c r="E733" t="s">
        <v>739</v>
      </c>
      <c r="F733" t="s"/>
      <c r="G733" t="s"/>
      <c r="H733" t="s"/>
      <c r="I733" t="s"/>
      <c r="J733" t="n">
        <v>0.4404</v>
      </c>
      <c r="K733" t="n">
        <v>0</v>
      </c>
      <c r="L733" t="n">
        <v>0.805</v>
      </c>
      <c r="M733" t="n">
        <v>0.195</v>
      </c>
    </row>
    <row r="734" spans="1:13">
      <c r="A734" s="1">
        <f>HYPERLINK("http://www.twitter.com/NathanBLawrence/status/994656932374851586", "994656932374851586")</f>
        <v/>
      </c>
      <c r="B734" s="2" t="n">
        <v>43230.80170138889</v>
      </c>
      <c r="C734" t="n">
        <v>7</v>
      </c>
      <c r="D734" t="n">
        <v>2</v>
      </c>
      <c r="E734" t="s">
        <v>740</v>
      </c>
      <c r="F734" t="s"/>
      <c r="G734" t="s"/>
      <c r="H734" t="s"/>
      <c r="I734" t="s"/>
      <c r="J734" t="n">
        <v>0.4404</v>
      </c>
      <c r="K734" t="n">
        <v>0</v>
      </c>
      <c r="L734" t="n">
        <v>0.775</v>
      </c>
      <c r="M734" t="n">
        <v>0.225</v>
      </c>
    </row>
    <row r="735" spans="1:13">
      <c r="A735" s="1">
        <f>HYPERLINK("http://www.twitter.com/NathanBLawrence/status/994653384518131712", "994653384518131712")</f>
        <v/>
      </c>
      <c r="B735" s="2" t="n">
        <v>43230.79190972223</v>
      </c>
      <c r="C735" t="n">
        <v>0</v>
      </c>
      <c r="D735" t="n">
        <v>2</v>
      </c>
      <c r="E735" t="s">
        <v>741</v>
      </c>
      <c r="F735" t="s"/>
      <c r="G735" t="s"/>
      <c r="H735" t="s"/>
      <c r="I735" t="s"/>
      <c r="J735" t="n">
        <v>0</v>
      </c>
      <c r="K735" t="n">
        <v>0</v>
      </c>
      <c r="L735" t="n">
        <v>1</v>
      </c>
      <c r="M735" t="n">
        <v>0</v>
      </c>
    </row>
    <row r="736" spans="1:13">
      <c r="A736" s="1">
        <f>HYPERLINK("http://www.twitter.com/NathanBLawrence/status/994625720625266688", "994625720625266688")</f>
        <v/>
      </c>
      <c r="B736" s="2" t="n">
        <v>43230.71556712963</v>
      </c>
      <c r="C736" t="n">
        <v>0</v>
      </c>
      <c r="D736" t="n">
        <v>1</v>
      </c>
      <c r="E736" t="s">
        <v>742</v>
      </c>
      <c r="F736" t="s"/>
      <c r="G736" t="s"/>
      <c r="H736" t="s"/>
      <c r="I736" t="s"/>
      <c r="J736" t="n">
        <v>0.5106000000000001</v>
      </c>
      <c r="K736" t="n">
        <v>0</v>
      </c>
      <c r="L736" t="n">
        <v>0.845</v>
      </c>
      <c r="M736" t="n">
        <v>0.155</v>
      </c>
    </row>
    <row r="737" spans="1:13">
      <c r="A737" s="1">
        <f>HYPERLINK("http://www.twitter.com/NathanBLawrence/status/994625671442960386", "994625671442960386")</f>
        <v/>
      </c>
      <c r="B737" s="2" t="n">
        <v>43230.71542824074</v>
      </c>
      <c r="C737" t="n">
        <v>0</v>
      </c>
      <c r="D737" t="n">
        <v>1</v>
      </c>
      <c r="E737" t="s">
        <v>743</v>
      </c>
      <c r="F737" t="s"/>
      <c r="G737" t="s"/>
      <c r="H737" t="s"/>
      <c r="I737" t="s"/>
      <c r="J737" t="n">
        <v>0.5106000000000001</v>
      </c>
      <c r="K737" t="n">
        <v>0</v>
      </c>
      <c r="L737" t="n">
        <v>0.829</v>
      </c>
      <c r="M737" t="n">
        <v>0.171</v>
      </c>
    </row>
    <row r="738" spans="1:13">
      <c r="A738" s="1">
        <f>HYPERLINK("http://www.twitter.com/NathanBLawrence/status/994622597601079296", "994622597601079296")</f>
        <v/>
      </c>
      <c r="B738" s="2" t="n">
        <v>43230.70695601852</v>
      </c>
      <c r="C738" t="n">
        <v>0</v>
      </c>
      <c r="D738" t="n">
        <v>9</v>
      </c>
      <c r="E738" t="s">
        <v>744</v>
      </c>
      <c r="F738" t="s"/>
      <c r="G738" t="s"/>
      <c r="H738" t="s"/>
      <c r="I738" t="s"/>
      <c r="J738" t="n">
        <v>-0.5574</v>
      </c>
      <c r="K738" t="n">
        <v>0.146</v>
      </c>
      <c r="L738" t="n">
        <v>0.854</v>
      </c>
      <c r="M738" t="n">
        <v>0</v>
      </c>
    </row>
    <row r="739" spans="1:13">
      <c r="A739" s="1">
        <f>HYPERLINK("http://www.twitter.com/NathanBLawrence/status/994622552273293312", "994622552273293312")</f>
        <v/>
      </c>
      <c r="B739" s="2" t="n">
        <v>43230.7068287037</v>
      </c>
      <c r="C739" t="n">
        <v>0</v>
      </c>
      <c r="D739" t="n">
        <v>8</v>
      </c>
      <c r="E739" t="s">
        <v>745</v>
      </c>
      <c r="F739" t="s"/>
      <c r="G739" t="s"/>
      <c r="H739" t="s"/>
      <c r="I739" t="s"/>
      <c r="J739" t="n">
        <v>-0.4767</v>
      </c>
      <c r="K739" t="n">
        <v>0.17</v>
      </c>
      <c r="L739" t="n">
        <v>0.83</v>
      </c>
      <c r="M739" t="n">
        <v>0</v>
      </c>
    </row>
    <row r="740" spans="1:13">
      <c r="A740" s="1">
        <f>HYPERLINK("http://www.twitter.com/NathanBLawrence/status/994620194025889792", "994620194025889792")</f>
        <v/>
      </c>
      <c r="B740" s="2" t="n">
        <v>43230.70032407407</v>
      </c>
      <c r="C740" t="n">
        <v>0</v>
      </c>
      <c r="D740" t="n">
        <v>1</v>
      </c>
      <c r="E740" t="s">
        <v>746</v>
      </c>
      <c r="F740" t="s"/>
      <c r="G740" t="s"/>
      <c r="H740" t="s"/>
      <c r="I740" t="s"/>
      <c r="J740" t="n">
        <v>0.4404</v>
      </c>
      <c r="K740" t="n">
        <v>0</v>
      </c>
      <c r="L740" t="n">
        <v>0.861</v>
      </c>
      <c r="M740" t="n">
        <v>0.139</v>
      </c>
    </row>
    <row r="741" spans="1:13">
      <c r="A741" s="1">
        <f>HYPERLINK("http://www.twitter.com/NathanBLawrence/status/994620138858172416", "994620138858172416")</f>
        <v/>
      </c>
      <c r="B741" s="2" t="n">
        <v>43230.70016203704</v>
      </c>
      <c r="C741" t="n">
        <v>2</v>
      </c>
      <c r="D741" t="n">
        <v>1</v>
      </c>
      <c r="E741" t="s">
        <v>747</v>
      </c>
      <c r="F741" t="s"/>
      <c r="G741" t="s"/>
      <c r="H741" t="s"/>
      <c r="I741" t="s"/>
      <c r="J741" t="n">
        <v>0.4404</v>
      </c>
      <c r="K741" t="n">
        <v>0</v>
      </c>
      <c r="L741" t="n">
        <v>0.847</v>
      </c>
      <c r="M741" t="n">
        <v>0.153</v>
      </c>
    </row>
    <row r="742" spans="1:13">
      <c r="A742" s="1">
        <f>HYPERLINK("http://www.twitter.com/NathanBLawrence/status/994596034339852288", "994596034339852288")</f>
        <v/>
      </c>
      <c r="B742" s="2" t="n">
        <v>43230.63364583333</v>
      </c>
      <c r="C742" t="n">
        <v>0</v>
      </c>
      <c r="D742" t="n">
        <v>2</v>
      </c>
      <c r="E742" t="s">
        <v>748</v>
      </c>
      <c r="F742" t="s"/>
      <c r="G742" t="s"/>
      <c r="H742" t="s"/>
      <c r="I742" t="s"/>
      <c r="J742" t="n">
        <v>0</v>
      </c>
      <c r="K742" t="n">
        <v>0</v>
      </c>
      <c r="L742" t="n">
        <v>1</v>
      </c>
      <c r="M742" t="n">
        <v>0</v>
      </c>
    </row>
    <row r="743" spans="1:13">
      <c r="A743" s="1">
        <f>HYPERLINK("http://www.twitter.com/NathanBLawrence/status/994596002157027331", "994596002157027331")</f>
        <v/>
      </c>
      <c r="B743" s="2" t="n">
        <v>43230.63356481482</v>
      </c>
      <c r="C743" t="n">
        <v>2</v>
      </c>
      <c r="D743" t="n">
        <v>2</v>
      </c>
      <c r="E743" t="s">
        <v>749</v>
      </c>
      <c r="F743" t="s"/>
      <c r="G743" t="s"/>
      <c r="H743" t="s"/>
      <c r="I743" t="s"/>
      <c r="J743" t="n">
        <v>0</v>
      </c>
      <c r="K743" t="n">
        <v>0</v>
      </c>
      <c r="L743" t="n">
        <v>1</v>
      </c>
      <c r="M743" t="n">
        <v>0</v>
      </c>
    </row>
    <row r="744" spans="1:13">
      <c r="A744" s="1">
        <f>HYPERLINK("http://www.twitter.com/NathanBLawrence/status/994592408833806336", "994592408833806336")</f>
        <v/>
      </c>
      <c r="B744" s="2" t="n">
        <v>43230.62364583334</v>
      </c>
      <c r="C744" t="n">
        <v>0</v>
      </c>
      <c r="D744" t="n">
        <v>1</v>
      </c>
      <c r="E744" t="s">
        <v>750</v>
      </c>
      <c r="F744" t="s"/>
      <c r="G744" t="s"/>
      <c r="H744" t="s"/>
      <c r="I744" t="s"/>
      <c r="J744" t="n">
        <v>-0.7841</v>
      </c>
      <c r="K744" t="n">
        <v>0.239</v>
      </c>
      <c r="L744" t="n">
        <v>0.761</v>
      </c>
      <c r="M744" t="n">
        <v>0</v>
      </c>
    </row>
    <row r="745" spans="1:13">
      <c r="A745" s="1">
        <f>HYPERLINK("http://www.twitter.com/NathanBLawrence/status/994590771864010752", "994590771864010752")</f>
        <v/>
      </c>
      <c r="B745" s="2" t="n">
        <v>43230.61913194445</v>
      </c>
      <c r="C745" t="n">
        <v>2</v>
      </c>
      <c r="D745" t="n">
        <v>1</v>
      </c>
      <c r="E745" t="s">
        <v>751</v>
      </c>
      <c r="F745" t="s"/>
      <c r="G745" t="s"/>
      <c r="H745" t="s"/>
      <c r="I745" t="s"/>
      <c r="J745" t="n">
        <v>-0.6997</v>
      </c>
      <c r="K745" t="n">
        <v>0.189</v>
      </c>
      <c r="L745" t="n">
        <v>0.749</v>
      </c>
      <c r="M745" t="n">
        <v>0.062</v>
      </c>
    </row>
    <row r="746" spans="1:13">
      <c r="A746" s="1">
        <f>HYPERLINK("http://www.twitter.com/NathanBLawrence/status/994590107738017792", "994590107738017792")</f>
        <v/>
      </c>
      <c r="B746" s="2" t="n">
        <v>43230.61729166667</v>
      </c>
      <c r="C746" t="n">
        <v>0</v>
      </c>
      <c r="D746" t="n">
        <v>14</v>
      </c>
      <c r="E746" t="s">
        <v>752</v>
      </c>
      <c r="F746" t="s"/>
      <c r="G746" t="s"/>
      <c r="H746" t="s"/>
      <c r="I746" t="s"/>
      <c r="J746" t="n">
        <v>0.6514</v>
      </c>
      <c r="K746" t="n">
        <v>0.105</v>
      </c>
      <c r="L746" t="n">
        <v>0.65</v>
      </c>
      <c r="M746" t="n">
        <v>0.245</v>
      </c>
    </row>
    <row r="747" spans="1:13">
      <c r="A747" s="1">
        <f>HYPERLINK("http://www.twitter.com/NathanBLawrence/status/994585313778511872", "994585313778511872")</f>
        <v/>
      </c>
      <c r="B747" s="2" t="n">
        <v>43230.6040625</v>
      </c>
      <c r="C747" t="n">
        <v>0</v>
      </c>
      <c r="D747" t="n">
        <v>3</v>
      </c>
      <c r="E747" t="s">
        <v>753</v>
      </c>
      <c r="F747" t="s"/>
      <c r="G747" t="s"/>
      <c r="H747" t="s"/>
      <c r="I747" t="s"/>
      <c r="J747" t="n">
        <v>-0.5106000000000001</v>
      </c>
      <c r="K747" t="n">
        <v>0.215</v>
      </c>
      <c r="L747" t="n">
        <v>0.648</v>
      </c>
      <c r="M747" t="n">
        <v>0.137</v>
      </c>
    </row>
    <row r="748" spans="1:13">
      <c r="A748" s="1">
        <f>HYPERLINK("http://www.twitter.com/NathanBLawrence/status/994585294233047040", "994585294233047040")</f>
        <v/>
      </c>
      <c r="B748" s="2" t="n">
        <v>43230.6040162037</v>
      </c>
      <c r="C748" t="n">
        <v>5</v>
      </c>
      <c r="D748" t="n">
        <v>3</v>
      </c>
      <c r="E748" t="s">
        <v>754</v>
      </c>
      <c r="F748" t="s"/>
      <c r="G748" t="s"/>
      <c r="H748" t="s"/>
      <c r="I748" t="s"/>
      <c r="J748" t="n">
        <v>-0.5106000000000001</v>
      </c>
      <c r="K748" t="n">
        <v>0.223</v>
      </c>
      <c r="L748" t="n">
        <v>0.636</v>
      </c>
      <c r="M748" t="n">
        <v>0.141</v>
      </c>
    </row>
    <row r="749" spans="1:13">
      <c r="A749" s="1">
        <f>HYPERLINK("http://www.twitter.com/NathanBLawrence/status/994585202637836289", "994585202637836289")</f>
        <v/>
      </c>
      <c r="B749" s="2" t="n">
        <v>43230.60376157407</v>
      </c>
      <c r="C749" t="n">
        <v>0</v>
      </c>
      <c r="D749" t="n">
        <v>0</v>
      </c>
      <c r="E749" t="s">
        <v>755</v>
      </c>
      <c r="F749" t="s"/>
      <c r="G749" t="s"/>
      <c r="H749" t="s"/>
      <c r="I749" t="s"/>
      <c r="J749" t="n">
        <v>-0.5106000000000001</v>
      </c>
      <c r="K749" t="n">
        <v>0.249</v>
      </c>
      <c r="L749" t="n">
        <v>0.593</v>
      </c>
      <c r="M749" t="n">
        <v>0.158</v>
      </c>
    </row>
    <row r="750" spans="1:13">
      <c r="A750" s="1">
        <f>HYPERLINK("http://www.twitter.com/NathanBLawrence/status/994580381373485056", "994580381373485056")</f>
        <v/>
      </c>
      <c r="B750" s="2" t="n">
        <v>43230.59045138889</v>
      </c>
      <c r="C750" t="n">
        <v>4</v>
      </c>
      <c r="D750" t="n">
        <v>1</v>
      </c>
      <c r="E750" t="s">
        <v>756</v>
      </c>
      <c r="F750" t="s"/>
      <c r="G750" t="s"/>
      <c r="H750" t="s"/>
      <c r="I750" t="s"/>
      <c r="J750" t="n">
        <v>-0.765</v>
      </c>
      <c r="K750" t="n">
        <v>0.218</v>
      </c>
      <c r="L750" t="n">
        <v>0.733</v>
      </c>
      <c r="M750" t="n">
        <v>0.049</v>
      </c>
    </row>
    <row r="751" spans="1:13">
      <c r="A751" s="1">
        <f>HYPERLINK("http://www.twitter.com/NathanBLawrence/status/994580336645419008", "994580336645419008")</f>
        <v/>
      </c>
      <c r="B751" s="2" t="n">
        <v>43230.59033564815</v>
      </c>
      <c r="C751" t="n">
        <v>1</v>
      </c>
      <c r="D751" t="n">
        <v>0</v>
      </c>
      <c r="E751" t="s">
        <v>757</v>
      </c>
      <c r="F751" t="s"/>
      <c r="G751" t="s"/>
      <c r="H751" t="s"/>
      <c r="I751" t="s"/>
      <c r="J751" t="n">
        <v>-0.765</v>
      </c>
      <c r="K751" t="n">
        <v>0.209</v>
      </c>
      <c r="L751" t="n">
        <v>0.745</v>
      </c>
      <c r="M751" t="n">
        <v>0.047</v>
      </c>
    </row>
    <row r="752" spans="1:13">
      <c r="A752" s="1">
        <f>HYPERLINK("http://www.twitter.com/NathanBLawrence/status/994576833365540864", "994576833365540864")</f>
        <v/>
      </c>
      <c r="B752" s="2" t="n">
        <v>43230.58067129629</v>
      </c>
      <c r="C752" t="n">
        <v>0</v>
      </c>
      <c r="D752" t="n">
        <v>1</v>
      </c>
      <c r="E752" t="s">
        <v>758</v>
      </c>
      <c r="F752" t="s"/>
      <c r="G752" t="s"/>
      <c r="H752" t="s"/>
      <c r="I752" t="s"/>
      <c r="J752" t="n">
        <v>-0.765</v>
      </c>
      <c r="K752" t="n">
        <v>0.377</v>
      </c>
      <c r="L752" t="n">
        <v>0.538</v>
      </c>
      <c r="M752" t="n">
        <v>0.08500000000000001</v>
      </c>
    </row>
    <row r="753" spans="1:13">
      <c r="A753" s="1">
        <f>HYPERLINK("http://www.twitter.com/NathanBLawrence/status/994576818677182465", "994576818677182465")</f>
        <v/>
      </c>
      <c r="B753" s="2" t="n">
        <v>43230.580625</v>
      </c>
      <c r="C753" t="n">
        <v>0</v>
      </c>
      <c r="D753" t="n">
        <v>1</v>
      </c>
      <c r="E753" t="s">
        <v>759</v>
      </c>
      <c r="F753" t="s"/>
      <c r="G753" t="s"/>
      <c r="H753" t="s"/>
      <c r="I753" t="s"/>
      <c r="J753" t="n">
        <v>-0.765</v>
      </c>
      <c r="K753" t="n">
        <v>0.363</v>
      </c>
      <c r="L753" t="n">
        <v>0.556</v>
      </c>
      <c r="M753" t="n">
        <v>0.081</v>
      </c>
    </row>
    <row r="754" spans="1:13">
      <c r="A754" s="1">
        <f>HYPERLINK("http://www.twitter.com/NathanBLawrence/status/994576625068134400", "994576625068134400")</f>
        <v/>
      </c>
      <c r="B754" s="2" t="n">
        <v>43230.58009259259</v>
      </c>
      <c r="C754" t="n">
        <v>2</v>
      </c>
      <c r="D754" t="n">
        <v>1</v>
      </c>
      <c r="E754" t="s">
        <v>760</v>
      </c>
      <c r="F754" t="s"/>
      <c r="G754" t="s"/>
      <c r="H754" t="s"/>
      <c r="I754" t="s"/>
      <c r="J754" t="n">
        <v>-0.765</v>
      </c>
      <c r="K754" t="n">
        <v>0.245</v>
      </c>
      <c r="L754" t="n">
        <v>0.7</v>
      </c>
      <c r="M754" t="n">
        <v>0.055</v>
      </c>
    </row>
    <row r="755" spans="1:13">
      <c r="A755" s="1">
        <f>HYPERLINK("http://www.twitter.com/NathanBLawrence/status/994576576611307520", "994576576611307520")</f>
        <v/>
      </c>
      <c r="B755" s="2" t="n">
        <v>43230.5799537037</v>
      </c>
      <c r="C755" t="n">
        <v>3</v>
      </c>
      <c r="D755" t="n">
        <v>1</v>
      </c>
      <c r="E755" t="s">
        <v>761</v>
      </c>
      <c r="F755" t="s"/>
      <c r="G755" t="s"/>
      <c r="H755" t="s"/>
      <c r="I755" t="s"/>
      <c r="J755" t="n">
        <v>-0.765</v>
      </c>
      <c r="K755" t="n">
        <v>0.233</v>
      </c>
      <c r="L755" t="n">
        <v>0.714</v>
      </c>
      <c r="M755" t="n">
        <v>0.052</v>
      </c>
    </row>
    <row r="756" spans="1:13">
      <c r="A756" s="1">
        <f>HYPERLINK("http://www.twitter.com/NathanBLawrence/status/994575931913244672", "994575931913244672")</f>
        <v/>
      </c>
      <c r="B756" s="2" t="n">
        <v>43230.57818287037</v>
      </c>
      <c r="C756" t="n">
        <v>0</v>
      </c>
      <c r="D756" t="n">
        <v>2</v>
      </c>
      <c r="E756" t="s">
        <v>762</v>
      </c>
      <c r="F756" t="s"/>
      <c r="G756" t="s"/>
      <c r="H756" t="s"/>
      <c r="I756" t="s"/>
      <c r="J756" t="n">
        <v>-0.0772</v>
      </c>
      <c r="K756" t="n">
        <v>0.08400000000000001</v>
      </c>
      <c r="L756" t="n">
        <v>0.842</v>
      </c>
      <c r="M756" t="n">
        <v>0.074</v>
      </c>
    </row>
    <row r="757" spans="1:13">
      <c r="A757" s="1">
        <f>HYPERLINK("http://www.twitter.com/NathanBLawrence/status/994575821959462913", "994575821959462913")</f>
        <v/>
      </c>
      <c r="B757" s="2" t="n">
        <v>43230.57787037037</v>
      </c>
      <c r="C757" t="n">
        <v>0</v>
      </c>
      <c r="D757" t="n">
        <v>1</v>
      </c>
      <c r="E757" t="s">
        <v>763</v>
      </c>
      <c r="F757" t="s"/>
      <c r="G757" t="s"/>
      <c r="H757" t="s"/>
      <c r="I757" t="s"/>
      <c r="J757" t="n">
        <v>0</v>
      </c>
      <c r="K757" t="n">
        <v>0</v>
      </c>
      <c r="L757" t="n">
        <v>1</v>
      </c>
      <c r="M757" t="n">
        <v>0</v>
      </c>
    </row>
    <row r="758" spans="1:13">
      <c r="A758" s="1">
        <f>HYPERLINK("http://www.twitter.com/NathanBLawrence/status/994575812346155008", "994575812346155008")</f>
        <v/>
      </c>
      <c r="B758" s="2" t="n">
        <v>43230.57784722222</v>
      </c>
      <c r="C758" t="n">
        <v>0</v>
      </c>
      <c r="D758" t="n">
        <v>5</v>
      </c>
      <c r="E758" t="s">
        <v>764</v>
      </c>
      <c r="F758" t="s"/>
      <c r="G758" t="s"/>
      <c r="H758" t="s"/>
      <c r="I758" t="s"/>
      <c r="J758" t="n">
        <v>-0.765</v>
      </c>
      <c r="K758" t="n">
        <v>0.338</v>
      </c>
      <c r="L758" t="n">
        <v>0.586</v>
      </c>
      <c r="M758" t="n">
        <v>0.076</v>
      </c>
    </row>
    <row r="759" spans="1:13">
      <c r="A759" s="1">
        <f>HYPERLINK("http://www.twitter.com/NathanBLawrence/status/994575784160448513", "994575784160448513")</f>
        <v/>
      </c>
      <c r="B759" s="2" t="n">
        <v>43230.57776620371</v>
      </c>
      <c r="C759" t="n">
        <v>1</v>
      </c>
      <c r="D759" t="n">
        <v>1</v>
      </c>
      <c r="E759" t="s">
        <v>765</v>
      </c>
      <c r="F759" t="s"/>
      <c r="G759" t="s"/>
      <c r="H759" t="s"/>
      <c r="I759" t="s"/>
      <c r="J759" t="n">
        <v>0</v>
      </c>
      <c r="K759" t="n">
        <v>0</v>
      </c>
      <c r="L759" t="n">
        <v>1</v>
      </c>
      <c r="M759" t="n">
        <v>0</v>
      </c>
    </row>
    <row r="760" spans="1:13">
      <c r="A760" s="1">
        <f>HYPERLINK("http://www.twitter.com/NathanBLawrence/status/994575782747037698", "994575782747037698")</f>
        <v/>
      </c>
      <c r="B760" s="2" t="n">
        <v>43230.57776620371</v>
      </c>
      <c r="C760" t="n">
        <v>8</v>
      </c>
      <c r="D760" t="n">
        <v>5</v>
      </c>
      <c r="E760" t="s">
        <v>766</v>
      </c>
      <c r="F760" t="s"/>
      <c r="G760" t="s"/>
      <c r="H760" t="s"/>
      <c r="I760" t="s"/>
      <c r="J760" t="n">
        <v>-0.765</v>
      </c>
      <c r="K760" t="n">
        <v>0.223</v>
      </c>
      <c r="L760" t="n">
        <v>0.727</v>
      </c>
      <c r="M760" t="n">
        <v>0.05</v>
      </c>
    </row>
    <row r="761" spans="1:13">
      <c r="A761" s="1">
        <f>HYPERLINK("http://www.twitter.com/NathanBLawrence/status/994575305137418240", "994575305137418240")</f>
        <v/>
      </c>
      <c r="B761" s="2" t="n">
        <v>43230.57644675926</v>
      </c>
      <c r="C761" t="n">
        <v>0</v>
      </c>
      <c r="D761" t="n">
        <v>0</v>
      </c>
      <c r="E761" t="s">
        <v>767</v>
      </c>
      <c r="F761" t="s"/>
      <c r="G761" t="s"/>
      <c r="H761" t="s"/>
      <c r="I761" t="s"/>
      <c r="J761" t="n">
        <v>-0.765</v>
      </c>
      <c r="K761" t="n">
        <v>0.209</v>
      </c>
      <c r="L761" t="n">
        <v>0.745</v>
      </c>
      <c r="M761" t="n">
        <v>0.047</v>
      </c>
    </row>
    <row r="762" spans="1:13">
      <c r="A762" s="1">
        <f>HYPERLINK("http://www.twitter.com/NathanBLawrence/status/994575264851070977", "994575264851070977")</f>
        <v/>
      </c>
      <c r="B762" s="2" t="n">
        <v>43230.57634259259</v>
      </c>
      <c r="C762" t="n">
        <v>0</v>
      </c>
      <c r="D762" t="n">
        <v>7</v>
      </c>
      <c r="E762" t="s">
        <v>768</v>
      </c>
      <c r="F762">
        <f>HYPERLINK("http://pbs.twimg.com/media/Dc1s2OeXUAAzybX.jpg", "http://pbs.twimg.com/media/Dc1s2OeXUAAzybX.jpg")</f>
        <v/>
      </c>
      <c r="G762" t="s"/>
      <c r="H762" t="s"/>
      <c r="I762" t="s"/>
      <c r="J762" t="n">
        <v>0</v>
      </c>
      <c r="K762" t="n">
        <v>0</v>
      </c>
      <c r="L762" t="n">
        <v>1</v>
      </c>
      <c r="M762" t="n">
        <v>0</v>
      </c>
    </row>
    <row r="763" spans="1:13">
      <c r="A763" s="1">
        <f>HYPERLINK("http://www.twitter.com/NathanBLawrence/status/994575219078631424", "994575219078631424")</f>
        <v/>
      </c>
      <c r="B763" s="2" t="n">
        <v>43230.57621527778</v>
      </c>
      <c r="C763" t="n">
        <v>0</v>
      </c>
      <c r="D763" t="n">
        <v>0</v>
      </c>
      <c r="E763" t="s">
        <v>769</v>
      </c>
      <c r="F763" t="s"/>
      <c r="G763" t="s"/>
      <c r="H763" t="s"/>
      <c r="I763" t="s"/>
      <c r="J763" t="n">
        <v>-0.765</v>
      </c>
      <c r="K763" t="n">
        <v>0.218</v>
      </c>
      <c r="L763" t="n">
        <v>0.733</v>
      </c>
      <c r="M763" t="n">
        <v>0.049</v>
      </c>
    </row>
    <row r="764" spans="1:13">
      <c r="A764" s="1">
        <f>HYPERLINK("http://www.twitter.com/NathanBLawrence/status/994574718815604736", "994574718815604736")</f>
        <v/>
      </c>
      <c r="B764" s="2" t="n">
        <v>43230.57482638889</v>
      </c>
      <c r="C764" t="n">
        <v>0</v>
      </c>
      <c r="D764" t="n">
        <v>2</v>
      </c>
      <c r="E764" t="s">
        <v>770</v>
      </c>
      <c r="F764" t="s"/>
      <c r="G764" t="s"/>
      <c r="H764" t="s"/>
      <c r="I764" t="s"/>
      <c r="J764" t="n">
        <v>0</v>
      </c>
      <c r="K764" t="n">
        <v>0</v>
      </c>
      <c r="L764" t="n">
        <v>1</v>
      </c>
      <c r="M764" t="n">
        <v>0</v>
      </c>
    </row>
    <row r="765" spans="1:13">
      <c r="A765" s="1">
        <f>HYPERLINK("http://www.twitter.com/NathanBLawrence/status/994574665057210369", "994574665057210369")</f>
        <v/>
      </c>
      <c r="B765" s="2" t="n">
        <v>43230.5746875</v>
      </c>
      <c r="C765" t="n">
        <v>5</v>
      </c>
      <c r="D765" t="n">
        <v>2</v>
      </c>
      <c r="E765" t="s">
        <v>771</v>
      </c>
      <c r="F765" t="s"/>
      <c r="G765" t="s"/>
      <c r="H765" t="s"/>
      <c r="I765" t="s"/>
      <c r="J765" t="n">
        <v>-0.765</v>
      </c>
      <c r="K765" t="n">
        <v>0.156</v>
      </c>
      <c r="L765" t="n">
        <v>0.8100000000000001</v>
      </c>
      <c r="M765" t="n">
        <v>0.035</v>
      </c>
    </row>
    <row r="766" spans="1:13">
      <c r="A766" s="1">
        <f>HYPERLINK("http://www.twitter.com/NathanBLawrence/status/994573504182931457", "994573504182931457")</f>
        <v/>
      </c>
      <c r="B766" s="2" t="n">
        <v>43230.57148148148</v>
      </c>
      <c r="C766" t="n">
        <v>0</v>
      </c>
      <c r="D766" t="n">
        <v>1</v>
      </c>
      <c r="E766" t="s">
        <v>772</v>
      </c>
      <c r="F766" t="s"/>
      <c r="G766" t="s"/>
      <c r="H766" t="s"/>
      <c r="I766" t="s"/>
      <c r="J766" t="n">
        <v>-0.765</v>
      </c>
      <c r="K766" t="n">
        <v>0.363</v>
      </c>
      <c r="L766" t="n">
        <v>0.556</v>
      </c>
      <c r="M766" t="n">
        <v>0.081</v>
      </c>
    </row>
    <row r="767" spans="1:13">
      <c r="A767" s="1">
        <f>HYPERLINK("http://www.twitter.com/NathanBLawrence/status/994573430329675776", "994573430329675776")</f>
        <v/>
      </c>
      <c r="B767" s="2" t="n">
        <v>43230.57127314815</v>
      </c>
      <c r="C767" t="n">
        <v>1</v>
      </c>
      <c r="D767" t="n">
        <v>1</v>
      </c>
      <c r="E767" t="s">
        <v>773</v>
      </c>
      <c r="F767" t="s"/>
      <c r="G767" t="s"/>
      <c r="H767" t="s"/>
      <c r="I767" t="s"/>
      <c r="J767" t="n">
        <v>-0.765</v>
      </c>
      <c r="K767" t="n">
        <v>0.239</v>
      </c>
      <c r="L767" t="n">
        <v>0.707</v>
      </c>
      <c r="M767" t="n">
        <v>0.054</v>
      </c>
    </row>
    <row r="768" spans="1:13">
      <c r="A768" s="1">
        <f>HYPERLINK("http://www.twitter.com/NathanBLawrence/status/994572556161224708", "994572556161224708")</f>
        <v/>
      </c>
      <c r="B768" s="2" t="n">
        <v>43230.56886574074</v>
      </c>
      <c r="C768" t="n">
        <v>0</v>
      </c>
      <c r="D768" t="n">
        <v>13</v>
      </c>
      <c r="E768" t="s">
        <v>774</v>
      </c>
      <c r="F768" t="s"/>
      <c r="G768" t="s"/>
      <c r="H768" t="s"/>
      <c r="I768" t="s"/>
      <c r="J768" t="n">
        <v>-0.4588</v>
      </c>
      <c r="K768" t="n">
        <v>0.134</v>
      </c>
      <c r="L768" t="n">
        <v>0.8129999999999999</v>
      </c>
      <c r="M768" t="n">
        <v>0.053</v>
      </c>
    </row>
    <row r="769" spans="1:13">
      <c r="A769" s="1">
        <f>HYPERLINK("http://www.twitter.com/NathanBLawrence/status/994554853551693830", "994554853551693830")</f>
        <v/>
      </c>
      <c r="B769" s="2" t="n">
        <v>43230.52001157407</v>
      </c>
      <c r="C769" t="n">
        <v>5</v>
      </c>
      <c r="D769" t="n">
        <v>2</v>
      </c>
      <c r="E769" t="s">
        <v>775</v>
      </c>
      <c r="F769" t="s"/>
      <c r="G769" t="s"/>
      <c r="H769" t="s"/>
      <c r="I769" t="s"/>
      <c r="J769" t="n">
        <v>0.4215</v>
      </c>
      <c r="K769" t="n">
        <v>0.052</v>
      </c>
      <c r="L769" t="n">
        <v>0.837</v>
      </c>
      <c r="M769" t="n">
        <v>0.112</v>
      </c>
    </row>
    <row r="770" spans="1:13">
      <c r="A770" s="1">
        <f>HYPERLINK("http://www.twitter.com/NathanBLawrence/status/994548585688653825", "994548585688653825")</f>
        <v/>
      </c>
      <c r="B770" s="2" t="n">
        <v>43230.50271990741</v>
      </c>
      <c r="C770" t="n">
        <v>0</v>
      </c>
      <c r="D770" t="n">
        <v>9</v>
      </c>
      <c r="E770" t="s">
        <v>776</v>
      </c>
      <c r="F770" t="s"/>
      <c r="G770" t="s"/>
      <c r="H770" t="s"/>
      <c r="I770" t="s"/>
      <c r="J770" t="n">
        <v>-0.6808</v>
      </c>
      <c r="K770" t="n">
        <v>0.248</v>
      </c>
      <c r="L770" t="n">
        <v>0.752</v>
      </c>
      <c r="M770" t="n">
        <v>0</v>
      </c>
    </row>
    <row r="771" spans="1:13">
      <c r="A771" s="1">
        <f>HYPERLINK("http://www.twitter.com/NathanBLawrence/status/994548559814053889", "994548559814053889")</f>
        <v/>
      </c>
      <c r="B771" s="2" t="n">
        <v>43230.50265046296</v>
      </c>
      <c r="C771" t="n">
        <v>14</v>
      </c>
      <c r="D771" t="n">
        <v>9</v>
      </c>
      <c r="E771" t="s">
        <v>777</v>
      </c>
      <c r="F771" t="s"/>
      <c r="G771" t="s"/>
      <c r="H771" t="s"/>
      <c r="I771" t="s"/>
      <c r="J771" t="n">
        <v>-0.6808</v>
      </c>
      <c r="K771" t="n">
        <v>0.191</v>
      </c>
      <c r="L771" t="n">
        <v>0.8090000000000001</v>
      </c>
      <c r="M771" t="n">
        <v>0</v>
      </c>
    </row>
    <row r="772" spans="1:13">
      <c r="A772" s="1">
        <f>HYPERLINK("http://www.twitter.com/NathanBLawrence/status/994522882087759872", "994522882087759872")</f>
        <v/>
      </c>
      <c r="B772" s="2" t="n">
        <v>43230.43179398148</v>
      </c>
      <c r="C772" t="n">
        <v>0</v>
      </c>
      <c r="D772" t="n">
        <v>3</v>
      </c>
      <c r="E772" t="s">
        <v>778</v>
      </c>
      <c r="F772" t="s"/>
      <c r="G772" t="s"/>
      <c r="H772" t="s"/>
      <c r="I772" t="s"/>
      <c r="J772" t="n">
        <v>-0.3987</v>
      </c>
      <c r="K772" t="n">
        <v>0.161</v>
      </c>
      <c r="L772" t="n">
        <v>0.839</v>
      </c>
      <c r="M772" t="n">
        <v>0</v>
      </c>
    </row>
    <row r="773" spans="1:13">
      <c r="A773" s="1">
        <f>HYPERLINK("http://www.twitter.com/NathanBLawrence/status/994500432977387520", "994500432977387520")</f>
        <v/>
      </c>
      <c r="B773" s="2" t="n">
        <v>43230.36983796296</v>
      </c>
      <c r="C773" t="n">
        <v>0</v>
      </c>
      <c r="D773" t="n">
        <v>1</v>
      </c>
      <c r="E773" t="s">
        <v>779</v>
      </c>
      <c r="F773" t="s"/>
      <c r="G773" t="s"/>
      <c r="H773" t="s"/>
      <c r="I773" t="s"/>
      <c r="J773" t="n">
        <v>0.2732</v>
      </c>
      <c r="K773" t="n">
        <v>0.061</v>
      </c>
      <c r="L773" t="n">
        <v>0.83</v>
      </c>
      <c r="M773" t="n">
        <v>0.109</v>
      </c>
    </row>
    <row r="774" spans="1:13">
      <c r="A774" s="1">
        <f>HYPERLINK("http://www.twitter.com/NathanBLawrence/status/994500416443469825", "994500416443469825")</f>
        <v/>
      </c>
      <c r="B774" s="2" t="n">
        <v>43230.36979166666</v>
      </c>
      <c r="C774" t="n">
        <v>1</v>
      </c>
      <c r="D774" t="n">
        <v>1</v>
      </c>
      <c r="E774" t="s">
        <v>780</v>
      </c>
      <c r="F774" t="s"/>
      <c r="G774" t="s"/>
      <c r="H774" t="s"/>
      <c r="I774" t="s"/>
      <c r="J774" t="n">
        <v>0.2732</v>
      </c>
      <c r="K774" t="n">
        <v>0.064</v>
      </c>
      <c r="L774" t="n">
        <v>0.822</v>
      </c>
      <c r="M774" t="n">
        <v>0.114</v>
      </c>
    </row>
    <row r="775" spans="1:13">
      <c r="A775" s="1">
        <f>HYPERLINK("http://www.twitter.com/NathanBLawrence/status/994499374658048000", "994499374658048000")</f>
        <v/>
      </c>
      <c r="B775" s="2" t="n">
        <v>43230.3669212963</v>
      </c>
      <c r="C775" t="n">
        <v>0</v>
      </c>
      <c r="D775" t="n">
        <v>2</v>
      </c>
      <c r="E775" t="s">
        <v>781</v>
      </c>
      <c r="F775" t="s"/>
      <c r="G775" t="s"/>
      <c r="H775" t="s"/>
      <c r="I775" t="s"/>
      <c r="J775" t="n">
        <v>0.5719</v>
      </c>
      <c r="K775" t="n">
        <v>0.062</v>
      </c>
      <c r="L775" t="n">
        <v>0.756</v>
      </c>
      <c r="M775" t="n">
        <v>0.182</v>
      </c>
    </row>
    <row r="776" spans="1:13">
      <c r="A776" s="1">
        <f>HYPERLINK("http://www.twitter.com/NathanBLawrence/status/994420953294753792", "994420953294753792")</f>
        <v/>
      </c>
      <c r="B776" s="2" t="n">
        <v>43230.15052083333</v>
      </c>
      <c r="C776" t="n">
        <v>0</v>
      </c>
      <c r="D776" t="n">
        <v>13</v>
      </c>
      <c r="E776" t="s">
        <v>782</v>
      </c>
      <c r="F776">
        <f>HYPERLINK("http://pbs.twimg.com/media/DcsfDHuU8AE-h6k.jpg", "http://pbs.twimg.com/media/DcsfDHuU8AE-h6k.jpg")</f>
        <v/>
      </c>
      <c r="G776" t="s"/>
      <c r="H776" t="s"/>
      <c r="I776" t="s"/>
      <c r="J776" t="n">
        <v>-0.6908</v>
      </c>
      <c r="K776" t="n">
        <v>0.231</v>
      </c>
      <c r="L776" t="n">
        <v>0.769</v>
      </c>
      <c r="M776" t="n">
        <v>0</v>
      </c>
    </row>
    <row r="777" spans="1:13">
      <c r="A777" s="1">
        <f>HYPERLINK("http://www.twitter.com/NathanBLawrence/status/994411159091646464", "994411159091646464")</f>
        <v/>
      </c>
      <c r="B777" s="2" t="n">
        <v>43230.12349537037</v>
      </c>
      <c r="C777" t="n">
        <v>0</v>
      </c>
      <c r="D777" t="n">
        <v>0</v>
      </c>
      <c r="E777" t="s">
        <v>783</v>
      </c>
      <c r="F777" t="s"/>
      <c r="G777" t="s"/>
      <c r="H777" t="s"/>
      <c r="I777" t="s"/>
      <c r="J777" t="n">
        <v>0.5719</v>
      </c>
      <c r="K777" t="n">
        <v>0</v>
      </c>
      <c r="L777" t="n">
        <v>0.911</v>
      </c>
      <c r="M777" t="n">
        <v>0.089</v>
      </c>
    </row>
    <row r="778" spans="1:13">
      <c r="A778" s="1">
        <f>HYPERLINK("http://www.twitter.com/NathanBLawrence/status/994403631989444608", "994403631989444608")</f>
        <v/>
      </c>
      <c r="B778" s="2" t="n">
        <v>43230.10271990741</v>
      </c>
      <c r="C778" t="n">
        <v>0</v>
      </c>
      <c r="D778" t="n">
        <v>0</v>
      </c>
      <c r="E778" t="s">
        <v>784</v>
      </c>
      <c r="F778" t="s"/>
      <c r="G778" t="s"/>
      <c r="H778" t="s"/>
      <c r="I778" t="s"/>
      <c r="J778" t="n">
        <v>-0.5302</v>
      </c>
      <c r="K778" t="n">
        <v>0.147</v>
      </c>
      <c r="L778" t="n">
        <v>0.796</v>
      </c>
      <c r="M778" t="n">
        <v>0.057</v>
      </c>
    </row>
    <row r="779" spans="1:13">
      <c r="A779" s="1">
        <f>HYPERLINK("http://www.twitter.com/NathanBLawrence/status/994395939648524288", "994395939648524288")</f>
        <v/>
      </c>
      <c r="B779" s="2" t="n">
        <v>43230.08149305556</v>
      </c>
      <c r="C779" t="n">
        <v>0</v>
      </c>
      <c r="D779" t="n">
        <v>1</v>
      </c>
      <c r="E779" t="s">
        <v>785</v>
      </c>
      <c r="F779" t="s"/>
      <c r="G779" t="s"/>
      <c r="H779" t="s"/>
      <c r="I779" t="s"/>
      <c r="J779" t="n">
        <v>0</v>
      </c>
      <c r="K779" t="n">
        <v>0</v>
      </c>
      <c r="L779" t="n">
        <v>1</v>
      </c>
      <c r="M779" t="n">
        <v>0</v>
      </c>
    </row>
    <row r="780" spans="1:13">
      <c r="A780" s="1">
        <f>HYPERLINK("http://www.twitter.com/NathanBLawrence/status/994395862498504704", "994395862498504704")</f>
        <v/>
      </c>
      <c r="B780" s="2" t="n">
        <v>43230.08128472222</v>
      </c>
      <c r="C780" t="n">
        <v>0</v>
      </c>
      <c r="D780" t="n">
        <v>1</v>
      </c>
      <c r="E780" t="s">
        <v>786</v>
      </c>
      <c r="F780" t="s"/>
      <c r="G780" t="s"/>
      <c r="H780" t="s"/>
      <c r="I780" t="s"/>
      <c r="J780" t="n">
        <v>0</v>
      </c>
      <c r="K780" t="n">
        <v>0</v>
      </c>
      <c r="L780" t="n">
        <v>1</v>
      </c>
      <c r="M780" t="n">
        <v>0</v>
      </c>
    </row>
    <row r="781" spans="1:13">
      <c r="A781" s="1">
        <f>HYPERLINK("http://www.twitter.com/NathanBLawrence/status/994389077645512704", "994389077645512704")</f>
        <v/>
      </c>
      <c r="B781" s="2" t="n">
        <v>43230.06255787037</v>
      </c>
      <c r="C781" t="n">
        <v>0</v>
      </c>
      <c r="D781" t="n">
        <v>1</v>
      </c>
      <c r="E781" t="s">
        <v>787</v>
      </c>
      <c r="F781" t="s"/>
      <c r="G781" t="s"/>
      <c r="H781" t="s"/>
      <c r="I781" t="s"/>
      <c r="J781" t="n">
        <v>-0.6597</v>
      </c>
      <c r="K781" t="n">
        <v>0.306</v>
      </c>
      <c r="L781" t="n">
        <v>0.605</v>
      </c>
      <c r="M781" t="n">
        <v>0.089</v>
      </c>
    </row>
    <row r="782" spans="1:13">
      <c r="A782" s="1">
        <f>HYPERLINK("http://www.twitter.com/NathanBLawrence/status/994389036348399616", "994389036348399616")</f>
        <v/>
      </c>
      <c r="B782" s="2" t="n">
        <v>43230.06244212963</v>
      </c>
      <c r="C782" t="n">
        <v>1</v>
      </c>
      <c r="D782" t="n">
        <v>1</v>
      </c>
      <c r="E782" t="s">
        <v>788</v>
      </c>
      <c r="F782" t="s"/>
      <c r="G782" t="s"/>
      <c r="H782" t="s"/>
      <c r="I782" t="s"/>
      <c r="J782" t="n">
        <v>-0.6597</v>
      </c>
      <c r="K782" t="n">
        <v>0.333</v>
      </c>
      <c r="L782" t="n">
        <v>0.57</v>
      </c>
      <c r="M782" t="n">
        <v>0.096</v>
      </c>
    </row>
    <row r="783" spans="1:13">
      <c r="A783" s="1">
        <f>HYPERLINK("http://www.twitter.com/NathanBLawrence/status/994383589310640128", "994383589310640128")</f>
        <v/>
      </c>
      <c r="B783" s="2" t="n">
        <v>43230.04741898148</v>
      </c>
      <c r="C783" t="n">
        <v>1</v>
      </c>
      <c r="D783" t="n">
        <v>0</v>
      </c>
      <c r="E783" t="s">
        <v>789</v>
      </c>
      <c r="F783" t="s"/>
      <c r="G783" t="s"/>
      <c r="H783" t="s"/>
      <c r="I783" t="s"/>
      <c r="J783" t="n">
        <v>0.2057</v>
      </c>
      <c r="K783" t="n">
        <v>0</v>
      </c>
      <c r="L783" t="n">
        <v>0.832</v>
      </c>
      <c r="M783" t="n">
        <v>0.168</v>
      </c>
    </row>
    <row r="784" spans="1:13">
      <c r="A784" s="1">
        <f>HYPERLINK("http://www.twitter.com/NathanBLawrence/status/994383260623998981", "994383260623998981")</f>
        <v/>
      </c>
      <c r="B784" s="2" t="n">
        <v>43230.04650462963</v>
      </c>
      <c r="C784" t="n">
        <v>0</v>
      </c>
      <c r="D784" t="n">
        <v>1</v>
      </c>
      <c r="E784" t="s">
        <v>790</v>
      </c>
      <c r="F784" t="s"/>
      <c r="G784" t="s"/>
      <c r="H784" t="s"/>
      <c r="I784" t="s"/>
      <c r="J784" t="n">
        <v>-0.6369</v>
      </c>
      <c r="K784" t="n">
        <v>0.33</v>
      </c>
      <c r="L784" t="n">
        <v>0.6</v>
      </c>
      <c r="M784" t="n">
        <v>0.07000000000000001</v>
      </c>
    </row>
    <row r="785" spans="1:13">
      <c r="A785" s="1">
        <f>HYPERLINK("http://www.twitter.com/NathanBLawrence/status/994381328962420736", "994381328962420736")</f>
        <v/>
      </c>
      <c r="B785" s="2" t="n">
        <v>43230.04118055556</v>
      </c>
      <c r="C785" t="n">
        <v>0</v>
      </c>
      <c r="D785" t="n">
        <v>1</v>
      </c>
      <c r="E785" t="s">
        <v>791</v>
      </c>
      <c r="F785" t="s"/>
      <c r="G785" t="s"/>
      <c r="H785" t="s"/>
      <c r="I785" t="s"/>
      <c r="J785" t="n">
        <v>0</v>
      </c>
      <c r="K785" t="n">
        <v>0</v>
      </c>
      <c r="L785" t="n">
        <v>1</v>
      </c>
      <c r="M785" t="n">
        <v>0</v>
      </c>
    </row>
    <row r="786" spans="1:13">
      <c r="A786" s="1">
        <f>HYPERLINK("http://www.twitter.com/NathanBLawrence/status/994381286566432768", "994381286566432768")</f>
        <v/>
      </c>
      <c r="B786" s="2" t="n">
        <v>43230.04106481482</v>
      </c>
      <c r="C786" t="n">
        <v>1</v>
      </c>
      <c r="D786" t="n">
        <v>1</v>
      </c>
      <c r="E786" t="s">
        <v>792</v>
      </c>
      <c r="F786" t="s"/>
      <c r="G786" t="s"/>
      <c r="H786" t="s"/>
      <c r="I786" t="s"/>
      <c r="J786" t="n">
        <v>0</v>
      </c>
      <c r="K786" t="n">
        <v>0</v>
      </c>
      <c r="L786" t="n">
        <v>1</v>
      </c>
      <c r="M786" t="n">
        <v>0</v>
      </c>
    </row>
    <row r="787" spans="1:13">
      <c r="A787" s="1">
        <f>HYPERLINK("http://www.twitter.com/NathanBLawrence/status/994378054377050112", "994378054377050112")</f>
        <v/>
      </c>
      <c r="B787" s="2" t="n">
        <v>43230.0321412037</v>
      </c>
      <c r="C787" t="n">
        <v>0</v>
      </c>
      <c r="D787" t="n">
        <v>8</v>
      </c>
      <c r="E787" t="s">
        <v>793</v>
      </c>
      <c r="F787" t="s"/>
      <c r="G787" t="s"/>
      <c r="H787" t="s"/>
      <c r="I787" t="s"/>
      <c r="J787" t="n">
        <v>0</v>
      </c>
      <c r="K787" t="n">
        <v>0</v>
      </c>
      <c r="L787" t="n">
        <v>1</v>
      </c>
      <c r="M787" t="n">
        <v>0</v>
      </c>
    </row>
    <row r="788" spans="1:13">
      <c r="A788" s="1">
        <f>HYPERLINK("http://www.twitter.com/NathanBLawrence/status/994377832678731776", "994377832678731776")</f>
        <v/>
      </c>
      <c r="B788" s="2" t="n">
        <v>43230.03152777778</v>
      </c>
      <c r="C788" t="n">
        <v>0</v>
      </c>
      <c r="D788" t="n">
        <v>1</v>
      </c>
      <c r="E788" t="s">
        <v>794</v>
      </c>
      <c r="F788" t="s"/>
      <c r="G788" t="s"/>
      <c r="H788" t="s"/>
      <c r="I788" t="s"/>
      <c r="J788" t="n">
        <v>-0.1531</v>
      </c>
      <c r="K788" t="n">
        <v>0.07099999999999999</v>
      </c>
      <c r="L788" t="n">
        <v>0.929</v>
      </c>
      <c r="M788" t="n">
        <v>0</v>
      </c>
    </row>
    <row r="789" spans="1:13">
      <c r="A789" s="1">
        <f>HYPERLINK("http://www.twitter.com/NathanBLawrence/status/994377729595322368", "994377729595322368")</f>
        <v/>
      </c>
      <c r="B789" s="2" t="n">
        <v>43230.03125</v>
      </c>
      <c r="C789" t="n">
        <v>1</v>
      </c>
      <c r="D789" t="n">
        <v>1</v>
      </c>
      <c r="E789" t="s">
        <v>795</v>
      </c>
      <c r="F789" t="s"/>
      <c r="G789" t="s"/>
      <c r="H789" t="s"/>
      <c r="I789" t="s"/>
      <c r="J789" t="n">
        <v>-0.8126</v>
      </c>
      <c r="K789" t="n">
        <v>0.203</v>
      </c>
      <c r="L789" t="n">
        <v>0.797</v>
      </c>
      <c r="M789" t="n">
        <v>0</v>
      </c>
    </row>
    <row r="790" spans="1:13">
      <c r="A790" s="1">
        <f>HYPERLINK("http://www.twitter.com/NathanBLawrence/status/994374820568686593", "994374820568686593")</f>
        <v/>
      </c>
      <c r="B790" s="2" t="n">
        <v>43230.02321759259</v>
      </c>
      <c r="C790" t="n">
        <v>0</v>
      </c>
      <c r="D790" t="n">
        <v>2</v>
      </c>
      <c r="E790" t="s">
        <v>796</v>
      </c>
      <c r="F790" t="s"/>
      <c r="G790" t="s"/>
      <c r="H790" t="s"/>
      <c r="I790" t="s"/>
      <c r="J790" t="n">
        <v>-0.3612</v>
      </c>
      <c r="K790" t="n">
        <v>0.143</v>
      </c>
      <c r="L790" t="n">
        <v>0.857</v>
      </c>
      <c r="M790" t="n">
        <v>0</v>
      </c>
    </row>
    <row r="791" spans="1:13">
      <c r="A791" s="1">
        <f>HYPERLINK("http://www.twitter.com/NathanBLawrence/status/994374778298556418", "994374778298556418")</f>
        <v/>
      </c>
      <c r="B791" s="2" t="n">
        <v>43230.02310185185</v>
      </c>
      <c r="C791" t="n">
        <v>1</v>
      </c>
      <c r="D791" t="n">
        <v>2</v>
      </c>
      <c r="E791" t="s">
        <v>797</v>
      </c>
      <c r="F791" t="s"/>
      <c r="G791" t="s"/>
      <c r="H791" t="s"/>
      <c r="I791" t="s"/>
      <c r="J791" t="n">
        <v>-0.3612</v>
      </c>
      <c r="K791" t="n">
        <v>0.161</v>
      </c>
      <c r="L791" t="n">
        <v>0.839</v>
      </c>
      <c r="M791" t="n">
        <v>0</v>
      </c>
    </row>
    <row r="792" spans="1:13">
      <c r="A792" s="1">
        <f>HYPERLINK("http://www.twitter.com/NathanBLawrence/status/994369156177899521", "994369156177899521")</f>
        <v/>
      </c>
      <c r="B792" s="2" t="n">
        <v>43230.00758101852</v>
      </c>
      <c r="C792" t="n">
        <v>0</v>
      </c>
      <c r="D792" t="n">
        <v>2</v>
      </c>
      <c r="E792" t="s">
        <v>798</v>
      </c>
      <c r="F792" t="s"/>
      <c r="G792" t="s"/>
      <c r="H792" t="s"/>
      <c r="I792" t="s"/>
      <c r="J792" t="n">
        <v>0</v>
      </c>
      <c r="K792" t="n">
        <v>0</v>
      </c>
      <c r="L792" t="n">
        <v>1</v>
      </c>
      <c r="M792" t="n">
        <v>0</v>
      </c>
    </row>
    <row r="793" spans="1:13">
      <c r="A793" s="1">
        <f>HYPERLINK("http://www.twitter.com/NathanBLawrence/status/994368824618176513", "994368824618176513")</f>
        <v/>
      </c>
      <c r="B793" s="2" t="n">
        <v>43230.00666666667</v>
      </c>
      <c r="C793" t="n">
        <v>0</v>
      </c>
      <c r="D793" t="n">
        <v>2</v>
      </c>
      <c r="E793" t="s">
        <v>799</v>
      </c>
      <c r="F793" t="s"/>
      <c r="G793" t="s"/>
      <c r="H793" t="s"/>
      <c r="I793" t="s"/>
      <c r="J793" t="n">
        <v>0</v>
      </c>
      <c r="K793" t="n">
        <v>0</v>
      </c>
      <c r="L793" t="n">
        <v>1</v>
      </c>
      <c r="M793" t="n">
        <v>0</v>
      </c>
    </row>
    <row r="794" spans="1:13">
      <c r="A794" s="1">
        <f>HYPERLINK("http://www.twitter.com/NathanBLawrence/status/994368674818600960", "994368674818600960")</f>
        <v/>
      </c>
      <c r="B794" s="2" t="n">
        <v>43230.00626157408</v>
      </c>
      <c r="C794" t="n">
        <v>2</v>
      </c>
      <c r="D794" t="n">
        <v>2</v>
      </c>
      <c r="E794" t="s">
        <v>800</v>
      </c>
      <c r="F794" t="s"/>
      <c r="G794" t="s"/>
      <c r="H794" t="s"/>
      <c r="I794" t="s"/>
      <c r="J794" t="n">
        <v>0</v>
      </c>
      <c r="K794" t="n">
        <v>0</v>
      </c>
      <c r="L794" t="n">
        <v>1</v>
      </c>
      <c r="M794" t="n">
        <v>0</v>
      </c>
    </row>
    <row r="795" spans="1:13">
      <c r="A795" s="1">
        <f>HYPERLINK("http://www.twitter.com/NathanBLawrence/status/994366912460214275", "994366912460214275")</f>
        <v/>
      </c>
      <c r="B795" s="2" t="n">
        <v>43230.00140046296</v>
      </c>
      <c r="C795" t="n">
        <v>0</v>
      </c>
      <c r="D795" t="n">
        <v>4</v>
      </c>
      <c r="E795" t="s">
        <v>801</v>
      </c>
      <c r="F795">
        <f>HYPERLINK("http://pbs.twimg.com/media/Dcyy72LX0AAydTu.jpg", "http://pbs.twimg.com/media/Dcyy72LX0AAydTu.jpg")</f>
        <v/>
      </c>
      <c r="G795">
        <f>HYPERLINK("http://pbs.twimg.com/media/DcyzRZ6WkAUXf8n.jpg", "http://pbs.twimg.com/media/DcyzRZ6WkAUXf8n.jpg")</f>
        <v/>
      </c>
      <c r="H795">
        <f>HYPERLINK("http://pbs.twimg.com/media/DcyzWObX0AcqcAe.jpg", "http://pbs.twimg.com/media/DcyzWObX0AcqcAe.jpg")</f>
        <v/>
      </c>
      <c r="I795" t="s"/>
      <c r="J795" t="n">
        <v>0.0516</v>
      </c>
      <c r="K795" t="n">
        <v>0</v>
      </c>
      <c r="L795" t="n">
        <v>0.948</v>
      </c>
      <c r="M795" t="n">
        <v>0.052</v>
      </c>
    </row>
    <row r="796" spans="1:13">
      <c r="A796" s="1">
        <f>HYPERLINK("http://www.twitter.com/NathanBLawrence/status/994366885109084160", "994366885109084160")</f>
        <v/>
      </c>
      <c r="B796" s="2" t="n">
        <v>43230.00131944445</v>
      </c>
      <c r="C796" t="n">
        <v>4</v>
      </c>
      <c r="D796" t="n">
        <v>4</v>
      </c>
      <c r="E796" t="s">
        <v>802</v>
      </c>
      <c r="F796">
        <f>HYPERLINK("http://pbs.twimg.com/media/Dcyy72LX0AAydTu.jpg", "http://pbs.twimg.com/media/Dcyy72LX0AAydTu.jpg")</f>
        <v/>
      </c>
      <c r="G796">
        <f>HYPERLINK("http://pbs.twimg.com/media/DcyzRZ6WkAUXf8n.jpg", "http://pbs.twimg.com/media/DcyzRZ6WkAUXf8n.jpg")</f>
        <v/>
      </c>
      <c r="H796">
        <f>HYPERLINK("http://pbs.twimg.com/media/DcyzWObX0AcqcAe.jpg", "http://pbs.twimg.com/media/DcyzWObX0AcqcAe.jpg")</f>
        <v/>
      </c>
      <c r="I796" t="s"/>
      <c r="J796" t="n">
        <v>0.0516</v>
      </c>
      <c r="K796" t="n">
        <v>0</v>
      </c>
      <c r="L796" t="n">
        <v>0.963</v>
      </c>
      <c r="M796" t="n">
        <v>0.037</v>
      </c>
    </row>
    <row r="797" spans="1:13">
      <c r="A797" s="1">
        <f>HYPERLINK("http://www.twitter.com/NathanBLawrence/status/994364754725613568", "994364754725613568")</f>
        <v/>
      </c>
      <c r="B797" s="2" t="n">
        <v>43229.99543981482</v>
      </c>
      <c r="C797" t="n">
        <v>0</v>
      </c>
      <c r="D797" t="n">
        <v>3</v>
      </c>
      <c r="E797" t="s">
        <v>803</v>
      </c>
      <c r="F797">
        <f>HYPERLINK("http://pbs.twimg.com/media/DcyxO_-WkAAWxOc.jpg", "http://pbs.twimg.com/media/DcyxO_-WkAAWxOc.jpg")</f>
        <v/>
      </c>
      <c r="G797" t="s"/>
      <c r="H797" t="s"/>
      <c r="I797" t="s"/>
      <c r="J797" t="n">
        <v>0</v>
      </c>
      <c r="K797" t="n">
        <v>0</v>
      </c>
      <c r="L797" t="n">
        <v>1</v>
      </c>
      <c r="M797" t="n">
        <v>0</v>
      </c>
    </row>
    <row r="798" spans="1:13">
      <c r="A798" s="1">
        <f>HYPERLINK("http://www.twitter.com/NathanBLawrence/status/994364523216883712", "994364523216883712")</f>
        <v/>
      </c>
      <c r="B798" s="2" t="n">
        <v>43229.99480324074</v>
      </c>
      <c r="C798" t="n">
        <v>0</v>
      </c>
      <c r="D798" t="n">
        <v>2</v>
      </c>
      <c r="E798" t="s">
        <v>804</v>
      </c>
      <c r="F798" t="s"/>
      <c r="G798" t="s"/>
      <c r="H798" t="s"/>
      <c r="I798" t="s"/>
      <c r="J798" t="n">
        <v>0</v>
      </c>
      <c r="K798" t="n">
        <v>0</v>
      </c>
      <c r="L798" t="n">
        <v>1</v>
      </c>
      <c r="M798" t="n">
        <v>0</v>
      </c>
    </row>
    <row r="799" spans="1:13">
      <c r="A799" s="1">
        <f>HYPERLINK("http://www.twitter.com/NathanBLawrence/status/994359733665624065", "994359733665624065")</f>
        <v/>
      </c>
      <c r="B799" s="2" t="n">
        <v>43229.98158564815</v>
      </c>
      <c r="C799" t="n">
        <v>0</v>
      </c>
      <c r="D799" t="n">
        <v>2</v>
      </c>
      <c r="E799" t="s">
        <v>805</v>
      </c>
      <c r="F799">
        <f>HYPERLINK("http://pbs.twimg.com/media/Dcym4F7U8AE6owk.jpg", "http://pbs.twimg.com/media/Dcym4F7U8AE6owk.jpg")</f>
        <v/>
      </c>
      <c r="G799" t="s"/>
      <c r="H799" t="s"/>
      <c r="I799" t="s"/>
      <c r="J799" t="n">
        <v>0</v>
      </c>
      <c r="K799" t="n">
        <v>0</v>
      </c>
      <c r="L799" t="n">
        <v>1</v>
      </c>
      <c r="M799" t="n">
        <v>0</v>
      </c>
    </row>
    <row r="800" spans="1:13">
      <c r="A800" s="1">
        <f>HYPERLINK("http://www.twitter.com/NathanBLawrence/status/994359721820860416", "994359721820860416")</f>
        <v/>
      </c>
      <c r="B800" s="2" t="n">
        <v>43229.98155092593</v>
      </c>
      <c r="C800" t="n">
        <v>0</v>
      </c>
      <c r="D800" t="n">
        <v>1</v>
      </c>
      <c r="E800" t="s">
        <v>806</v>
      </c>
      <c r="F800" t="s"/>
      <c r="G800" t="s"/>
      <c r="H800" t="s"/>
      <c r="I800" t="s"/>
      <c r="J800" t="n">
        <v>-0.8016</v>
      </c>
      <c r="K800" t="n">
        <v>0.288</v>
      </c>
      <c r="L800" t="n">
        <v>0.629</v>
      </c>
      <c r="M800" t="n">
        <v>0.083</v>
      </c>
    </row>
    <row r="801" spans="1:13">
      <c r="A801" s="1">
        <f>HYPERLINK("http://www.twitter.com/NathanBLawrence/status/994359694176243715", "994359694176243715")</f>
        <v/>
      </c>
      <c r="B801" s="2" t="n">
        <v>43229.98148148148</v>
      </c>
      <c r="C801" t="n">
        <v>0</v>
      </c>
      <c r="D801" t="n">
        <v>1</v>
      </c>
      <c r="E801" t="s">
        <v>807</v>
      </c>
      <c r="F801" t="s"/>
      <c r="G801" t="s"/>
      <c r="H801" t="s"/>
      <c r="I801" t="s"/>
      <c r="J801" t="n">
        <v>-0.8016</v>
      </c>
      <c r="K801" t="n">
        <v>0.224</v>
      </c>
      <c r="L801" t="n">
        <v>0.711</v>
      </c>
      <c r="M801" t="n">
        <v>0.064</v>
      </c>
    </row>
    <row r="802" spans="1:13">
      <c r="A802" s="1">
        <f>HYPERLINK("http://www.twitter.com/NathanBLawrence/status/994359237806645248", "994359237806645248")</f>
        <v/>
      </c>
      <c r="B802" s="2" t="n">
        <v>43229.9802199074</v>
      </c>
      <c r="C802" t="n">
        <v>0</v>
      </c>
      <c r="D802" t="n">
        <v>2</v>
      </c>
      <c r="E802" t="s">
        <v>808</v>
      </c>
      <c r="F802" t="s"/>
      <c r="G802" t="s"/>
      <c r="H802" t="s"/>
      <c r="I802" t="s"/>
      <c r="J802" t="n">
        <v>-0.6239</v>
      </c>
      <c r="K802" t="n">
        <v>0.214</v>
      </c>
      <c r="L802" t="n">
        <v>0.786</v>
      </c>
      <c r="M802" t="n">
        <v>0</v>
      </c>
    </row>
    <row r="803" spans="1:13">
      <c r="A803" s="1">
        <f>HYPERLINK("http://www.twitter.com/NathanBLawrence/status/994359223705358337", "994359223705358337")</f>
        <v/>
      </c>
      <c r="B803" s="2" t="n">
        <v>43229.98017361111</v>
      </c>
      <c r="C803" t="n">
        <v>0</v>
      </c>
      <c r="D803" t="n">
        <v>1</v>
      </c>
      <c r="E803" t="s">
        <v>809</v>
      </c>
      <c r="F803">
        <f>HYPERLINK("http://pbs.twimg.com/media/DcyaIUfWkAAql0f.jpg", "http://pbs.twimg.com/media/DcyaIUfWkAAql0f.jpg")</f>
        <v/>
      </c>
      <c r="G803" t="s"/>
      <c r="H803" t="s"/>
      <c r="I803" t="s"/>
      <c r="J803" t="n">
        <v>-0.4404</v>
      </c>
      <c r="K803" t="n">
        <v>0.209</v>
      </c>
      <c r="L803" t="n">
        <v>0.667</v>
      </c>
      <c r="M803" t="n">
        <v>0.124</v>
      </c>
    </row>
    <row r="804" spans="1:13">
      <c r="A804" s="1">
        <f>HYPERLINK("http://www.twitter.com/NathanBLawrence/status/994359157296910336", "994359157296910336")</f>
        <v/>
      </c>
      <c r="B804" s="2" t="n">
        <v>43229.98</v>
      </c>
      <c r="C804" t="n">
        <v>1</v>
      </c>
      <c r="D804" t="n">
        <v>2</v>
      </c>
      <c r="E804" t="s">
        <v>810</v>
      </c>
      <c r="F804" t="s"/>
      <c r="G804" t="s"/>
      <c r="H804" t="s"/>
      <c r="I804" t="s"/>
      <c r="J804" t="n">
        <v>-0.6239</v>
      </c>
      <c r="K804" t="n">
        <v>0.239</v>
      </c>
      <c r="L804" t="n">
        <v>0.761</v>
      </c>
      <c r="M804" t="n">
        <v>0</v>
      </c>
    </row>
    <row r="805" spans="1:13">
      <c r="A805" s="1">
        <f>HYPERLINK("http://www.twitter.com/NathanBLawrence/status/994358457766641664", "994358457766641664")</f>
        <v/>
      </c>
      <c r="B805" s="2" t="n">
        <v>43229.97806712963</v>
      </c>
      <c r="C805" t="n">
        <v>0</v>
      </c>
      <c r="D805" t="n">
        <v>1</v>
      </c>
      <c r="E805" t="s">
        <v>811</v>
      </c>
      <c r="F805" t="s"/>
      <c r="G805" t="s"/>
      <c r="H805" t="s"/>
      <c r="I805" t="s"/>
      <c r="J805" t="n">
        <v>-0.8016</v>
      </c>
      <c r="K805" t="n">
        <v>0.288</v>
      </c>
      <c r="L805" t="n">
        <v>0.629</v>
      </c>
      <c r="M805" t="n">
        <v>0.083</v>
      </c>
    </row>
    <row r="806" spans="1:13">
      <c r="A806" s="1">
        <f>HYPERLINK("http://www.twitter.com/NathanBLawrence/status/994358430805700608", "994358430805700608")</f>
        <v/>
      </c>
      <c r="B806" s="2" t="n">
        <v>43229.97798611111</v>
      </c>
      <c r="C806" t="n">
        <v>0</v>
      </c>
      <c r="D806" t="n">
        <v>1</v>
      </c>
      <c r="E806" t="s">
        <v>812</v>
      </c>
      <c r="F806" t="s"/>
      <c r="G806" t="s"/>
      <c r="H806" t="s"/>
      <c r="I806" t="s"/>
      <c r="J806" t="n">
        <v>-0.8016</v>
      </c>
      <c r="K806" t="n">
        <v>0.21</v>
      </c>
      <c r="L806" t="n">
        <v>0.729</v>
      </c>
      <c r="M806" t="n">
        <v>0.06</v>
      </c>
    </row>
    <row r="807" spans="1:13">
      <c r="A807" s="1">
        <f>HYPERLINK("http://www.twitter.com/NathanBLawrence/status/994345725340332032", "994345725340332032")</f>
        <v/>
      </c>
      <c r="B807" s="2" t="n">
        <v>43229.94292824074</v>
      </c>
      <c r="C807" t="n">
        <v>0</v>
      </c>
      <c r="D807" t="n">
        <v>18</v>
      </c>
      <c r="E807" t="s">
        <v>813</v>
      </c>
      <c r="F807" t="s"/>
      <c r="G807" t="s"/>
      <c r="H807" t="s"/>
      <c r="I807" t="s"/>
      <c r="J807" t="n">
        <v>0</v>
      </c>
      <c r="K807" t="n">
        <v>0</v>
      </c>
      <c r="L807" t="n">
        <v>1</v>
      </c>
      <c r="M807" t="n">
        <v>0</v>
      </c>
    </row>
    <row r="808" spans="1:13">
      <c r="A808" s="1">
        <f>HYPERLINK("http://www.twitter.com/NathanBLawrence/status/994345677751808001", "994345677751808001")</f>
        <v/>
      </c>
      <c r="B808" s="2" t="n">
        <v>43229.94280092593</v>
      </c>
      <c r="C808" t="n">
        <v>0</v>
      </c>
      <c r="D808" t="n">
        <v>4</v>
      </c>
      <c r="E808" t="s">
        <v>814</v>
      </c>
      <c r="F808" t="s"/>
      <c r="G808" t="s"/>
      <c r="H808" t="s"/>
      <c r="I808" t="s"/>
      <c r="J808" t="n">
        <v>0</v>
      </c>
      <c r="K808" t="n">
        <v>0</v>
      </c>
      <c r="L808" t="n">
        <v>1</v>
      </c>
      <c r="M808" t="n">
        <v>0</v>
      </c>
    </row>
    <row r="809" spans="1:13">
      <c r="A809" s="1">
        <f>HYPERLINK("http://www.twitter.com/NathanBLawrence/status/994345663818330115", "994345663818330115")</f>
        <v/>
      </c>
      <c r="B809" s="2" t="n">
        <v>43229.94275462963</v>
      </c>
      <c r="C809" t="n">
        <v>0</v>
      </c>
      <c r="D809" t="n">
        <v>1</v>
      </c>
      <c r="E809" t="s">
        <v>815</v>
      </c>
      <c r="F809" t="s"/>
      <c r="G809" t="s"/>
      <c r="H809" t="s"/>
      <c r="I809" t="s"/>
      <c r="J809" t="n">
        <v>0.4574</v>
      </c>
      <c r="K809" t="n">
        <v>0</v>
      </c>
      <c r="L809" t="n">
        <v>0.728</v>
      </c>
      <c r="M809" t="n">
        <v>0.272</v>
      </c>
    </row>
    <row r="810" spans="1:13">
      <c r="A810" s="1">
        <f>HYPERLINK("http://www.twitter.com/NathanBLawrence/status/994342657127276545", "994342657127276545")</f>
        <v/>
      </c>
      <c r="B810" s="2" t="n">
        <v>43229.93446759259</v>
      </c>
      <c r="C810" t="n">
        <v>0</v>
      </c>
      <c r="D810" t="n">
        <v>4</v>
      </c>
      <c r="E810" t="s">
        <v>816</v>
      </c>
      <c r="F810" t="s"/>
      <c r="G810" t="s"/>
      <c r="H810" t="s"/>
      <c r="I810" t="s"/>
      <c r="J810" t="n">
        <v>0.2263</v>
      </c>
      <c r="K810" t="n">
        <v>0</v>
      </c>
      <c r="L810" t="n">
        <v>0.929</v>
      </c>
      <c r="M810" t="n">
        <v>0.07099999999999999</v>
      </c>
    </row>
    <row r="811" spans="1:13">
      <c r="A811" s="1">
        <f>HYPERLINK("http://www.twitter.com/NathanBLawrence/status/994342574742700032", "994342574742700032")</f>
        <v/>
      </c>
      <c r="B811" s="2" t="n">
        <v>43229.93423611111</v>
      </c>
      <c r="C811" t="n">
        <v>8</v>
      </c>
      <c r="D811" t="n">
        <v>4</v>
      </c>
      <c r="E811" t="s">
        <v>817</v>
      </c>
      <c r="F811" t="s"/>
      <c r="G811" t="s"/>
      <c r="H811" t="s"/>
      <c r="I811" t="s"/>
      <c r="J811" t="n">
        <v>-0.0772</v>
      </c>
      <c r="K811" t="n">
        <v>0.08400000000000001</v>
      </c>
      <c r="L811" t="n">
        <v>0.843</v>
      </c>
      <c r="M811" t="n">
        <v>0.073</v>
      </c>
    </row>
    <row r="812" spans="1:13">
      <c r="A812" s="1">
        <f>HYPERLINK("http://www.twitter.com/NathanBLawrence/status/994340863256936453", "994340863256936453")</f>
        <v/>
      </c>
      <c r="B812" s="2" t="n">
        <v>43229.92951388889</v>
      </c>
      <c r="C812" t="n">
        <v>0</v>
      </c>
      <c r="D812" t="n">
        <v>1</v>
      </c>
      <c r="E812" t="s">
        <v>818</v>
      </c>
      <c r="F812" t="s"/>
      <c r="G812" t="s"/>
      <c r="H812" t="s"/>
      <c r="I812" t="s"/>
      <c r="J812" t="n">
        <v>0.2263</v>
      </c>
      <c r="K812" t="n">
        <v>0</v>
      </c>
      <c r="L812" t="n">
        <v>0.929</v>
      </c>
      <c r="M812" t="n">
        <v>0.07099999999999999</v>
      </c>
    </row>
    <row r="813" spans="1:13">
      <c r="A813" s="1">
        <f>HYPERLINK("http://www.twitter.com/NathanBLawrence/status/994340818508046368", "994340818508046368")</f>
        <v/>
      </c>
      <c r="B813" s="2" t="n">
        <v>43229.92938657408</v>
      </c>
      <c r="C813" t="n">
        <v>3</v>
      </c>
      <c r="D813" t="n">
        <v>1</v>
      </c>
      <c r="E813" t="s">
        <v>819</v>
      </c>
      <c r="F813" t="s"/>
      <c r="G813" t="s"/>
      <c r="H813" t="s"/>
      <c r="I813" t="s"/>
      <c r="J813" t="n">
        <v>-0.0772</v>
      </c>
      <c r="K813" t="n">
        <v>0.08400000000000001</v>
      </c>
      <c r="L813" t="n">
        <v>0.843</v>
      </c>
      <c r="M813" t="n">
        <v>0.073</v>
      </c>
    </row>
    <row r="814" spans="1:13">
      <c r="A814" s="1">
        <f>HYPERLINK("http://www.twitter.com/NathanBLawrence/status/994323063792599040", "994323063792599040")</f>
        <v/>
      </c>
      <c r="B814" s="2" t="n">
        <v>43229.88039351852</v>
      </c>
      <c r="C814" t="n">
        <v>0</v>
      </c>
      <c r="D814" t="n">
        <v>2</v>
      </c>
      <c r="E814" t="s">
        <v>820</v>
      </c>
      <c r="F814" t="s"/>
      <c r="G814" t="s"/>
      <c r="H814" t="s"/>
      <c r="I814" t="s"/>
      <c r="J814" t="n">
        <v>-0.4019</v>
      </c>
      <c r="K814" t="n">
        <v>0.13</v>
      </c>
      <c r="L814" t="n">
        <v>0.87</v>
      </c>
      <c r="M814" t="n">
        <v>0</v>
      </c>
    </row>
    <row r="815" spans="1:13">
      <c r="A815" s="1">
        <f>HYPERLINK("http://www.twitter.com/NathanBLawrence/status/994323043047694336", "994323043047694336")</f>
        <v/>
      </c>
      <c r="B815" s="2" t="n">
        <v>43229.88033564815</v>
      </c>
      <c r="C815" t="n">
        <v>1</v>
      </c>
      <c r="D815" t="n">
        <v>2</v>
      </c>
      <c r="E815" t="s">
        <v>821</v>
      </c>
      <c r="F815" t="s"/>
      <c r="G815" t="s"/>
      <c r="H815" t="s"/>
      <c r="I815" t="s"/>
      <c r="J815" t="n">
        <v>-0.4019</v>
      </c>
      <c r="K815" t="n">
        <v>0.144</v>
      </c>
      <c r="L815" t="n">
        <v>0.856</v>
      </c>
      <c r="M815" t="n">
        <v>0</v>
      </c>
    </row>
    <row r="816" spans="1:13">
      <c r="A816" s="1">
        <f>HYPERLINK("http://www.twitter.com/NathanBLawrence/status/994315244641095680", "994315244641095680")</f>
        <v/>
      </c>
      <c r="B816" s="2" t="n">
        <v>43229.85881944445</v>
      </c>
      <c r="C816" t="n">
        <v>0</v>
      </c>
      <c r="D816" t="n">
        <v>2</v>
      </c>
      <c r="E816" t="s">
        <v>822</v>
      </c>
      <c r="F816" t="s"/>
      <c r="G816" t="s"/>
      <c r="H816" t="s"/>
      <c r="I816" t="s"/>
      <c r="J816" t="n">
        <v>0</v>
      </c>
      <c r="K816" t="n">
        <v>0</v>
      </c>
      <c r="L816" t="n">
        <v>1</v>
      </c>
      <c r="M816" t="n">
        <v>0</v>
      </c>
    </row>
    <row r="817" spans="1:13">
      <c r="A817" s="1">
        <f>HYPERLINK("http://www.twitter.com/NathanBLawrence/status/994309768020942850", "994309768020942850")</f>
        <v/>
      </c>
      <c r="B817" s="2" t="n">
        <v>43229.8437037037</v>
      </c>
      <c r="C817" t="n">
        <v>0</v>
      </c>
      <c r="D817" t="n">
        <v>2</v>
      </c>
      <c r="E817" t="s">
        <v>823</v>
      </c>
      <c r="F817" t="s"/>
      <c r="G817" t="s"/>
      <c r="H817" t="s"/>
      <c r="I817" t="s"/>
      <c r="J817" t="n">
        <v>-0.6705</v>
      </c>
      <c r="K817" t="n">
        <v>0.297</v>
      </c>
      <c r="L817" t="n">
        <v>0.703</v>
      </c>
      <c r="M817" t="n">
        <v>0</v>
      </c>
    </row>
    <row r="818" spans="1:13">
      <c r="A818" s="1">
        <f>HYPERLINK("http://www.twitter.com/NathanBLawrence/status/994309745237549059", "994309745237549059")</f>
        <v/>
      </c>
      <c r="B818" s="2" t="n">
        <v>43229.84364583333</v>
      </c>
      <c r="C818" t="n">
        <v>3</v>
      </c>
      <c r="D818" t="n">
        <v>2</v>
      </c>
      <c r="E818" t="s">
        <v>824</v>
      </c>
      <c r="F818" t="s"/>
      <c r="G818" t="s"/>
      <c r="H818" t="s"/>
      <c r="I818" t="s"/>
      <c r="J818" t="n">
        <v>-0.6705</v>
      </c>
      <c r="K818" t="n">
        <v>0.333</v>
      </c>
      <c r="L818" t="n">
        <v>0.667</v>
      </c>
      <c r="M818" t="n">
        <v>0</v>
      </c>
    </row>
    <row r="819" spans="1:13">
      <c r="A819" s="1">
        <f>HYPERLINK("http://www.twitter.com/NathanBLawrence/status/994302781535215617", "994302781535215617")</f>
        <v/>
      </c>
      <c r="B819" s="2" t="n">
        <v>43229.82443287037</v>
      </c>
      <c r="C819" t="n">
        <v>0</v>
      </c>
      <c r="D819" t="n">
        <v>16</v>
      </c>
      <c r="E819" t="s">
        <v>825</v>
      </c>
      <c r="F819" t="s"/>
      <c r="G819" t="s"/>
      <c r="H819" t="s"/>
      <c r="I819" t="s"/>
      <c r="J819" t="n">
        <v>0.8168</v>
      </c>
      <c r="K819" t="n">
        <v>0.046</v>
      </c>
      <c r="L819" t="n">
        <v>0.66</v>
      </c>
      <c r="M819" t="n">
        <v>0.293</v>
      </c>
    </row>
    <row r="820" spans="1:13">
      <c r="A820" s="1">
        <f>HYPERLINK("http://www.twitter.com/NathanBLawrence/status/994302374264164353", "994302374264164353")</f>
        <v/>
      </c>
      <c r="B820" s="2" t="n">
        <v>43229.82329861111</v>
      </c>
      <c r="C820" t="n">
        <v>0</v>
      </c>
      <c r="D820" t="n">
        <v>1</v>
      </c>
      <c r="E820" t="s">
        <v>826</v>
      </c>
      <c r="F820" t="s"/>
      <c r="G820" t="s"/>
      <c r="H820" t="s"/>
      <c r="I820" t="s"/>
      <c r="J820" t="n">
        <v>0</v>
      </c>
      <c r="K820" t="n">
        <v>0</v>
      </c>
      <c r="L820" t="n">
        <v>1</v>
      </c>
      <c r="M820" t="n">
        <v>0</v>
      </c>
    </row>
    <row r="821" spans="1:13">
      <c r="A821" s="1">
        <f>HYPERLINK("http://www.twitter.com/NathanBLawrence/status/994291780060418053", "994291780060418053")</f>
        <v/>
      </c>
      <c r="B821" s="2" t="n">
        <v>43229.79407407407</v>
      </c>
      <c r="C821" t="n">
        <v>0</v>
      </c>
      <c r="D821" t="n">
        <v>4</v>
      </c>
      <c r="E821" t="s">
        <v>827</v>
      </c>
      <c r="F821" t="s"/>
      <c r="G821" t="s"/>
      <c r="H821" t="s"/>
      <c r="I821" t="s"/>
      <c r="J821" t="n">
        <v>0.2732</v>
      </c>
      <c r="K821" t="n">
        <v>0</v>
      </c>
      <c r="L821" t="n">
        <v>0.916</v>
      </c>
      <c r="M821" t="n">
        <v>0.08400000000000001</v>
      </c>
    </row>
    <row r="822" spans="1:13">
      <c r="A822" s="1">
        <f>HYPERLINK("http://www.twitter.com/NathanBLawrence/status/994290276276604929", "994290276276604929")</f>
        <v/>
      </c>
      <c r="B822" s="2" t="n">
        <v>43229.78991898148</v>
      </c>
      <c r="C822" t="n">
        <v>5</v>
      </c>
      <c r="D822" t="n">
        <v>4</v>
      </c>
      <c r="E822" t="s">
        <v>828</v>
      </c>
      <c r="F822" t="s"/>
      <c r="G822" t="s"/>
      <c r="H822" t="s"/>
      <c r="I822" t="s"/>
      <c r="J822" t="n">
        <v>0.6515</v>
      </c>
      <c r="K822" t="n">
        <v>0.039</v>
      </c>
      <c r="L822" t="n">
        <v>0.82</v>
      </c>
      <c r="M822" t="n">
        <v>0.14</v>
      </c>
    </row>
    <row r="823" spans="1:13">
      <c r="A823" s="1">
        <f>HYPERLINK("http://www.twitter.com/NathanBLawrence/status/994289684992978944", "994289684992978944")</f>
        <v/>
      </c>
      <c r="B823" s="2" t="n">
        <v>43229.78828703704</v>
      </c>
      <c r="C823" t="n">
        <v>0</v>
      </c>
      <c r="D823" t="n">
        <v>43</v>
      </c>
      <c r="E823" t="s">
        <v>829</v>
      </c>
      <c r="F823">
        <f>HYPERLINK("http://pbs.twimg.com/media/DcxtI1sUQAAUJCC.jpg", "http://pbs.twimg.com/media/DcxtI1sUQAAUJCC.jpg")</f>
        <v/>
      </c>
      <c r="G823" t="s"/>
      <c r="H823" t="s"/>
      <c r="I823" t="s"/>
      <c r="J823" t="n">
        <v>0.4588</v>
      </c>
      <c r="K823" t="n">
        <v>0.103</v>
      </c>
      <c r="L823" t="n">
        <v>0.762</v>
      </c>
      <c r="M823" t="n">
        <v>0.136</v>
      </c>
    </row>
    <row r="824" spans="1:13">
      <c r="A824" s="1">
        <f>HYPERLINK("http://www.twitter.com/NathanBLawrence/status/994289301788741633", "994289301788741633")</f>
        <v/>
      </c>
      <c r="B824" s="2" t="n">
        <v>43229.7872337963</v>
      </c>
      <c r="C824" t="n">
        <v>0</v>
      </c>
      <c r="D824" t="n">
        <v>1</v>
      </c>
      <c r="E824" t="s">
        <v>830</v>
      </c>
      <c r="F824" t="s"/>
      <c r="G824" t="s"/>
      <c r="H824" t="s"/>
      <c r="I824" t="s"/>
      <c r="J824" t="n">
        <v>-0.3736</v>
      </c>
      <c r="K824" t="n">
        <v>0.109</v>
      </c>
      <c r="L824" t="n">
        <v>0.891</v>
      </c>
      <c r="M824" t="n">
        <v>0</v>
      </c>
    </row>
    <row r="825" spans="1:13">
      <c r="A825" s="1">
        <f>HYPERLINK("http://www.twitter.com/NathanBLawrence/status/994284874935734273", "994284874935734273")</f>
        <v/>
      </c>
      <c r="B825" s="2" t="n">
        <v>43229.77501157407</v>
      </c>
      <c r="C825" t="n">
        <v>0</v>
      </c>
      <c r="D825" t="n">
        <v>1</v>
      </c>
      <c r="E825" t="s">
        <v>831</v>
      </c>
      <c r="F825" t="s"/>
      <c r="G825" t="s"/>
      <c r="H825" t="s"/>
      <c r="I825" t="s"/>
      <c r="J825" t="n">
        <v>-0.5574</v>
      </c>
      <c r="K825" t="n">
        <v>0.277</v>
      </c>
      <c r="L825" t="n">
        <v>0.723</v>
      </c>
      <c r="M825" t="n">
        <v>0</v>
      </c>
    </row>
    <row r="826" spans="1:13">
      <c r="A826" s="1">
        <f>HYPERLINK("http://www.twitter.com/NathanBLawrence/status/994284650490159105", "994284650490159105")</f>
        <v/>
      </c>
      <c r="B826" s="2" t="n">
        <v>43229.77439814815</v>
      </c>
      <c r="C826" t="n">
        <v>0</v>
      </c>
      <c r="D826" t="n">
        <v>1</v>
      </c>
      <c r="E826" t="s">
        <v>832</v>
      </c>
      <c r="F826" t="s"/>
      <c r="G826" t="s"/>
      <c r="H826" t="s"/>
      <c r="I826" t="s"/>
      <c r="J826" t="n">
        <v>0.128</v>
      </c>
      <c r="K826" t="n">
        <v>0</v>
      </c>
      <c r="L826" t="n">
        <v>0.897</v>
      </c>
      <c r="M826" t="n">
        <v>0.103</v>
      </c>
    </row>
    <row r="827" spans="1:13">
      <c r="A827" s="1">
        <f>HYPERLINK("http://www.twitter.com/NathanBLawrence/status/994284536920969216", "994284536920969216")</f>
        <v/>
      </c>
      <c r="B827" s="2" t="n">
        <v>43229.77408564815</v>
      </c>
      <c r="C827" t="n">
        <v>3</v>
      </c>
      <c r="D827" t="n">
        <v>1</v>
      </c>
      <c r="E827" t="s">
        <v>833</v>
      </c>
      <c r="F827" t="s"/>
      <c r="G827" t="s"/>
      <c r="H827" t="s"/>
      <c r="I827" t="s"/>
      <c r="J827" t="n">
        <v>0.128</v>
      </c>
      <c r="K827" t="n">
        <v>0</v>
      </c>
      <c r="L827" t="n">
        <v>0.88</v>
      </c>
      <c r="M827" t="n">
        <v>0.12</v>
      </c>
    </row>
    <row r="828" spans="1:13">
      <c r="A828" s="1">
        <f>HYPERLINK("http://www.twitter.com/NathanBLawrence/status/994278998258651136", "994278998258651136")</f>
        <v/>
      </c>
      <c r="B828" s="2" t="n">
        <v>43229.75879629629</v>
      </c>
      <c r="C828" t="n">
        <v>0</v>
      </c>
      <c r="D828" t="n">
        <v>1</v>
      </c>
      <c r="E828" t="s">
        <v>834</v>
      </c>
      <c r="F828" t="s"/>
      <c r="G828" t="s"/>
      <c r="H828" t="s"/>
      <c r="I828" t="s"/>
      <c r="J828" t="n">
        <v>-0.5574</v>
      </c>
      <c r="K828" t="n">
        <v>0.315</v>
      </c>
      <c r="L828" t="n">
        <v>0.6850000000000001</v>
      </c>
      <c r="M828" t="n">
        <v>0</v>
      </c>
    </row>
    <row r="829" spans="1:13">
      <c r="A829" s="1">
        <f>HYPERLINK("http://www.twitter.com/NathanBLawrence/status/994275816682000386", "994275816682000386")</f>
        <v/>
      </c>
      <c r="B829" s="2" t="n">
        <v>43229.75002314815</v>
      </c>
      <c r="C829" t="n">
        <v>0</v>
      </c>
      <c r="D829" t="n">
        <v>0</v>
      </c>
      <c r="E829" t="s">
        <v>835</v>
      </c>
      <c r="F829" t="s"/>
      <c r="G829" t="s"/>
      <c r="H829" t="s"/>
      <c r="I829" t="s"/>
      <c r="J829" t="n">
        <v>-0.1511</v>
      </c>
      <c r="K829" t="n">
        <v>0.443</v>
      </c>
      <c r="L829" t="n">
        <v>0.5570000000000001</v>
      </c>
      <c r="M829" t="n">
        <v>0</v>
      </c>
    </row>
    <row r="830" spans="1:13">
      <c r="A830" s="1">
        <f>HYPERLINK("http://www.twitter.com/NathanBLawrence/status/994272181864591360", "994272181864591360")</f>
        <v/>
      </c>
      <c r="B830" s="2" t="n">
        <v>43229.73998842593</v>
      </c>
      <c r="C830" t="n">
        <v>0</v>
      </c>
      <c r="D830" t="n">
        <v>7</v>
      </c>
      <c r="E830" t="s">
        <v>836</v>
      </c>
      <c r="F830">
        <f>HYPERLINK("http://pbs.twimg.com/media/DcxcuWHXkAMyZ_6.jpg", "http://pbs.twimg.com/media/DcxcuWHXkAMyZ_6.jpg")</f>
        <v/>
      </c>
      <c r="G830" t="s"/>
      <c r="H830" t="s"/>
      <c r="I830" t="s"/>
      <c r="J830" t="n">
        <v>0</v>
      </c>
      <c r="K830" t="n">
        <v>0</v>
      </c>
      <c r="L830" t="n">
        <v>1</v>
      </c>
      <c r="M830" t="n">
        <v>0</v>
      </c>
    </row>
    <row r="831" spans="1:13">
      <c r="A831" s="1">
        <f>HYPERLINK("http://www.twitter.com/NathanBLawrence/status/994272120124444673", "994272120124444673")</f>
        <v/>
      </c>
      <c r="B831" s="2" t="n">
        <v>43229.73981481481</v>
      </c>
      <c r="C831" t="n">
        <v>12</v>
      </c>
      <c r="D831" t="n">
        <v>7</v>
      </c>
      <c r="E831" t="s">
        <v>837</v>
      </c>
      <c r="F831">
        <f>HYPERLINK("http://pbs.twimg.com/media/DcxcuWHXkAMyZ_6.jpg", "http://pbs.twimg.com/media/DcxcuWHXkAMyZ_6.jpg")</f>
        <v/>
      </c>
      <c r="G831" t="s"/>
      <c r="H831" t="s"/>
      <c r="I831" t="s"/>
      <c r="J831" t="n">
        <v>0</v>
      </c>
      <c r="K831" t="n">
        <v>0</v>
      </c>
      <c r="L831" t="n">
        <v>1</v>
      </c>
      <c r="M831" t="n">
        <v>0</v>
      </c>
    </row>
    <row r="832" spans="1:13">
      <c r="A832" s="1">
        <f>HYPERLINK("http://www.twitter.com/NathanBLawrence/status/994212348348063744", "994212348348063744")</f>
        <v/>
      </c>
      <c r="B832" s="2" t="n">
        <v>43229.57488425926</v>
      </c>
      <c r="C832" t="n">
        <v>0</v>
      </c>
      <c r="D832" t="n">
        <v>9</v>
      </c>
      <c r="E832" t="s">
        <v>838</v>
      </c>
      <c r="F832" t="s"/>
      <c r="G832" t="s"/>
      <c r="H832" t="s"/>
      <c r="I832" t="s"/>
      <c r="J832" t="n">
        <v>0.3612</v>
      </c>
      <c r="K832" t="n">
        <v>0</v>
      </c>
      <c r="L832" t="n">
        <v>0.902</v>
      </c>
      <c r="M832" t="n">
        <v>0.098</v>
      </c>
    </row>
    <row r="833" spans="1:13">
      <c r="A833" s="1">
        <f>HYPERLINK("http://www.twitter.com/NathanBLawrence/status/994189716407889921", "994189716407889921")</f>
        <v/>
      </c>
      <c r="B833" s="2" t="n">
        <v>43229.51243055556</v>
      </c>
      <c r="C833" t="n">
        <v>0</v>
      </c>
      <c r="D833" t="n">
        <v>3</v>
      </c>
      <c r="E833" t="s">
        <v>839</v>
      </c>
      <c r="F833" t="s"/>
      <c r="G833" t="s"/>
      <c r="H833" t="s"/>
      <c r="I833" t="s"/>
      <c r="J833" t="n">
        <v>-0.5266999999999999</v>
      </c>
      <c r="K833" t="n">
        <v>0.167</v>
      </c>
      <c r="L833" t="n">
        <v>0.833</v>
      </c>
      <c r="M833" t="n">
        <v>0</v>
      </c>
    </row>
    <row r="834" spans="1:13">
      <c r="A834" s="1">
        <f>HYPERLINK("http://www.twitter.com/NathanBLawrence/status/994003480141549569", "994003480141549569")</f>
        <v/>
      </c>
      <c r="B834" s="2" t="n">
        <v>43228.99851851852</v>
      </c>
      <c r="C834" t="n">
        <v>0</v>
      </c>
      <c r="D834" t="n">
        <v>10</v>
      </c>
      <c r="E834" t="s">
        <v>840</v>
      </c>
      <c r="F834">
        <f>HYPERLINK("http://pbs.twimg.com/media/DctmJTzWsAgWs27.jpg", "http://pbs.twimg.com/media/DctmJTzWsAgWs27.jpg")</f>
        <v/>
      </c>
      <c r="G834" t="s"/>
      <c r="H834" t="s"/>
      <c r="I834" t="s"/>
      <c r="J834" t="n">
        <v>0.5859</v>
      </c>
      <c r="K834" t="n">
        <v>0</v>
      </c>
      <c r="L834" t="n">
        <v>0.652</v>
      </c>
      <c r="M834" t="n">
        <v>0.348</v>
      </c>
    </row>
    <row r="835" spans="1:13">
      <c r="A835" s="1">
        <f>HYPERLINK("http://www.twitter.com/NathanBLawrence/status/993975525185122304", "993975525185122304")</f>
        <v/>
      </c>
      <c r="B835" s="2" t="n">
        <v>43228.92137731481</v>
      </c>
      <c r="C835" t="n">
        <v>0</v>
      </c>
      <c r="D835" t="n">
        <v>2</v>
      </c>
      <c r="E835" t="s">
        <v>841</v>
      </c>
      <c r="F835">
        <f>HYPERLINK("http://pbs.twimg.com/media/DctOU4vUQAAe_7B.jpg", "http://pbs.twimg.com/media/DctOU4vUQAAe_7B.jpg")</f>
        <v/>
      </c>
      <c r="G835" t="s"/>
      <c r="H835" t="s"/>
      <c r="I835" t="s"/>
      <c r="J835" t="n">
        <v>0</v>
      </c>
      <c r="K835" t="n">
        <v>0</v>
      </c>
      <c r="L835" t="n">
        <v>1</v>
      </c>
      <c r="M835" t="n">
        <v>0</v>
      </c>
    </row>
    <row r="836" spans="1:13">
      <c r="A836" s="1">
        <f>HYPERLINK("http://www.twitter.com/NathanBLawrence/status/993931849129971713", "993931849129971713")</f>
        <v/>
      </c>
      <c r="B836" s="2" t="n">
        <v>43228.8008449074</v>
      </c>
      <c r="C836" t="n">
        <v>0</v>
      </c>
      <c r="D836" t="n">
        <v>3</v>
      </c>
      <c r="E836" t="s">
        <v>842</v>
      </c>
      <c r="F836" t="s"/>
      <c r="G836" t="s"/>
      <c r="H836" t="s"/>
      <c r="I836" t="s"/>
      <c r="J836" t="n">
        <v>-0.3182</v>
      </c>
      <c r="K836" t="n">
        <v>0.091</v>
      </c>
      <c r="L836" t="n">
        <v>0.909</v>
      </c>
      <c r="M836" t="n">
        <v>0</v>
      </c>
    </row>
    <row r="837" spans="1:13">
      <c r="A837" s="1">
        <f>HYPERLINK("http://www.twitter.com/NathanBLawrence/status/993931805374992385", "993931805374992385")</f>
        <v/>
      </c>
      <c r="B837" s="2" t="n">
        <v>43228.80072916667</v>
      </c>
      <c r="C837" t="n">
        <v>4</v>
      </c>
      <c r="D837" t="n">
        <v>3</v>
      </c>
      <c r="E837" t="s">
        <v>843</v>
      </c>
      <c r="F837" t="s"/>
      <c r="G837" t="s"/>
      <c r="H837" t="s"/>
      <c r="I837" t="s"/>
      <c r="J837" t="n">
        <v>-0.6597</v>
      </c>
      <c r="K837" t="n">
        <v>0.184</v>
      </c>
      <c r="L837" t="n">
        <v>0.8159999999999999</v>
      </c>
      <c r="M837" t="n">
        <v>0</v>
      </c>
    </row>
    <row r="838" spans="1:13">
      <c r="A838" s="1">
        <f>HYPERLINK("http://www.twitter.com/NathanBLawrence/status/993922772714885120", "993922772714885120")</f>
        <v/>
      </c>
      <c r="B838" s="2" t="n">
        <v>43228.77579861111</v>
      </c>
      <c r="C838" t="n">
        <v>0</v>
      </c>
      <c r="D838" t="n">
        <v>1</v>
      </c>
      <c r="E838" t="s">
        <v>844</v>
      </c>
      <c r="F838" t="s"/>
      <c r="G838" t="s"/>
      <c r="H838" t="s"/>
      <c r="I838" t="s"/>
      <c r="J838" t="n">
        <v>0</v>
      </c>
      <c r="K838" t="n">
        <v>0</v>
      </c>
      <c r="L838" t="n">
        <v>1</v>
      </c>
      <c r="M838" t="n">
        <v>0</v>
      </c>
    </row>
    <row r="839" spans="1:13">
      <c r="A839" s="1">
        <f>HYPERLINK("http://www.twitter.com/NathanBLawrence/status/993922609850052608", "993922609850052608")</f>
        <v/>
      </c>
      <c r="B839" s="2" t="n">
        <v>43228.77535879629</v>
      </c>
      <c r="C839" t="n">
        <v>2</v>
      </c>
      <c r="D839" t="n">
        <v>1</v>
      </c>
      <c r="E839" t="s">
        <v>845</v>
      </c>
      <c r="F839" t="s"/>
      <c r="G839" t="s"/>
      <c r="H839" t="s"/>
      <c r="I839" t="s"/>
      <c r="J839" t="n">
        <v>0.5106000000000001</v>
      </c>
      <c r="K839" t="n">
        <v>0</v>
      </c>
      <c r="L839" t="n">
        <v>0.919</v>
      </c>
      <c r="M839" t="n">
        <v>0.081</v>
      </c>
    </row>
    <row r="840" spans="1:13">
      <c r="A840" s="1">
        <f>HYPERLINK("http://www.twitter.com/NathanBLawrence/status/993920008735678465", "993920008735678465")</f>
        <v/>
      </c>
      <c r="B840" s="2" t="n">
        <v>43228.76817129629</v>
      </c>
      <c r="C840" t="n">
        <v>0</v>
      </c>
      <c r="D840" t="n">
        <v>3</v>
      </c>
      <c r="E840" t="s">
        <v>846</v>
      </c>
      <c r="F840" t="s"/>
      <c r="G840" t="s"/>
      <c r="H840" t="s"/>
      <c r="I840" t="s"/>
      <c r="J840" t="n">
        <v>0.4521</v>
      </c>
      <c r="K840" t="n">
        <v>0.055</v>
      </c>
      <c r="L840" t="n">
        <v>0.8100000000000001</v>
      </c>
      <c r="M840" t="n">
        <v>0.135</v>
      </c>
    </row>
    <row r="841" spans="1:13">
      <c r="A841" s="1">
        <f>HYPERLINK("http://www.twitter.com/NathanBLawrence/status/993918168740564992", "993918168740564992")</f>
        <v/>
      </c>
      <c r="B841" s="2" t="n">
        <v>43228.76310185185</v>
      </c>
      <c r="C841" t="n">
        <v>0</v>
      </c>
      <c r="D841" t="n">
        <v>6</v>
      </c>
      <c r="E841" t="s">
        <v>847</v>
      </c>
      <c r="F841" t="s"/>
      <c r="G841" t="s"/>
      <c r="H841" t="s"/>
      <c r="I841" t="s"/>
      <c r="J841" t="n">
        <v>-0.8481</v>
      </c>
      <c r="K841" t="n">
        <v>0.365</v>
      </c>
      <c r="L841" t="n">
        <v>0.635</v>
      </c>
      <c r="M841" t="n">
        <v>0</v>
      </c>
    </row>
    <row r="842" spans="1:13">
      <c r="A842" s="1">
        <f>HYPERLINK("http://www.twitter.com/NathanBLawrence/status/993918015338053633", "993918015338053633")</f>
        <v/>
      </c>
      <c r="B842" s="2" t="n">
        <v>43228.76267361111</v>
      </c>
      <c r="C842" t="n">
        <v>7</v>
      </c>
      <c r="D842" t="n">
        <v>6</v>
      </c>
      <c r="E842" t="s">
        <v>848</v>
      </c>
      <c r="F842" t="s"/>
      <c r="G842" t="s"/>
      <c r="H842" t="s"/>
      <c r="I842" t="s"/>
      <c r="J842" t="n">
        <v>-0.886</v>
      </c>
      <c r="K842" t="n">
        <v>0.275</v>
      </c>
      <c r="L842" t="n">
        <v>0.725</v>
      </c>
      <c r="M842" t="n">
        <v>0</v>
      </c>
    </row>
    <row r="843" spans="1:13">
      <c r="A843" s="1">
        <f>HYPERLINK("http://www.twitter.com/NathanBLawrence/status/993916695134855168", "993916695134855168")</f>
        <v/>
      </c>
      <c r="B843" s="2" t="n">
        <v>43228.75902777778</v>
      </c>
      <c r="C843" t="n">
        <v>0</v>
      </c>
      <c r="D843" t="n">
        <v>0</v>
      </c>
      <c r="E843" t="s">
        <v>849</v>
      </c>
      <c r="F843" t="s"/>
      <c r="G843" t="s"/>
      <c r="H843" t="s"/>
      <c r="I843" t="s"/>
      <c r="J843" t="n">
        <v>0.3612</v>
      </c>
      <c r="K843" t="n">
        <v>0</v>
      </c>
      <c r="L843" t="n">
        <v>0.906</v>
      </c>
      <c r="M843" t="n">
        <v>0.094</v>
      </c>
    </row>
    <row r="844" spans="1:13">
      <c r="A844" s="1">
        <f>HYPERLINK("http://www.twitter.com/NathanBLawrence/status/993907681978146826", "993907681978146826")</f>
        <v/>
      </c>
      <c r="B844" s="2" t="n">
        <v>43228.73415509259</v>
      </c>
      <c r="C844" t="n">
        <v>0</v>
      </c>
      <c r="D844" t="n">
        <v>2</v>
      </c>
      <c r="E844" t="s">
        <v>850</v>
      </c>
      <c r="F844" t="s"/>
      <c r="G844" t="s"/>
      <c r="H844" t="s"/>
      <c r="I844" t="s"/>
      <c r="J844" t="n">
        <v>0</v>
      </c>
      <c r="K844" t="n">
        <v>0</v>
      </c>
      <c r="L844" t="n">
        <v>1</v>
      </c>
      <c r="M844" t="n">
        <v>0</v>
      </c>
    </row>
    <row r="845" spans="1:13">
      <c r="A845" s="1">
        <f>HYPERLINK("http://www.twitter.com/NathanBLawrence/status/993907634125320193", "993907634125320193")</f>
        <v/>
      </c>
      <c r="B845" s="2" t="n">
        <v>43228.73402777778</v>
      </c>
      <c r="C845" t="n">
        <v>2</v>
      </c>
      <c r="D845" t="n">
        <v>2</v>
      </c>
      <c r="E845" t="s">
        <v>851</v>
      </c>
      <c r="F845" t="s"/>
      <c r="G845" t="s"/>
      <c r="H845" t="s"/>
      <c r="I845" t="s"/>
      <c r="J845" t="n">
        <v>-0.481</v>
      </c>
      <c r="K845" t="n">
        <v>0.107</v>
      </c>
      <c r="L845" t="n">
        <v>0.893</v>
      </c>
      <c r="M845" t="n">
        <v>0</v>
      </c>
    </row>
    <row r="846" spans="1:13">
      <c r="A846" s="1">
        <f>HYPERLINK("http://www.twitter.com/NathanBLawrence/status/993872581655711745", "993872581655711745")</f>
        <v/>
      </c>
      <c r="B846" s="2" t="n">
        <v>43228.63730324074</v>
      </c>
      <c r="C846" t="n">
        <v>0</v>
      </c>
      <c r="D846" t="n">
        <v>3</v>
      </c>
      <c r="E846" t="s">
        <v>852</v>
      </c>
      <c r="F846" t="s"/>
      <c r="G846" t="s"/>
      <c r="H846" t="s"/>
      <c r="I846" t="s"/>
      <c r="J846" t="n">
        <v>-0.6124000000000001</v>
      </c>
      <c r="K846" t="n">
        <v>0.217</v>
      </c>
      <c r="L846" t="n">
        <v>0.783</v>
      </c>
      <c r="M846" t="n">
        <v>0</v>
      </c>
    </row>
    <row r="847" spans="1:13">
      <c r="A847" s="1">
        <f>HYPERLINK("http://www.twitter.com/NathanBLawrence/status/993861956997189632", "993861956997189632")</f>
        <v/>
      </c>
      <c r="B847" s="2" t="n">
        <v>43228.60798611111</v>
      </c>
      <c r="C847" t="n">
        <v>0</v>
      </c>
      <c r="D847" t="n">
        <v>12</v>
      </c>
      <c r="E847" t="s">
        <v>853</v>
      </c>
      <c r="F847">
        <f>HYPERLINK("http://pbs.twimg.com/media/DcroDbPW4AEoFoK.jpg", "http://pbs.twimg.com/media/DcroDbPW4AEoFoK.jpg")</f>
        <v/>
      </c>
      <c r="G847" t="s"/>
      <c r="H847" t="s"/>
      <c r="I847" t="s"/>
      <c r="J847" t="n">
        <v>0</v>
      </c>
      <c r="K847" t="n">
        <v>0</v>
      </c>
      <c r="L847" t="n">
        <v>1</v>
      </c>
      <c r="M847" t="n">
        <v>0</v>
      </c>
    </row>
    <row r="848" spans="1:13">
      <c r="A848" s="1">
        <f>HYPERLINK("http://www.twitter.com/NathanBLawrence/status/993861846867304448", "993861846867304448")</f>
        <v/>
      </c>
      <c r="B848" s="2" t="n">
        <v>43228.60768518518</v>
      </c>
      <c r="C848" t="n">
        <v>10</v>
      </c>
      <c r="D848" t="n">
        <v>12</v>
      </c>
      <c r="E848" t="s">
        <v>854</v>
      </c>
      <c r="F848">
        <f>HYPERLINK("http://pbs.twimg.com/media/DcroDbPW4AEoFoK.jpg", "http://pbs.twimg.com/media/DcroDbPW4AEoFoK.jpg")</f>
        <v/>
      </c>
      <c r="G848" t="s"/>
      <c r="H848" t="s"/>
      <c r="I848" t="s"/>
      <c r="J848" t="n">
        <v>0</v>
      </c>
      <c r="K848" t="n">
        <v>0</v>
      </c>
      <c r="L848" t="n">
        <v>1</v>
      </c>
      <c r="M848" t="n">
        <v>0</v>
      </c>
    </row>
    <row r="849" spans="1:13">
      <c r="A849" s="1">
        <f>HYPERLINK("http://www.twitter.com/NathanBLawrence/status/993794781779316737", "993794781779316737")</f>
        <v/>
      </c>
      <c r="B849" s="2" t="n">
        <v>43228.42261574074</v>
      </c>
      <c r="C849" t="n">
        <v>0</v>
      </c>
      <c r="D849" t="n">
        <v>1</v>
      </c>
      <c r="E849" t="s">
        <v>855</v>
      </c>
      <c r="F849" t="s"/>
      <c r="G849" t="s"/>
      <c r="H849" t="s"/>
      <c r="I849" t="s"/>
      <c r="J849" t="n">
        <v>-0.8689</v>
      </c>
      <c r="K849" t="n">
        <v>0.362</v>
      </c>
      <c r="L849" t="n">
        <v>0.638</v>
      </c>
      <c r="M849" t="n">
        <v>0</v>
      </c>
    </row>
    <row r="850" spans="1:13">
      <c r="A850" s="1">
        <f>HYPERLINK("http://www.twitter.com/NathanBLawrence/status/993794763861188608", "993794763861188608")</f>
        <v/>
      </c>
      <c r="B850" s="2" t="n">
        <v>43228.42256944445</v>
      </c>
      <c r="C850" t="n">
        <v>2</v>
      </c>
      <c r="D850" t="n">
        <v>1</v>
      </c>
      <c r="E850" t="s">
        <v>856</v>
      </c>
      <c r="F850" t="s"/>
      <c r="G850" t="s"/>
      <c r="H850" t="s"/>
      <c r="I850" t="s"/>
      <c r="J850" t="n">
        <v>-0.9118000000000001</v>
      </c>
      <c r="K850" t="n">
        <v>0.459</v>
      </c>
      <c r="L850" t="n">
        <v>0.541</v>
      </c>
      <c r="M850" t="n">
        <v>0</v>
      </c>
    </row>
    <row r="851" spans="1:13">
      <c r="A851" s="1">
        <f>HYPERLINK("http://www.twitter.com/NathanBLawrence/status/993696052812435456", "993696052812435456")</f>
        <v/>
      </c>
      <c r="B851" s="2" t="n">
        <v>43228.15017361111</v>
      </c>
      <c r="C851" t="n">
        <v>0</v>
      </c>
      <c r="D851" t="n">
        <v>2</v>
      </c>
      <c r="E851" t="s">
        <v>857</v>
      </c>
      <c r="F851" t="s"/>
      <c r="G851" t="s"/>
      <c r="H851" t="s"/>
      <c r="I851" t="s"/>
      <c r="J851" t="n">
        <v>-0.6369</v>
      </c>
      <c r="K851" t="n">
        <v>0.245</v>
      </c>
      <c r="L851" t="n">
        <v>0.755</v>
      </c>
      <c r="M851" t="n">
        <v>0</v>
      </c>
    </row>
    <row r="852" spans="1:13">
      <c r="A852" s="1">
        <f>HYPERLINK("http://www.twitter.com/NathanBLawrence/status/993695731843248128", "993695731843248128")</f>
        <v/>
      </c>
      <c r="B852" s="2" t="n">
        <v>43228.14929398148</v>
      </c>
      <c r="C852" t="n">
        <v>4</v>
      </c>
      <c r="D852" t="n">
        <v>2</v>
      </c>
      <c r="E852" t="s">
        <v>858</v>
      </c>
      <c r="F852" t="s"/>
      <c r="G852" t="s"/>
      <c r="H852" t="s"/>
      <c r="I852" t="s"/>
      <c r="J852" t="n">
        <v>-0.7506</v>
      </c>
      <c r="K852" t="n">
        <v>0.303</v>
      </c>
      <c r="L852" t="n">
        <v>0.697</v>
      </c>
      <c r="M852" t="n">
        <v>0</v>
      </c>
    </row>
    <row r="853" spans="1:13">
      <c r="A853" s="1">
        <f>HYPERLINK("http://www.twitter.com/NathanBLawrence/status/993677464525303809", "993677464525303809")</f>
        <v/>
      </c>
      <c r="B853" s="2" t="n">
        <v>43228.09887731481</v>
      </c>
      <c r="C853" t="n">
        <v>0</v>
      </c>
      <c r="D853" t="n">
        <v>1</v>
      </c>
      <c r="E853" t="s">
        <v>859</v>
      </c>
      <c r="F853" t="s"/>
      <c r="G853" t="s"/>
      <c r="H853" t="s"/>
      <c r="I853" t="s"/>
      <c r="J853" t="n">
        <v>0.2263</v>
      </c>
      <c r="K853" t="n">
        <v>0</v>
      </c>
      <c r="L853" t="n">
        <v>0.854</v>
      </c>
      <c r="M853" t="n">
        <v>0.146</v>
      </c>
    </row>
    <row r="854" spans="1:13">
      <c r="A854" s="1">
        <f>HYPERLINK("http://www.twitter.com/NathanBLawrence/status/993672134487666688", "993672134487666688")</f>
        <v/>
      </c>
      <c r="B854" s="2" t="n">
        <v>43228.08417824074</v>
      </c>
      <c r="C854" t="n">
        <v>0</v>
      </c>
      <c r="D854" t="n">
        <v>4</v>
      </c>
      <c r="E854" t="s">
        <v>860</v>
      </c>
      <c r="F854" t="s"/>
      <c r="G854" t="s"/>
      <c r="H854" t="s"/>
      <c r="I854" t="s"/>
      <c r="J854" t="n">
        <v>0</v>
      </c>
      <c r="K854" t="n">
        <v>0</v>
      </c>
      <c r="L854" t="n">
        <v>1</v>
      </c>
      <c r="M854" t="n">
        <v>0</v>
      </c>
    </row>
    <row r="855" spans="1:13">
      <c r="A855" s="1">
        <f>HYPERLINK("http://www.twitter.com/NathanBLawrence/status/993566245420175370", "993566245420175370")</f>
        <v/>
      </c>
      <c r="B855" s="2" t="n">
        <v>43227.79197916666</v>
      </c>
      <c r="C855" t="n">
        <v>0</v>
      </c>
      <c r="D855" t="n">
        <v>5</v>
      </c>
      <c r="E855" t="s">
        <v>861</v>
      </c>
      <c r="F855" t="s"/>
      <c r="G855" t="s"/>
      <c r="H855" t="s"/>
      <c r="I855" t="s"/>
      <c r="J855" t="n">
        <v>0</v>
      </c>
      <c r="K855" t="n">
        <v>0.108</v>
      </c>
      <c r="L855" t="n">
        <v>0.784</v>
      </c>
      <c r="M855" t="n">
        <v>0.108</v>
      </c>
    </row>
    <row r="856" spans="1:13">
      <c r="A856" s="1">
        <f>HYPERLINK("http://www.twitter.com/NathanBLawrence/status/993566190781063170", "993566190781063170")</f>
        <v/>
      </c>
      <c r="B856" s="2" t="n">
        <v>43227.7918287037</v>
      </c>
      <c r="C856" t="n">
        <v>6</v>
      </c>
      <c r="D856" t="n">
        <v>5</v>
      </c>
      <c r="E856" t="s">
        <v>862</v>
      </c>
      <c r="F856" t="s"/>
      <c r="G856" t="s"/>
      <c r="H856" t="s"/>
      <c r="I856" t="s"/>
      <c r="J856" t="n">
        <v>-0.7184</v>
      </c>
      <c r="K856" t="n">
        <v>0.194</v>
      </c>
      <c r="L856" t="n">
        <v>0.742</v>
      </c>
      <c r="M856" t="n">
        <v>0.063</v>
      </c>
    </row>
    <row r="857" spans="1:13">
      <c r="A857" s="1">
        <f>HYPERLINK("http://www.twitter.com/NathanBLawrence/status/993558247150940167", "993558247150940167")</f>
        <v/>
      </c>
      <c r="B857" s="2" t="n">
        <v>43227.7699074074</v>
      </c>
      <c r="C857" t="n">
        <v>0</v>
      </c>
      <c r="D857" t="n">
        <v>1</v>
      </c>
      <c r="E857" t="s">
        <v>863</v>
      </c>
      <c r="F857" t="s"/>
      <c r="G857" t="s"/>
      <c r="H857" t="s"/>
      <c r="I857" t="s"/>
      <c r="J857" t="n">
        <v>-0.34</v>
      </c>
      <c r="K857" t="n">
        <v>0.107</v>
      </c>
      <c r="L857" t="n">
        <v>0.893</v>
      </c>
      <c r="M857" t="n">
        <v>0</v>
      </c>
    </row>
    <row r="858" spans="1:13">
      <c r="A858" s="1">
        <f>HYPERLINK("http://www.twitter.com/NathanBLawrence/status/993557525365706752", "993557525365706752")</f>
        <v/>
      </c>
      <c r="B858" s="2" t="n">
        <v>43227.76791666666</v>
      </c>
      <c r="C858" t="n">
        <v>0</v>
      </c>
      <c r="D858" t="n">
        <v>1</v>
      </c>
      <c r="E858" t="s">
        <v>864</v>
      </c>
      <c r="F858" t="s"/>
      <c r="G858" t="s"/>
      <c r="H858" t="s"/>
      <c r="I858" t="s"/>
      <c r="J858" t="n">
        <v>0</v>
      </c>
      <c r="K858" t="n">
        <v>0</v>
      </c>
      <c r="L858" t="n">
        <v>1</v>
      </c>
      <c r="M858" t="n">
        <v>0</v>
      </c>
    </row>
    <row r="859" spans="1:13">
      <c r="A859" s="1">
        <f>HYPERLINK("http://www.twitter.com/NathanBLawrence/status/993557379756253186", "993557379756253186")</f>
        <v/>
      </c>
      <c r="B859" s="2" t="n">
        <v>43227.76751157407</v>
      </c>
      <c r="C859" t="n">
        <v>0</v>
      </c>
      <c r="D859" t="n">
        <v>1</v>
      </c>
      <c r="E859" t="s">
        <v>865</v>
      </c>
      <c r="F859" t="s"/>
      <c r="G859" t="s"/>
      <c r="H859" t="s"/>
      <c r="I859" t="s"/>
      <c r="J859" t="n">
        <v>-0.1154</v>
      </c>
      <c r="K859" t="n">
        <v>0.158</v>
      </c>
      <c r="L859" t="n">
        <v>0.7</v>
      </c>
      <c r="M859" t="n">
        <v>0.142</v>
      </c>
    </row>
    <row r="860" spans="1:13">
      <c r="A860" s="1">
        <f>HYPERLINK("http://www.twitter.com/NathanBLawrence/status/993556031082033152", "993556031082033152")</f>
        <v/>
      </c>
      <c r="B860" s="2" t="n">
        <v>43227.76378472222</v>
      </c>
      <c r="C860" t="n">
        <v>0</v>
      </c>
      <c r="D860" t="n">
        <v>3</v>
      </c>
      <c r="E860" t="s">
        <v>866</v>
      </c>
      <c r="F860" t="s"/>
      <c r="G860" t="s"/>
      <c r="H860" t="s"/>
      <c r="I860" t="s"/>
      <c r="J860" t="n">
        <v>-0.7269</v>
      </c>
      <c r="K860" t="n">
        <v>0.319</v>
      </c>
      <c r="L860" t="n">
        <v>0.681</v>
      </c>
      <c r="M860" t="n">
        <v>0</v>
      </c>
    </row>
    <row r="861" spans="1:13">
      <c r="A861" s="1">
        <f>HYPERLINK("http://www.twitter.com/NathanBLawrence/status/993555239121899520", "993555239121899520")</f>
        <v/>
      </c>
      <c r="B861" s="2" t="n">
        <v>43227.7616087963</v>
      </c>
      <c r="C861" t="n">
        <v>10</v>
      </c>
      <c r="D861" t="n">
        <v>10</v>
      </c>
      <c r="E861" t="s">
        <v>867</v>
      </c>
      <c r="F861" t="s"/>
      <c r="G861" t="s"/>
      <c r="H861" t="s"/>
      <c r="I861" t="s"/>
      <c r="J861" t="n">
        <v>-0.7783</v>
      </c>
      <c r="K861" t="n">
        <v>0.221</v>
      </c>
      <c r="L861" t="n">
        <v>0.779</v>
      </c>
      <c r="M861" t="n">
        <v>0</v>
      </c>
    </row>
    <row r="862" spans="1:13">
      <c r="A862" s="1">
        <f>HYPERLINK("http://www.twitter.com/NathanBLawrence/status/993549457261285377", "993549457261285377")</f>
        <v/>
      </c>
      <c r="B862" s="2" t="n">
        <v>43227.74564814815</v>
      </c>
      <c r="C862" t="n">
        <v>0</v>
      </c>
      <c r="D862" t="n">
        <v>3</v>
      </c>
      <c r="E862" t="s">
        <v>868</v>
      </c>
      <c r="F862" t="s"/>
      <c r="G862" t="s"/>
      <c r="H862" t="s"/>
      <c r="I862" t="s"/>
      <c r="J862" t="n">
        <v>-0.5719</v>
      </c>
      <c r="K862" t="n">
        <v>0.176</v>
      </c>
      <c r="L862" t="n">
        <v>0.824</v>
      </c>
      <c r="M862" t="n">
        <v>0</v>
      </c>
    </row>
    <row r="863" spans="1:13">
      <c r="A863" s="1">
        <f>HYPERLINK("http://www.twitter.com/NathanBLawrence/status/993547981591924737", "993547981591924737")</f>
        <v/>
      </c>
      <c r="B863" s="2" t="n">
        <v>43227.74157407408</v>
      </c>
      <c r="C863" t="n">
        <v>0</v>
      </c>
      <c r="D863" t="n">
        <v>10</v>
      </c>
      <c r="E863" t="s">
        <v>869</v>
      </c>
      <c r="F863" t="s"/>
      <c r="G863" t="s"/>
      <c r="H863" t="s"/>
      <c r="I863" t="s"/>
      <c r="J863" t="n">
        <v>0</v>
      </c>
      <c r="K863" t="n">
        <v>0</v>
      </c>
      <c r="L863" t="n">
        <v>1</v>
      </c>
      <c r="M863" t="n">
        <v>0</v>
      </c>
    </row>
    <row r="864" spans="1:13">
      <c r="A864" s="1">
        <f>HYPERLINK("http://www.twitter.com/NathanBLawrence/status/993540123244589057", "993540123244589057")</f>
        <v/>
      </c>
      <c r="B864" s="2" t="n">
        <v>43227.71989583333</v>
      </c>
      <c r="C864" t="n">
        <v>0</v>
      </c>
      <c r="D864" t="n">
        <v>2</v>
      </c>
      <c r="E864" t="s">
        <v>870</v>
      </c>
      <c r="F864" t="s"/>
      <c r="G864" t="s"/>
      <c r="H864" t="s"/>
      <c r="I864" t="s"/>
      <c r="J864" t="n">
        <v>0</v>
      </c>
      <c r="K864" t="n">
        <v>0</v>
      </c>
      <c r="L864" t="n">
        <v>1</v>
      </c>
      <c r="M864" t="n">
        <v>0</v>
      </c>
    </row>
    <row r="865" spans="1:13">
      <c r="A865" s="1">
        <f>HYPERLINK("http://www.twitter.com/NathanBLawrence/status/993540019561336833", "993540019561336833")</f>
        <v/>
      </c>
      <c r="B865" s="2" t="n">
        <v>43227.71960648148</v>
      </c>
      <c r="C865" t="n">
        <v>2</v>
      </c>
      <c r="D865" t="n">
        <v>2</v>
      </c>
      <c r="E865" t="s">
        <v>871</v>
      </c>
      <c r="F865" t="s"/>
      <c r="G865" t="s"/>
      <c r="H865" t="s"/>
      <c r="I865" t="s"/>
      <c r="J865" t="n">
        <v>-0.743</v>
      </c>
      <c r="K865" t="n">
        <v>0.133</v>
      </c>
      <c r="L865" t="n">
        <v>0.867</v>
      </c>
      <c r="M865" t="n">
        <v>0</v>
      </c>
    </row>
    <row r="866" spans="1:13">
      <c r="A866" s="1">
        <f>HYPERLINK("http://www.twitter.com/NathanBLawrence/status/993539272480313345", "993539272480313345")</f>
        <v/>
      </c>
      <c r="B866" s="2" t="n">
        <v>43227.7175462963</v>
      </c>
      <c r="C866" t="n">
        <v>0</v>
      </c>
      <c r="D866" t="n">
        <v>3</v>
      </c>
      <c r="E866" t="s">
        <v>872</v>
      </c>
      <c r="F866" t="s"/>
      <c r="G866" t="s"/>
      <c r="H866" t="s"/>
      <c r="I866" t="s"/>
      <c r="J866" t="n">
        <v>-0.7717000000000001</v>
      </c>
      <c r="K866" t="n">
        <v>0.307</v>
      </c>
      <c r="L866" t="n">
        <v>0.637</v>
      </c>
      <c r="M866" t="n">
        <v>0.056</v>
      </c>
    </row>
    <row r="867" spans="1:13">
      <c r="A867" s="1">
        <f>HYPERLINK("http://www.twitter.com/NathanBLawrence/status/993536852048207872", "993536852048207872")</f>
        <v/>
      </c>
      <c r="B867" s="2" t="n">
        <v>43227.71086805555</v>
      </c>
      <c r="C867" t="n">
        <v>0</v>
      </c>
      <c r="D867" t="n">
        <v>5</v>
      </c>
      <c r="E867" t="s">
        <v>873</v>
      </c>
      <c r="F867" t="s"/>
      <c r="G867" t="s"/>
      <c r="H867" t="s"/>
      <c r="I867" t="s"/>
      <c r="J867" t="n">
        <v>0</v>
      </c>
      <c r="K867" t="n">
        <v>0</v>
      </c>
      <c r="L867" t="n">
        <v>1</v>
      </c>
      <c r="M867" t="n">
        <v>0</v>
      </c>
    </row>
    <row r="868" spans="1:13">
      <c r="A868" s="1">
        <f>HYPERLINK("http://www.twitter.com/NathanBLawrence/status/993536819131289600", "993536819131289600")</f>
        <v/>
      </c>
      <c r="B868" s="2" t="n">
        <v>43227.71077546296</v>
      </c>
      <c r="C868" t="n">
        <v>6</v>
      </c>
      <c r="D868" t="n">
        <v>5</v>
      </c>
      <c r="E868" t="s">
        <v>874</v>
      </c>
      <c r="F868" t="s"/>
      <c r="G868" t="s"/>
      <c r="H868" t="s"/>
      <c r="I868" t="s"/>
      <c r="J868" t="n">
        <v>-0.743</v>
      </c>
      <c r="K868" t="n">
        <v>0.13</v>
      </c>
      <c r="L868" t="n">
        <v>0.87</v>
      </c>
      <c r="M868" t="n">
        <v>0</v>
      </c>
    </row>
    <row r="869" spans="1:13">
      <c r="A869" s="1">
        <f>HYPERLINK("http://www.twitter.com/NathanBLawrence/status/993530390664052736", "993530390664052736")</f>
        <v/>
      </c>
      <c r="B869" s="2" t="n">
        <v>43227.69303240741</v>
      </c>
      <c r="C869" t="n">
        <v>0</v>
      </c>
      <c r="D869" t="n">
        <v>5</v>
      </c>
      <c r="E869" t="s">
        <v>875</v>
      </c>
      <c r="F869" t="s"/>
      <c r="G869" t="s"/>
      <c r="H869" t="s"/>
      <c r="I869" t="s"/>
      <c r="J869" t="n">
        <v>0</v>
      </c>
      <c r="K869" t="n">
        <v>0</v>
      </c>
      <c r="L869" t="n">
        <v>1</v>
      </c>
      <c r="M869" t="n">
        <v>0</v>
      </c>
    </row>
    <row r="870" spans="1:13">
      <c r="A870" s="1">
        <f>HYPERLINK("http://www.twitter.com/NathanBLawrence/status/993530348821798912", "993530348821798912")</f>
        <v/>
      </c>
      <c r="B870" s="2" t="n">
        <v>43227.69291666667</v>
      </c>
      <c r="C870" t="n">
        <v>4</v>
      </c>
      <c r="D870" t="n">
        <v>5</v>
      </c>
      <c r="E870" t="s">
        <v>876</v>
      </c>
      <c r="F870" t="s"/>
      <c r="G870" t="s"/>
      <c r="H870" t="s"/>
      <c r="I870" t="s"/>
      <c r="J870" t="n">
        <v>-0.743</v>
      </c>
      <c r="K870" t="n">
        <v>0.133</v>
      </c>
      <c r="L870" t="n">
        <v>0.867</v>
      </c>
      <c r="M870" t="n">
        <v>0</v>
      </c>
    </row>
    <row r="871" spans="1:13">
      <c r="A871" s="1">
        <f>HYPERLINK("http://www.twitter.com/NathanBLawrence/status/993527715742482432", "993527715742482432")</f>
        <v/>
      </c>
      <c r="B871" s="2" t="n">
        <v>43227.68564814814</v>
      </c>
      <c r="C871" t="n">
        <v>0</v>
      </c>
      <c r="D871" t="n">
        <v>1</v>
      </c>
      <c r="E871" t="s">
        <v>877</v>
      </c>
      <c r="F871" t="s"/>
      <c r="G871" t="s"/>
      <c r="H871" t="s"/>
      <c r="I871" t="s"/>
      <c r="J871" t="n">
        <v>0</v>
      </c>
      <c r="K871" t="n">
        <v>0</v>
      </c>
      <c r="L871" t="n">
        <v>1</v>
      </c>
      <c r="M871" t="n">
        <v>0</v>
      </c>
    </row>
    <row r="872" spans="1:13">
      <c r="A872" s="1">
        <f>HYPERLINK("http://www.twitter.com/NathanBLawrence/status/993527662210699264", "993527662210699264")</f>
        <v/>
      </c>
      <c r="B872" s="2" t="n">
        <v>43227.68550925926</v>
      </c>
      <c r="C872" t="n">
        <v>2</v>
      </c>
      <c r="D872" t="n">
        <v>1</v>
      </c>
      <c r="E872" t="s">
        <v>878</v>
      </c>
      <c r="F872" t="s"/>
      <c r="G872" t="s"/>
      <c r="H872" t="s"/>
      <c r="I872" t="s"/>
      <c r="J872" t="n">
        <v>-0.743</v>
      </c>
      <c r="K872" t="n">
        <v>0.133</v>
      </c>
      <c r="L872" t="n">
        <v>0.867</v>
      </c>
      <c r="M872" t="n">
        <v>0</v>
      </c>
    </row>
    <row r="873" spans="1:13">
      <c r="A873" s="1">
        <f>HYPERLINK("http://www.twitter.com/NathanBLawrence/status/993526057033662464", "993526057033662464")</f>
        <v/>
      </c>
      <c r="B873" s="2" t="n">
        <v>43227.68107638889</v>
      </c>
      <c r="C873" t="n">
        <v>0</v>
      </c>
      <c r="D873" t="n">
        <v>1</v>
      </c>
      <c r="E873" t="s">
        <v>879</v>
      </c>
      <c r="F873" t="s"/>
      <c r="G873" t="s"/>
      <c r="H873" t="s"/>
      <c r="I873" t="s"/>
      <c r="J873" t="n">
        <v>0</v>
      </c>
      <c r="K873" t="n">
        <v>0</v>
      </c>
      <c r="L873" t="n">
        <v>1</v>
      </c>
      <c r="M873" t="n">
        <v>0</v>
      </c>
    </row>
    <row r="874" spans="1:13">
      <c r="A874" s="1">
        <f>HYPERLINK("http://www.twitter.com/NathanBLawrence/status/993525907234152450", "993525907234152450")</f>
        <v/>
      </c>
      <c r="B874" s="2" t="n">
        <v>43227.68065972222</v>
      </c>
      <c r="C874" t="n">
        <v>2</v>
      </c>
      <c r="D874" t="n">
        <v>1</v>
      </c>
      <c r="E874" t="s">
        <v>880</v>
      </c>
      <c r="F874" t="s"/>
      <c r="G874" t="s"/>
      <c r="H874" t="s"/>
      <c r="I874" t="s"/>
      <c r="J874" t="n">
        <v>-0.5106000000000001</v>
      </c>
      <c r="K874" t="n">
        <v>0.142</v>
      </c>
      <c r="L874" t="n">
        <v>0.858</v>
      </c>
      <c r="M874" t="n">
        <v>0</v>
      </c>
    </row>
    <row r="875" spans="1:13">
      <c r="A875" s="1">
        <f>HYPERLINK("http://www.twitter.com/NathanBLawrence/status/993525116498825216", "993525116498825216")</f>
        <v/>
      </c>
      <c r="B875" s="2" t="n">
        <v>43227.6784837963</v>
      </c>
      <c r="C875" t="n">
        <v>0</v>
      </c>
      <c r="D875" t="n">
        <v>12</v>
      </c>
      <c r="E875" t="s">
        <v>881</v>
      </c>
      <c r="F875">
        <f>HYPERLINK("http://pbs.twimg.com/media/Dcm0Te1UwAACBNx.jpg", "http://pbs.twimg.com/media/Dcm0Te1UwAACBNx.jpg")</f>
        <v/>
      </c>
      <c r="G875" t="s"/>
      <c r="H875" t="s"/>
      <c r="I875" t="s"/>
      <c r="J875" t="n">
        <v>-0.7269</v>
      </c>
      <c r="K875" t="n">
        <v>0.276</v>
      </c>
      <c r="L875" t="n">
        <v>0.724</v>
      </c>
      <c r="M875" t="n">
        <v>0</v>
      </c>
    </row>
    <row r="876" spans="1:13">
      <c r="A876" s="1">
        <f>HYPERLINK("http://www.twitter.com/NathanBLawrence/status/993507445413765120", "993507445413765120")</f>
        <v/>
      </c>
      <c r="B876" s="2" t="n">
        <v>43227.62972222222</v>
      </c>
      <c r="C876" t="n">
        <v>0</v>
      </c>
      <c r="D876" t="n">
        <v>2</v>
      </c>
      <c r="E876" t="s">
        <v>882</v>
      </c>
      <c r="F876" t="s"/>
      <c r="G876" t="s"/>
      <c r="H876" t="s"/>
      <c r="I876" t="s"/>
      <c r="J876" t="n">
        <v>-0.3182</v>
      </c>
      <c r="K876" t="n">
        <v>0.095</v>
      </c>
      <c r="L876" t="n">
        <v>0.905</v>
      </c>
      <c r="M876" t="n">
        <v>0</v>
      </c>
    </row>
    <row r="877" spans="1:13">
      <c r="A877" s="1">
        <f>HYPERLINK("http://www.twitter.com/NathanBLawrence/status/993507357756940288", "993507357756940288")</f>
        <v/>
      </c>
      <c r="B877" s="2" t="n">
        <v>43227.62947916667</v>
      </c>
      <c r="C877" t="n">
        <v>5</v>
      </c>
      <c r="D877" t="n">
        <v>2</v>
      </c>
      <c r="E877" t="s">
        <v>883</v>
      </c>
      <c r="F877" t="s"/>
      <c r="G877" t="s"/>
      <c r="H877" t="s"/>
      <c r="I877" t="s"/>
      <c r="J877" t="n">
        <v>-0.794</v>
      </c>
      <c r="K877" t="n">
        <v>0.187</v>
      </c>
      <c r="L877" t="n">
        <v>0.8129999999999999</v>
      </c>
      <c r="M877" t="n">
        <v>0</v>
      </c>
    </row>
    <row r="878" spans="1:13">
      <c r="A878" s="1">
        <f>HYPERLINK("http://www.twitter.com/NathanBLawrence/status/993490970649026560", "993490970649026560")</f>
        <v/>
      </c>
      <c r="B878" s="2" t="n">
        <v>43227.58425925926</v>
      </c>
      <c r="C878" t="n">
        <v>0</v>
      </c>
      <c r="D878" t="n">
        <v>12</v>
      </c>
      <c r="E878" t="s">
        <v>884</v>
      </c>
      <c r="F878">
        <f>HYPERLINK("http://pbs.twimg.com/media/DcmWMWYXcAEUvvx.jpg", "http://pbs.twimg.com/media/DcmWMWYXcAEUvvx.jpg")</f>
        <v/>
      </c>
      <c r="G878" t="s"/>
      <c r="H878" t="s"/>
      <c r="I878" t="s"/>
      <c r="J878" t="n">
        <v>-0.4098</v>
      </c>
      <c r="K878" t="n">
        <v>0.154</v>
      </c>
      <c r="L878" t="n">
        <v>0.846</v>
      </c>
      <c r="M878" t="n">
        <v>0</v>
      </c>
    </row>
    <row r="879" spans="1:13">
      <c r="A879" s="1">
        <f>HYPERLINK("http://www.twitter.com/NathanBLawrence/status/993483456935092224", "993483456935092224")</f>
        <v/>
      </c>
      <c r="B879" s="2" t="n">
        <v>43227.56351851852</v>
      </c>
      <c r="C879" t="n">
        <v>0</v>
      </c>
      <c r="D879" t="n">
        <v>15</v>
      </c>
      <c r="E879" t="s">
        <v>885</v>
      </c>
      <c r="F879">
        <f>HYPERLINK("http://pbs.twimg.com/media/DcmLm5LU8AIr2bi.jpg", "http://pbs.twimg.com/media/DcmLm5LU8AIr2bi.jpg")</f>
        <v/>
      </c>
      <c r="G879" t="s"/>
      <c r="H879" t="s"/>
      <c r="I879" t="s"/>
      <c r="J879" t="n">
        <v>0.4648</v>
      </c>
      <c r="K879" t="n">
        <v>0</v>
      </c>
      <c r="L879" t="n">
        <v>0.879</v>
      </c>
      <c r="M879" t="n">
        <v>0.121</v>
      </c>
    </row>
    <row r="880" spans="1:13">
      <c r="A880" s="1">
        <f>HYPERLINK("http://www.twitter.com/NathanBLawrence/status/993483367680225283", "993483367680225283")</f>
        <v/>
      </c>
      <c r="B880" s="2" t="n">
        <v>43227.56327546296</v>
      </c>
      <c r="C880" t="n">
        <v>0</v>
      </c>
      <c r="D880" t="n">
        <v>1</v>
      </c>
      <c r="E880" t="s">
        <v>886</v>
      </c>
      <c r="F880" t="s"/>
      <c r="G880" t="s"/>
      <c r="H880" t="s"/>
      <c r="I880" t="s"/>
      <c r="J880" t="n">
        <v>0.4241</v>
      </c>
      <c r="K880" t="n">
        <v>0</v>
      </c>
      <c r="L880" t="n">
        <v>0.85</v>
      </c>
      <c r="M880" t="n">
        <v>0.15</v>
      </c>
    </row>
    <row r="881" spans="1:13">
      <c r="A881" s="1">
        <f>HYPERLINK("http://www.twitter.com/NathanBLawrence/status/993483310595788800", "993483310595788800")</f>
        <v/>
      </c>
      <c r="B881" s="2" t="n">
        <v>43227.56311342592</v>
      </c>
      <c r="C881" t="n">
        <v>2</v>
      </c>
      <c r="D881" t="n">
        <v>1</v>
      </c>
      <c r="E881" t="s">
        <v>887</v>
      </c>
      <c r="F881" t="s"/>
      <c r="G881" t="s"/>
      <c r="H881" t="s"/>
      <c r="I881" t="s"/>
      <c r="J881" t="n">
        <v>0.4241</v>
      </c>
      <c r="K881" t="n">
        <v>0</v>
      </c>
      <c r="L881" t="n">
        <v>0.833</v>
      </c>
      <c r="M881" t="n">
        <v>0.167</v>
      </c>
    </row>
    <row r="882" spans="1:13">
      <c r="A882" s="1">
        <f>HYPERLINK("http://www.twitter.com/NathanBLawrence/status/993482974468493313", "993482974468493313")</f>
        <v/>
      </c>
      <c r="B882" s="2" t="n">
        <v>43227.5621875</v>
      </c>
      <c r="C882" t="n">
        <v>0</v>
      </c>
      <c r="D882" t="n">
        <v>2</v>
      </c>
      <c r="E882" t="s">
        <v>888</v>
      </c>
      <c r="F882" t="s"/>
      <c r="G882" t="s"/>
      <c r="H882" t="s"/>
      <c r="I882" t="s"/>
      <c r="J882" t="n">
        <v>-0.4767</v>
      </c>
      <c r="K882" t="n">
        <v>0.154</v>
      </c>
      <c r="L882" t="n">
        <v>0.846</v>
      </c>
      <c r="M882" t="n">
        <v>0</v>
      </c>
    </row>
    <row r="883" spans="1:13">
      <c r="A883" s="1">
        <f>HYPERLINK("http://www.twitter.com/NathanBLawrence/status/993482924925255681", "993482924925255681")</f>
        <v/>
      </c>
      <c r="B883" s="2" t="n">
        <v>43227.56204861111</v>
      </c>
      <c r="C883" t="n">
        <v>2</v>
      </c>
      <c r="D883" t="n">
        <v>2</v>
      </c>
      <c r="E883" t="s">
        <v>889</v>
      </c>
      <c r="F883" t="s"/>
      <c r="G883" t="s"/>
      <c r="H883" t="s"/>
      <c r="I883" t="s"/>
      <c r="J883" t="n">
        <v>-0.5255</v>
      </c>
      <c r="K883" t="n">
        <v>0.105</v>
      </c>
      <c r="L883" t="n">
        <v>0.895</v>
      </c>
      <c r="M883" t="n">
        <v>0</v>
      </c>
    </row>
    <row r="884" spans="1:13">
      <c r="A884" s="1">
        <f>HYPERLINK("http://www.twitter.com/NathanBLawrence/status/993475198136578049", "993475198136578049")</f>
        <v/>
      </c>
      <c r="B884" s="2" t="n">
        <v>43227.54072916666</v>
      </c>
      <c r="C884" t="n">
        <v>0</v>
      </c>
      <c r="D884" t="n">
        <v>6</v>
      </c>
      <c r="E884" t="s">
        <v>890</v>
      </c>
      <c r="F884" t="s"/>
      <c r="G884" t="s"/>
      <c r="H884" t="s"/>
      <c r="I884" t="s"/>
      <c r="J884" t="n">
        <v>0.3612</v>
      </c>
      <c r="K884" t="n">
        <v>0</v>
      </c>
      <c r="L884" t="n">
        <v>0.889</v>
      </c>
      <c r="M884" t="n">
        <v>0.111</v>
      </c>
    </row>
    <row r="885" spans="1:13">
      <c r="A885" s="1">
        <f>HYPERLINK("http://www.twitter.com/NathanBLawrence/status/993468239475806208", "993468239475806208")</f>
        <v/>
      </c>
      <c r="B885" s="2" t="n">
        <v>43227.52152777778</v>
      </c>
      <c r="C885" t="n">
        <v>0</v>
      </c>
      <c r="D885" t="n">
        <v>11</v>
      </c>
      <c r="E885" t="s">
        <v>891</v>
      </c>
      <c r="F885">
        <f>HYPERLINK("http://pbs.twimg.com/media/DcmBddFW4AAX3Ip.jpg", "http://pbs.twimg.com/media/DcmBddFW4AAX3Ip.jpg")</f>
        <v/>
      </c>
      <c r="G885">
        <f>HYPERLINK("http://pbs.twimg.com/media/DcmBeqvWkAAT7XP.jpg", "http://pbs.twimg.com/media/DcmBeqvWkAAT7XP.jpg")</f>
        <v/>
      </c>
      <c r="H885">
        <f>HYPERLINK("http://pbs.twimg.com/media/DcmBfoLX4AEBwMd.jpg", "http://pbs.twimg.com/media/DcmBfoLX4AEBwMd.jpg")</f>
        <v/>
      </c>
      <c r="I885">
        <f>HYPERLINK("http://pbs.twimg.com/media/DcmBg5PXkAAeOsB.jpg", "http://pbs.twimg.com/media/DcmBg5PXkAAeOsB.jpg")</f>
        <v/>
      </c>
      <c r="J885" t="n">
        <v>0</v>
      </c>
      <c r="K885" t="n">
        <v>0</v>
      </c>
      <c r="L885" t="n">
        <v>1</v>
      </c>
      <c r="M885" t="n">
        <v>0</v>
      </c>
    </row>
    <row r="886" spans="1:13">
      <c r="A886" s="1">
        <f>HYPERLINK("http://www.twitter.com/NathanBLawrence/status/993468138489630720", "993468138489630720")</f>
        <v/>
      </c>
      <c r="B886" s="2" t="n">
        <v>43227.52125</v>
      </c>
      <c r="C886" t="n">
        <v>13</v>
      </c>
      <c r="D886" t="n">
        <v>11</v>
      </c>
      <c r="E886" t="s">
        <v>892</v>
      </c>
      <c r="F886">
        <f>HYPERLINK("http://pbs.twimg.com/media/DcmBddFW4AAX3Ip.jpg", "http://pbs.twimg.com/media/DcmBddFW4AAX3Ip.jpg")</f>
        <v/>
      </c>
      <c r="G886">
        <f>HYPERLINK("http://pbs.twimg.com/media/DcmBeqvWkAAT7XP.jpg", "http://pbs.twimg.com/media/DcmBeqvWkAAT7XP.jpg")</f>
        <v/>
      </c>
      <c r="H886">
        <f>HYPERLINK("http://pbs.twimg.com/media/DcmBfoLX4AEBwMd.jpg", "http://pbs.twimg.com/media/DcmBfoLX4AEBwMd.jpg")</f>
        <v/>
      </c>
      <c r="I886">
        <f>HYPERLINK("http://pbs.twimg.com/media/DcmBg5PXkAAeOsB.jpg", "http://pbs.twimg.com/media/DcmBg5PXkAAeOsB.jpg")</f>
        <v/>
      </c>
      <c r="J886" t="n">
        <v>-0.3382</v>
      </c>
      <c r="K886" t="n">
        <v>0.183</v>
      </c>
      <c r="L886" t="n">
        <v>0.67</v>
      </c>
      <c r="M886" t="n">
        <v>0.147</v>
      </c>
    </row>
    <row r="887" spans="1:13">
      <c r="A887" s="1">
        <f>HYPERLINK("http://www.twitter.com/NathanBLawrence/status/993462697323876353", "993462697323876353")</f>
        <v/>
      </c>
      <c r="B887" s="2" t="n">
        <v>43227.50623842593</v>
      </c>
      <c r="C887" t="n">
        <v>0</v>
      </c>
      <c r="D887" t="n">
        <v>2</v>
      </c>
      <c r="E887" t="s">
        <v>893</v>
      </c>
      <c r="F887">
        <f>HYPERLINK("http://pbs.twimg.com/media/Dcl7u9NVQAA46HS.jpg", "http://pbs.twimg.com/media/Dcl7u9NVQAA46HS.jpg")</f>
        <v/>
      </c>
      <c r="G887" t="s"/>
      <c r="H887" t="s"/>
      <c r="I887" t="s"/>
      <c r="J887" t="n">
        <v>0</v>
      </c>
      <c r="K887" t="n">
        <v>0</v>
      </c>
      <c r="L887" t="n">
        <v>1</v>
      </c>
      <c r="M887" t="n">
        <v>0</v>
      </c>
    </row>
    <row r="888" spans="1:13">
      <c r="A888" s="1">
        <f>HYPERLINK("http://www.twitter.com/NathanBLawrence/status/993462677686181889", "993462677686181889")</f>
        <v/>
      </c>
      <c r="B888" s="2" t="n">
        <v>43227.50618055555</v>
      </c>
      <c r="C888" t="n">
        <v>0</v>
      </c>
      <c r="D888" t="n">
        <v>2</v>
      </c>
      <c r="E888" t="s">
        <v>894</v>
      </c>
      <c r="F888">
        <f>HYPERLINK("http://pbs.twimg.com/media/Dcl8DQPV4AIH7ba.jpg", "http://pbs.twimg.com/media/Dcl8DQPV4AIH7ba.jpg")</f>
        <v/>
      </c>
      <c r="G888" t="s"/>
      <c r="H888" t="s"/>
      <c r="I888" t="s"/>
      <c r="J888" t="n">
        <v>0</v>
      </c>
      <c r="K888" t="n">
        <v>0</v>
      </c>
      <c r="L888" t="n">
        <v>1</v>
      </c>
      <c r="M888" t="n">
        <v>0</v>
      </c>
    </row>
    <row r="889" spans="1:13">
      <c r="A889" s="1">
        <f>HYPERLINK("http://www.twitter.com/NathanBLawrence/status/993462628059090946", "993462628059090946")</f>
        <v/>
      </c>
      <c r="B889" s="2" t="n">
        <v>43227.50604166667</v>
      </c>
      <c r="C889" t="n">
        <v>0</v>
      </c>
      <c r="D889" t="n">
        <v>3</v>
      </c>
      <c r="E889" t="s">
        <v>895</v>
      </c>
      <c r="F889">
        <f>HYPERLINK("http://pbs.twimg.com/media/Dcl8TpcV0AA8AKg.jpg", "http://pbs.twimg.com/media/Dcl8TpcV0AA8AKg.jpg")</f>
        <v/>
      </c>
      <c r="G889" t="s"/>
      <c r="H889" t="s"/>
      <c r="I889" t="s"/>
      <c r="J889" t="n">
        <v>0</v>
      </c>
      <c r="K889" t="n">
        <v>0</v>
      </c>
      <c r="L889" t="n">
        <v>1</v>
      </c>
      <c r="M889" t="n">
        <v>0</v>
      </c>
    </row>
    <row r="890" spans="1:13">
      <c r="A890" s="1">
        <f>HYPERLINK("http://www.twitter.com/NathanBLawrence/status/993457917243346944", "993457917243346944")</f>
        <v/>
      </c>
      <c r="B890" s="2" t="n">
        <v>43227.49304398148</v>
      </c>
      <c r="C890" t="n">
        <v>0</v>
      </c>
      <c r="D890" t="n">
        <v>1</v>
      </c>
      <c r="E890" t="s">
        <v>896</v>
      </c>
      <c r="F890" t="s"/>
      <c r="G890" t="s"/>
      <c r="H890" t="s"/>
      <c r="I890" t="s"/>
      <c r="J890" t="n">
        <v>-0.4939</v>
      </c>
      <c r="K890" t="n">
        <v>0.167</v>
      </c>
      <c r="L890" t="n">
        <v>0.833</v>
      </c>
      <c r="M890" t="n">
        <v>0</v>
      </c>
    </row>
    <row r="891" spans="1:13">
      <c r="A891" s="1">
        <f>HYPERLINK("http://www.twitter.com/NathanBLawrence/status/993457865179516928", "993457865179516928")</f>
        <v/>
      </c>
      <c r="B891" s="2" t="n">
        <v>43227.49290509259</v>
      </c>
      <c r="C891" t="n">
        <v>0</v>
      </c>
      <c r="D891" t="n">
        <v>1</v>
      </c>
      <c r="E891" t="s">
        <v>897</v>
      </c>
      <c r="F891" t="s"/>
      <c r="G891" t="s"/>
      <c r="H891" t="s"/>
      <c r="I891" t="s"/>
      <c r="J891" t="n">
        <v>-0.3532</v>
      </c>
      <c r="K891" t="n">
        <v>0.185</v>
      </c>
      <c r="L891" t="n">
        <v>0.697</v>
      </c>
      <c r="M891" t="n">
        <v>0.118</v>
      </c>
    </row>
    <row r="892" spans="1:13">
      <c r="A892" s="1">
        <f>HYPERLINK("http://www.twitter.com/NathanBLawrence/status/993452932380217344", "993452932380217344")</f>
        <v/>
      </c>
      <c r="B892" s="2" t="n">
        <v>43227.47929398148</v>
      </c>
      <c r="C892" t="n">
        <v>0</v>
      </c>
      <c r="D892" t="n">
        <v>2</v>
      </c>
      <c r="E892" t="s">
        <v>898</v>
      </c>
      <c r="F892" t="s"/>
      <c r="G892" t="s"/>
      <c r="H892" t="s"/>
      <c r="I892" t="s"/>
      <c r="J892" t="n">
        <v>0</v>
      </c>
      <c r="K892" t="n">
        <v>0</v>
      </c>
      <c r="L892" t="n">
        <v>1</v>
      </c>
      <c r="M892" t="n">
        <v>0</v>
      </c>
    </row>
    <row r="893" spans="1:13">
      <c r="A893" s="1">
        <f>HYPERLINK("http://www.twitter.com/NathanBLawrence/status/993432364956160000", "993432364956160000")</f>
        <v/>
      </c>
      <c r="B893" s="2" t="n">
        <v>43227.42253472222</v>
      </c>
      <c r="C893" t="n">
        <v>0</v>
      </c>
      <c r="D893" t="n">
        <v>2</v>
      </c>
      <c r="E893" t="s">
        <v>899</v>
      </c>
      <c r="F893" t="s"/>
      <c r="G893" t="s"/>
      <c r="H893" t="s"/>
      <c r="I893" t="s"/>
      <c r="J893" t="n">
        <v>0</v>
      </c>
      <c r="K893" t="n">
        <v>0</v>
      </c>
      <c r="L893" t="n">
        <v>1</v>
      </c>
      <c r="M893" t="n">
        <v>0</v>
      </c>
    </row>
    <row r="894" spans="1:13">
      <c r="A894" s="1">
        <f>HYPERLINK("http://www.twitter.com/NathanBLawrence/status/993331774624288768", "993331774624288768")</f>
        <v/>
      </c>
      <c r="B894" s="2" t="n">
        <v>43227.1449537037</v>
      </c>
      <c r="C894" t="n">
        <v>0</v>
      </c>
      <c r="D894" t="n">
        <v>6</v>
      </c>
      <c r="E894" t="s">
        <v>900</v>
      </c>
      <c r="F894" t="s"/>
      <c r="G894" t="s"/>
      <c r="H894" t="s"/>
      <c r="I894" t="s"/>
      <c r="J894" t="n">
        <v>-0.7845</v>
      </c>
      <c r="K894" t="n">
        <v>0.351</v>
      </c>
      <c r="L894" t="n">
        <v>0.59</v>
      </c>
      <c r="M894" t="n">
        <v>0.059</v>
      </c>
    </row>
    <row r="895" spans="1:13">
      <c r="A895" s="1">
        <f>HYPERLINK("http://www.twitter.com/NathanBLawrence/status/993331623134482432", "993331623134482432")</f>
        <v/>
      </c>
      <c r="B895" s="2" t="n">
        <v>43227.14453703703</v>
      </c>
      <c r="C895" t="n">
        <v>10</v>
      </c>
      <c r="D895" t="n">
        <v>6</v>
      </c>
      <c r="E895" t="s">
        <v>901</v>
      </c>
      <c r="F895" t="s"/>
      <c r="G895" t="s"/>
      <c r="H895" t="s"/>
      <c r="I895" t="s"/>
      <c r="J895" t="n">
        <v>0.068</v>
      </c>
      <c r="K895" t="n">
        <v>0.215</v>
      </c>
      <c r="L895" t="n">
        <v>0.547</v>
      </c>
      <c r="M895" t="n">
        <v>0.238</v>
      </c>
    </row>
    <row r="896" spans="1:13">
      <c r="A896" s="1">
        <f>HYPERLINK("http://www.twitter.com/NathanBLawrence/status/993327228384661506", "993327228384661506")</f>
        <v/>
      </c>
      <c r="B896" s="2" t="n">
        <v>43227.13241898148</v>
      </c>
      <c r="C896" t="n">
        <v>0</v>
      </c>
      <c r="D896" t="n">
        <v>3</v>
      </c>
      <c r="E896" t="s">
        <v>902</v>
      </c>
      <c r="F896" t="s"/>
      <c r="G896" t="s"/>
      <c r="H896" t="s"/>
      <c r="I896" t="s"/>
      <c r="J896" t="n">
        <v>0.1695</v>
      </c>
      <c r="K896" t="n">
        <v>0</v>
      </c>
      <c r="L896" t="n">
        <v>0.9</v>
      </c>
      <c r="M896" t="n">
        <v>0.1</v>
      </c>
    </row>
    <row r="897" spans="1:13">
      <c r="A897" s="1">
        <f>HYPERLINK("http://www.twitter.com/NathanBLawrence/status/993327150769082370", "993327150769082370")</f>
        <v/>
      </c>
      <c r="B897" s="2" t="n">
        <v>43227.13219907408</v>
      </c>
      <c r="C897" t="n">
        <v>6</v>
      </c>
      <c r="D897" t="n">
        <v>3</v>
      </c>
      <c r="E897" t="s">
        <v>903</v>
      </c>
      <c r="F897" t="s"/>
      <c r="G897" t="s"/>
      <c r="H897" t="s"/>
      <c r="I897" t="s"/>
      <c r="J897" t="n">
        <v>0.354</v>
      </c>
      <c r="K897" t="n">
        <v>0</v>
      </c>
      <c r="L897" t="n">
        <v>0.896</v>
      </c>
      <c r="M897" t="n">
        <v>0.104</v>
      </c>
    </row>
    <row r="898" spans="1:13">
      <c r="A898" s="1">
        <f>HYPERLINK("http://www.twitter.com/NathanBLawrence/status/993325442315833344", "993325442315833344")</f>
        <v/>
      </c>
      <c r="B898" s="2" t="n">
        <v>43227.12748842593</v>
      </c>
      <c r="C898" t="n">
        <v>0</v>
      </c>
      <c r="D898" t="n">
        <v>7</v>
      </c>
      <c r="E898" t="s">
        <v>904</v>
      </c>
      <c r="F898" t="s"/>
      <c r="G898" t="s"/>
      <c r="H898" t="s"/>
      <c r="I898" t="s"/>
      <c r="J898" t="n">
        <v>0</v>
      </c>
      <c r="K898" t="n">
        <v>0</v>
      </c>
      <c r="L898" t="n">
        <v>1</v>
      </c>
      <c r="M898" t="n">
        <v>0</v>
      </c>
    </row>
    <row r="899" spans="1:13">
      <c r="A899" s="1">
        <f>HYPERLINK("http://www.twitter.com/NathanBLawrence/status/993325372434538496", "993325372434538496")</f>
        <v/>
      </c>
      <c r="B899" s="2" t="n">
        <v>43227.12729166666</v>
      </c>
      <c r="C899" t="n">
        <v>0</v>
      </c>
      <c r="D899" t="n">
        <v>3</v>
      </c>
      <c r="E899" t="s">
        <v>905</v>
      </c>
      <c r="F899" t="s"/>
      <c r="G899" t="s"/>
      <c r="H899" t="s"/>
      <c r="I899" t="s"/>
      <c r="J899" t="n">
        <v>0.5719</v>
      </c>
      <c r="K899" t="n">
        <v>0</v>
      </c>
      <c r="L899" t="n">
        <v>0.837</v>
      </c>
      <c r="M899" t="n">
        <v>0.163</v>
      </c>
    </row>
    <row r="900" spans="1:13">
      <c r="A900" s="1">
        <f>HYPERLINK("http://www.twitter.com/NathanBLawrence/status/993324902257188869", "993324902257188869")</f>
        <v/>
      </c>
      <c r="B900" s="2" t="n">
        <v>43227.12599537037</v>
      </c>
      <c r="C900" t="n">
        <v>0</v>
      </c>
      <c r="D900" t="n">
        <v>4</v>
      </c>
      <c r="E900" t="s">
        <v>906</v>
      </c>
      <c r="F900" t="s"/>
      <c r="G900" t="s"/>
      <c r="H900" t="s"/>
      <c r="I900" t="s"/>
      <c r="J900" t="n">
        <v>-0.4404</v>
      </c>
      <c r="K900" t="n">
        <v>0.116</v>
      </c>
      <c r="L900" t="n">
        <v>0.884</v>
      </c>
      <c r="M900" t="n">
        <v>0</v>
      </c>
    </row>
    <row r="901" spans="1:13">
      <c r="A901" s="1">
        <f>HYPERLINK("http://www.twitter.com/NathanBLawrence/status/993321468560801792", "993321468560801792")</f>
        <v/>
      </c>
      <c r="B901" s="2" t="n">
        <v>43227.11651620371</v>
      </c>
      <c r="C901" t="n">
        <v>0</v>
      </c>
      <c r="D901" t="n">
        <v>2</v>
      </c>
      <c r="E901" t="s">
        <v>907</v>
      </c>
      <c r="F901" t="s"/>
      <c r="G901" t="s"/>
      <c r="H901" t="s"/>
      <c r="I901" t="s"/>
      <c r="J901" t="n">
        <v>-0.9001</v>
      </c>
      <c r="K901" t="n">
        <v>0.407</v>
      </c>
      <c r="L901" t="n">
        <v>0.593</v>
      </c>
      <c r="M901" t="n">
        <v>0</v>
      </c>
    </row>
    <row r="902" spans="1:13">
      <c r="A902" s="1">
        <f>HYPERLINK("http://www.twitter.com/NathanBLawrence/status/993311823071006720", "993311823071006720")</f>
        <v/>
      </c>
      <c r="B902" s="2" t="n">
        <v>43227.0899074074</v>
      </c>
      <c r="C902" t="n">
        <v>0</v>
      </c>
      <c r="D902" t="n">
        <v>1</v>
      </c>
      <c r="E902" t="s">
        <v>908</v>
      </c>
      <c r="F902" t="s"/>
      <c r="G902" t="s"/>
      <c r="H902" t="s"/>
      <c r="I902" t="s"/>
      <c r="J902" t="n">
        <v>-0.296</v>
      </c>
      <c r="K902" t="n">
        <v>0.109</v>
      </c>
      <c r="L902" t="n">
        <v>0.891</v>
      </c>
      <c r="M902" t="n">
        <v>0</v>
      </c>
    </row>
    <row r="903" spans="1:13">
      <c r="A903" s="1">
        <f>HYPERLINK("http://www.twitter.com/NathanBLawrence/status/993309131191865344", "993309131191865344")</f>
        <v/>
      </c>
      <c r="B903" s="2" t="n">
        <v>43227.08247685185</v>
      </c>
      <c r="C903" t="n">
        <v>0</v>
      </c>
      <c r="D903" t="n">
        <v>22</v>
      </c>
      <c r="E903" t="s">
        <v>909</v>
      </c>
      <c r="F903">
        <f>HYPERLINK("http://pbs.twimg.com/media/Dcjv9DmXkAIYevh.jpg", "http://pbs.twimg.com/media/Dcjv9DmXkAIYevh.jpg")</f>
        <v/>
      </c>
      <c r="G903" t="s"/>
      <c r="H903" t="s"/>
      <c r="I903" t="s"/>
      <c r="J903" t="n">
        <v>0.7177</v>
      </c>
      <c r="K903" t="n">
        <v>0</v>
      </c>
      <c r="L903" t="n">
        <v>0.7</v>
      </c>
      <c r="M903" t="n">
        <v>0.3</v>
      </c>
    </row>
    <row r="904" spans="1:13">
      <c r="A904" s="1">
        <f>HYPERLINK("http://www.twitter.com/NathanBLawrence/status/993309109435977728", "993309109435977728")</f>
        <v/>
      </c>
      <c r="B904" s="2" t="n">
        <v>43227.08241898148</v>
      </c>
      <c r="C904" t="n">
        <v>20</v>
      </c>
      <c r="D904" t="n">
        <v>22</v>
      </c>
      <c r="E904" t="s">
        <v>910</v>
      </c>
      <c r="F904">
        <f>HYPERLINK("http://pbs.twimg.com/media/Dcjv9DmXkAIYevh.jpg", "http://pbs.twimg.com/media/Dcjv9DmXkAIYevh.jpg")</f>
        <v/>
      </c>
      <c r="G904" t="s"/>
      <c r="H904" t="s"/>
      <c r="I904" t="s"/>
      <c r="J904" t="n">
        <v>0.4003</v>
      </c>
      <c r="K904" t="n">
        <v>0.08799999999999999</v>
      </c>
      <c r="L904" t="n">
        <v>0.751</v>
      </c>
      <c r="M904" t="n">
        <v>0.161</v>
      </c>
    </row>
    <row r="905" spans="1:13">
      <c r="A905" s="1">
        <f>HYPERLINK("http://www.twitter.com/NathanBLawrence/status/993309009947058176", "993309009947058176")</f>
        <v/>
      </c>
      <c r="B905" s="2" t="n">
        <v>43227.0821412037</v>
      </c>
      <c r="C905" t="n">
        <v>0</v>
      </c>
      <c r="D905" t="n">
        <v>8</v>
      </c>
      <c r="E905" t="s">
        <v>911</v>
      </c>
      <c r="F905" t="s"/>
      <c r="G905" t="s"/>
      <c r="H905" t="s"/>
      <c r="I905" t="s"/>
      <c r="J905" t="n">
        <v>0</v>
      </c>
      <c r="K905" t="n">
        <v>0</v>
      </c>
      <c r="L905" t="n">
        <v>1</v>
      </c>
      <c r="M905" t="n">
        <v>0</v>
      </c>
    </row>
    <row r="906" spans="1:13">
      <c r="A906" s="1">
        <f>HYPERLINK("http://www.twitter.com/NathanBLawrence/status/993303145660014595", "993303145660014595")</f>
        <v/>
      </c>
      <c r="B906" s="2" t="n">
        <v>43227.06596064815</v>
      </c>
      <c r="C906" t="n">
        <v>0</v>
      </c>
      <c r="D906" t="n">
        <v>1</v>
      </c>
      <c r="E906" t="s">
        <v>912</v>
      </c>
      <c r="F906" t="s"/>
      <c r="G906" t="s"/>
      <c r="H906" t="s"/>
      <c r="I906" t="s"/>
      <c r="J906" t="n">
        <v>0</v>
      </c>
      <c r="K906" t="n">
        <v>0</v>
      </c>
      <c r="L906" t="n">
        <v>1</v>
      </c>
      <c r="M906" t="n">
        <v>0</v>
      </c>
    </row>
    <row r="907" spans="1:13">
      <c r="A907" s="1">
        <f>HYPERLINK("http://www.twitter.com/NathanBLawrence/status/993266978931531776", "993266978931531776")</f>
        <v/>
      </c>
      <c r="B907" s="2" t="n">
        <v>43226.96615740741</v>
      </c>
      <c r="C907" t="n">
        <v>2</v>
      </c>
      <c r="D907" t="n">
        <v>2</v>
      </c>
      <c r="E907" t="s">
        <v>913</v>
      </c>
      <c r="F907" t="s"/>
      <c r="G907" t="s"/>
      <c r="H907" t="s"/>
      <c r="I907" t="s"/>
      <c r="J907" t="n">
        <v>-0.296</v>
      </c>
      <c r="K907" t="n">
        <v>0.099</v>
      </c>
      <c r="L907" t="n">
        <v>0.838</v>
      </c>
      <c r="M907" t="n">
        <v>0.063</v>
      </c>
    </row>
    <row r="908" spans="1:13">
      <c r="A908" s="1">
        <f>HYPERLINK("http://www.twitter.com/NathanBLawrence/status/993266924665569280", "993266924665569280")</f>
        <v/>
      </c>
      <c r="B908" s="2" t="n">
        <v>43226.96600694444</v>
      </c>
      <c r="C908" t="n">
        <v>0</v>
      </c>
      <c r="D908" t="n">
        <v>0</v>
      </c>
      <c r="E908" t="s">
        <v>914</v>
      </c>
      <c r="F908" t="s"/>
      <c r="G908" t="s"/>
      <c r="H908" t="s"/>
      <c r="I908" t="s"/>
      <c r="J908" t="n">
        <v>0</v>
      </c>
      <c r="K908" t="n">
        <v>0</v>
      </c>
      <c r="L908" t="n">
        <v>1</v>
      </c>
      <c r="M908" t="n">
        <v>0</v>
      </c>
    </row>
    <row r="909" spans="1:13">
      <c r="A909" s="1">
        <f>HYPERLINK("http://www.twitter.com/NathanBLawrence/status/993264290185531392", "993264290185531392")</f>
        <v/>
      </c>
      <c r="B909" s="2" t="n">
        <v>43226.95873842593</v>
      </c>
      <c r="C909" t="n">
        <v>0</v>
      </c>
      <c r="D909" t="n">
        <v>1</v>
      </c>
      <c r="E909" t="s">
        <v>915</v>
      </c>
      <c r="F909" t="s"/>
      <c r="G909" t="s"/>
      <c r="H909" t="s"/>
      <c r="I909" t="s"/>
      <c r="J909" t="n">
        <v>-0.296</v>
      </c>
      <c r="K909" t="n">
        <v>0.091</v>
      </c>
      <c r="L909" t="n">
        <v>0.909</v>
      </c>
      <c r="M909" t="n">
        <v>0</v>
      </c>
    </row>
    <row r="910" spans="1:13">
      <c r="A910" s="1">
        <f>HYPERLINK("http://www.twitter.com/NathanBLawrence/status/993264211173179392", "993264211173179392")</f>
        <v/>
      </c>
      <c r="B910" s="2" t="n">
        <v>43226.95851851852</v>
      </c>
      <c r="C910" t="n">
        <v>2</v>
      </c>
      <c r="D910" t="n">
        <v>1</v>
      </c>
      <c r="E910" t="s">
        <v>916</v>
      </c>
      <c r="F910" t="s"/>
      <c r="G910" t="s"/>
      <c r="H910" t="s"/>
      <c r="I910" t="s"/>
      <c r="J910" t="n">
        <v>-0.8348</v>
      </c>
      <c r="K910" t="n">
        <v>0.183</v>
      </c>
      <c r="L910" t="n">
        <v>0.8169999999999999</v>
      </c>
      <c r="M910" t="n">
        <v>0</v>
      </c>
    </row>
    <row r="911" spans="1:13">
      <c r="A911" s="1">
        <f>HYPERLINK("http://www.twitter.com/NathanBLawrence/status/993234343257616384", "993234343257616384")</f>
        <v/>
      </c>
      <c r="B911" s="2" t="n">
        <v>43226.87609953704</v>
      </c>
      <c r="C911" t="n">
        <v>0</v>
      </c>
      <c r="D911" t="n">
        <v>5</v>
      </c>
      <c r="E911" t="s">
        <v>917</v>
      </c>
      <c r="F911" t="s"/>
      <c r="G911" t="s"/>
      <c r="H911" t="s"/>
      <c r="I911" t="s"/>
      <c r="J911" t="n">
        <v>0</v>
      </c>
      <c r="K911" t="n">
        <v>0</v>
      </c>
      <c r="L911" t="n">
        <v>1</v>
      </c>
      <c r="M911" t="n">
        <v>0</v>
      </c>
    </row>
    <row r="912" spans="1:13">
      <c r="A912" s="1">
        <f>HYPERLINK("http://www.twitter.com/NathanBLawrence/status/993234314480488454", "993234314480488454")</f>
        <v/>
      </c>
      <c r="B912" s="2" t="n">
        <v>43226.87601851852</v>
      </c>
      <c r="C912" t="n">
        <v>0</v>
      </c>
      <c r="D912" t="n">
        <v>9</v>
      </c>
      <c r="E912" t="s">
        <v>918</v>
      </c>
      <c r="F912" t="s"/>
      <c r="G912" t="s"/>
      <c r="H912" t="s"/>
      <c r="I912" t="s"/>
      <c r="J912" t="n">
        <v>-0.2732</v>
      </c>
      <c r="K912" t="n">
        <v>0.08400000000000001</v>
      </c>
      <c r="L912" t="n">
        <v>0.916</v>
      </c>
      <c r="M912" t="n">
        <v>0</v>
      </c>
    </row>
    <row r="913" spans="1:13">
      <c r="A913" s="1">
        <f>HYPERLINK("http://www.twitter.com/NathanBLawrence/status/993225337281630208", "993225337281630208")</f>
        <v/>
      </c>
      <c r="B913" s="2" t="n">
        <v>43226.85125</v>
      </c>
      <c r="C913" t="n">
        <v>0</v>
      </c>
      <c r="D913" t="n">
        <v>12</v>
      </c>
      <c r="E913" t="s">
        <v>919</v>
      </c>
      <c r="F913" t="s"/>
      <c r="G913" t="s"/>
      <c r="H913" t="s"/>
      <c r="I913" t="s"/>
      <c r="J913" t="n">
        <v>0</v>
      </c>
      <c r="K913" t="n">
        <v>0</v>
      </c>
      <c r="L913" t="n">
        <v>1</v>
      </c>
      <c r="M913" t="n">
        <v>0</v>
      </c>
    </row>
    <row r="914" spans="1:13">
      <c r="A914" s="1">
        <f>HYPERLINK("http://www.twitter.com/NathanBLawrence/status/993223178347601920", "993223178347601920")</f>
        <v/>
      </c>
      <c r="B914" s="2" t="n">
        <v>43226.84528935186</v>
      </c>
      <c r="C914" t="n">
        <v>0</v>
      </c>
      <c r="D914" t="n">
        <v>3</v>
      </c>
      <c r="E914" t="s">
        <v>920</v>
      </c>
      <c r="F914" t="s"/>
      <c r="G914" t="s"/>
      <c r="H914" t="s"/>
      <c r="I914" t="s"/>
      <c r="J914" t="n">
        <v>-0.34</v>
      </c>
      <c r="K914" t="n">
        <v>0.118</v>
      </c>
      <c r="L914" t="n">
        <v>0.882</v>
      </c>
      <c r="M914" t="n">
        <v>0</v>
      </c>
    </row>
    <row r="915" spans="1:13">
      <c r="A915" s="1">
        <f>HYPERLINK("http://www.twitter.com/NathanBLawrence/status/993181729291751424", "993181729291751424")</f>
        <v/>
      </c>
      <c r="B915" s="2" t="n">
        <v>43226.73091435185</v>
      </c>
      <c r="C915" t="n">
        <v>0</v>
      </c>
      <c r="D915" t="n">
        <v>8</v>
      </c>
      <c r="E915" t="s">
        <v>921</v>
      </c>
      <c r="F915" t="s"/>
      <c r="G915" t="s"/>
      <c r="H915" t="s"/>
      <c r="I915" t="s"/>
      <c r="J915" t="n">
        <v>0.4215</v>
      </c>
      <c r="K915" t="n">
        <v>0</v>
      </c>
      <c r="L915" t="n">
        <v>0.877</v>
      </c>
      <c r="M915" t="n">
        <v>0.123</v>
      </c>
    </row>
    <row r="916" spans="1:13">
      <c r="A916" s="1">
        <f>HYPERLINK("http://www.twitter.com/NathanBLawrence/status/993181662405103616", "993181662405103616")</f>
        <v/>
      </c>
      <c r="B916" s="2" t="n">
        <v>43226.73072916667</v>
      </c>
      <c r="C916" t="n">
        <v>12</v>
      </c>
      <c r="D916" t="n">
        <v>8</v>
      </c>
      <c r="E916" t="s">
        <v>922</v>
      </c>
      <c r="F916" t="s"/>
      <c r="G916" t="s"/>
      <c r="H916" t="s"/>
      <c r="I916" t="s"/>
      <c r="J916" t="n">
        <v>0.6249</v>
      </c>
      <c r="K916" t="n">
        <v>0</v>
      </c>
      <c r="L916" t="n">
        <v>0.896</v>
      </c>
      <c r="M916" t="n">
        <v>0.104</v>
      </c>
    </row>
    <row r="917" spans="1:13">
      <c r="A917" s="1">
        <f>HYPERLINK("http://www.twitter.com/NathanBLawrence/status/993137552755515397", "993137552755515397")</f>
        <v/>
      </c>
      <c r="B917" s="2" t="n">
        <v>43226.60900462963</v>
      </c>
      <c r="C917" t="n">
        <v>0</v>
      </c>
      <c r="D917" t="n">
        <v>3</v>
      </c>
      <c r="E917" t="s">
        <v>923</v>
      </c>
      <c r="F917" t="s"/>
      <c r="G917" t="s"/>
      <c r="H917" t="s"/>
      <c r="I917" t="s"/>
      <c r="J917" t="n">
        <v>-0.1531</v>
      </c>
      <c r="K917" t="n">
        <v>0.156</v>
      </c>
      <c r="L917" t="n">
        <v>0.714</v>
      </c>
      <c r="M917" t="n">
        <v>0.129</v>
      </c>
    </row>
    <row r="918" spans="1:13">
      <c r="A918" s="1">
        <f>HYPERLINK("http://www.twitter.com/NathanBLawrence/status/993137534564741122", "993137534564741122")</f>
        <v/>
      </c>
      <c r="B918" s="2" t="n">
        <v>43226.60895833333</v>
      </c>
      <c r="C918" t="n">
        <v>5</v>
      </c>
      <c r="D918" t="n">
        <v>3</v>
      </c>
      <c r="E918" t="s">
        <v>924</v>
      </c>
      <c r="F918" t="s"/>
      <c r="G918" t="s"/>
      <c r="H918" t="s"/>
      <c r="I918" t="s"/>
      <c r="J918" t="n">
        <v>-0.1531</v>
      </c>
      <c r="K918" t="n">
        <v>0.156</v>
      </c>
      <c r="L918" t="n">
        <v>0.714</v>
      </c>
      <c r="M918" t="n">
        <v>0.129</v>
      </c>
    </row>
    <row r="919" spans="1:13">
      <c r="A919" s="1">
        <f>HYPERLINK("http://www.twitter.com/NathanBLawrence/status/993137332164448256", "993137332164448256")</f>
        <v/>
      </c>
      <c r="B919" s="2" t="n">
        <v>43226.60840277778</v>
      </c>
      <c r="C919" t="n">
        <v>0</v>
      </c>
      <c r="D919" t="n">
        <v>2</v>
      </c>
      <c r="E919" t="s">
        <v>925</v>
      </c>
      <c r="F919" t="s"/>
      <c r="G919" t="s"/>
      <c r="H919" t="s"/>
      <c r="I919" t="s"/>
      <c r="J919" t="n">
        <v>0</v>
      </c>
      <c r="K919" t="n">
        <v>0</v>
      </c>
      <c r="L919" t="n">
        <v>1</v>
      </c>
      <c r="M919" t="n">
        <v>0</v>
      </c>
    </row>
    <row r="920" spans="1:13">
      <c r="A920" s="1">
        <f>HYPERLINK("http://www.twitter.com/NathanBLawrence/status/992899978522656768", "992899978522656768")</f>
        <v/>
      </c>
      <c r="B920" s="2" t="n">
        <v>43225.95342592592</v>
      </c>
      <c r="C920" t="n">
        <v>0</v>
      </c>
      <c r="D920" t="n">
        <v>2</v>
      </c>
      <c r="E920" t="s">
        <v>926</v>
      </c>
      <c r="F920" t="s"/>
      <c r="G920" t="s"/>
      <c r="H920" t="s"/>
      <c r="I920" t="s"/>
      <c r="J920" t="n">
        <v>0.4939</v>
      </c>
      <c r="K920" t="n">
        <v>0</v>
      </c>
      <c r="L920" t="n">
        <v>0.873</v>
      </c>
      <c r="M920" t="n">
        <v>0.127</v>
      </c>
    </row>
    <row r="921" spans="1:13">
      <c r="A921" s="1">
        <f>HYPERLINK("http://www.twitter.com/NathanBLawrence/status/992899941507960843", "992899941507960843")</f>
        <v/>
      </c>
      <c r="B921" s="2" t="n">
        <v>43225.95332175926</v>
      </c>
      <c r="C921" t="n">
        <v>0</v>
      </c>
      <c r="D921" t="n">
        <v>2</v>
      </c>
      <c r="E921" t="s">
        <v>927</v>
      </c>
      <c r="F921" t="s"/>
      <c r="G921" t="s"/>
      <c r="H921" t="s"/>
      <c r="I921" t="s"/>
      <c r="J921" t="n">
        <v>-0.504</v>
      </c>
      <c r="K921" t="n">
        <v>0.153</v>
      </c>
      <c r="L921" t="n">
        <v>0.847</v>
      </c>
      <c r="M921" t="n">
        <v>0</v>
      </c>
    </row>
    <row r="922" spans="1:13">
      <c r="A922" s="1">
        <f>HYPERLINK("http://www.twitter.com/NathanBLawrence/status/992898449908682752", "992898449908682752")</f>
        <v/>
      </c>
      <c r="B922" s="2" t="n">
        <v>43225.94921296297</v>
      </c>
      <c r="C922" t="n">
        <v>3</v>
      </c>
      <c r="D922" t="n">
        <v>2</v>
      </c>
      <c r="E922" t="s">
        <v>928</v>
      </c>
      <c r="F922" t="s"/>
      <c r="G922" t="s"/>
      <c r="H922" t="s"/>
      <c r="I922" t="s"/>
      <c r="J922" t="n">
        <v>0.25</v>
      </c>
      <c r="K922" t="n">
        <v>0.07199999999999999</v>
      </c>
      <c r="L922" t="n">
        <v>0.822</v>
      </c>
      <c r="M922" t="n">
        <v>0.105</v>
      </c>
    </row>
    <row r="923" spans="1:13">
      <c r="A923" s="1">
        <f>HYPERLINK("http://www.twitter.com/NathanBLawrence/status/992861703812599808", "992861703812599808")</f>
        <v/>
      </c>
      <c r="B923" s="2" t="n">
        <v>43225.8478125</v>
      </c>
      <c r="C923" t="n">
        <v>0</v>
      </c>
      <c r="D923" t="n">
        <v>0</v>
      </c>
      <c r="E923" t="s">
        <v>929</v>
      </c>
      <c r="F923" t="s"/>
      <c r="G923" t="s"/>
      <c r="H923" t="s"/>
      <c r="I923" t="s"/>
      <c r="J923" t="n">
        <v>-0.3182</v>
      </c>
      <c r="K923" t="n">
        <v>0.149</v>
      </c>
      <c r="L923" t="n">
        <v>0.774</v>
      </c>
      <c r="M923" t="n">
        <v>0.077</v>
      </c>
    </row>
    <row r="924" spans="1:13">
      <c r="A924" s="1">
        <f>HYPERLINK("http://www.twitter.com/NathanBLawrence/status/992844105901334528", "992844105901334528")</f>
        <v/>
      </c>
      <c r="B924" s="2" t="n">
        <v>43225.79924768519</v>
      </c>
      <c r="C924" t="n">
        <v>0</v>
      </c>
      <c r="D924" t="n">
        <v>0</v>
      </c>
      <c r="E924" t="s">
        <v>930</v>
      </c>
      <c r="F924" t="s"/>
      <c r="G924" t="s"/>
      <c r="H924" t="s"/>
      <c r="I924" t="s"/>
      <c r="J924" t="n">
        <v>-0.0274</v>
      </c>
      <c r="K924" t="n">
        <v>0.107</v>
      </c>
      <c r="L924" t="n">
        <v>0.8080000000000001</v>
      </c>
      <c r="M924" t="n">
        <v>0.08500000000000001</v>
      </c>
    </row>
    <row r="925" spans="1:13">
      <c r="A925" s="1">
        <f>HYPERLINK("http://www.twitter.com/NathanBLawrence/status/992841989715628033", "992841989715628033")</f>
        <v/>
      </c>
      <c r="B925" s="2" t="n">
        <v>43225.79341435185</v>
      </c>
      <c r="C925" t="n">
        <v>0</v>
      </c>
      <c r="D925" t="n">
        <v>3</v>
      </c>
      <c r="E925" t="s">
        <v>931</v>
      </c>
      <c r="F925" t="s"/>
      <c r="G925" t="s"/>
      <c r="H925" t="s"/>
      <c r="I925" t="s"/>
      <c r="J925" t="n">
        <v>-0.7717000000000001</v>
      </c>
      <c r="K925" t="n">
        <v>0.325</v>
      </c>
      <c r="L925" t="n">
        <v>0.675</v>
      </c>
      <c r="M925" t="n">
        <v>0</v>
      </c>
    </row>
    <row r="926" spans="1:13">
      <c r="A926" s="1">
        <f>HYPERLINK("http://www.twitter.com/NathanBLawrence/status/992841951916544002", "992841951916544002")</f>
        <v/>
      </c>
      <c r="B926" s="2" t="n">
        <v>43225.79331018519</v>
      </c>
      <c r="C926" t="n">
        <v>0</v>
      </c>
      <c r="D926" t="n">
        <v>3</v>
      </c>
      <c r="E926" t="s">
        <v>932</v>
      </c>
      <c r="F926" t="s"/>
      <c r="G926" t="s"/>
      <c r="H926" t="s"/>
      <c r="I926" t="s"/>
      <c r="J926" t="n">
        <v>0</v>
      </c>
      <c r="K926" t="n">
        <v>0</v>
      </c>
      <c r="L926" t="n">
        <v>1</v>
      </c>
      <c r="M926" t="n">
        <v>0</v>
      </c>
    </row>
    <row r="927" spans="1:13">
      <c r="A927" s="1">
        <f>HYPERLINK("http://www.twitter.com/NathanBLawrence/status/992841894404206599", "992841894404206599")</f>
        <v/>
      </c>
      <c r="B927" s="2" t="n">
        <v>43225.79314814815</v>
      </c>
      <c r="C927" t="n">
        <v>0</v>
      </c>
      <c r="D927" t="n">
        <v>4</v>
      </c>
      <c r="E927" t="s">
        <v>933</v>
      </c>
      <c r="F927" t="s"/>
      <c r="G927" t="s"/>
      <c r="H927" t="s"/>
      <c r="I927" t="s"/>
      <c r="J927" t="n">
        <v>0.6908</v>
      </c>
      <c r="K927" t="n">
        <v>0</v>
      </c>
      <c r="L927" t="n">
        <v>0.769</v>
      </c>
      <c r="M927" t="n">
        <v>0.231</v>
      </c>
    </row>
    <row r="928" spans="1:13">
      <c r="A928" s="1">
        <f>HYPERLINK("http://www.twitter.com/NathanBLawrence/status/992841796123275264", "992841796123275264")</f>
        <v/>
      </c>
      <c r="B928" s="2" t="n">
        <v>43225.79287037037</v>
      </c>
      <c r="C928" t="n">
        <v>0</v>
      </c>
      <c r="D928" t="n">
        <v>0</v>
      </c>
      <c r="E928" t="s">
        <v>934</v>
      </c>
      <c r="F928" t="s"/>
      <c r="G928" t="s"/>
      <c r="H928" t="s"/>
      <c r="I928" t="s"/>
      <c r="J928" t="n">
        <v>-0.2263</v>
      </c>
      <c r="K928" t="n">
        <v>0.136</v>
      </c>
      <c r="L928" t="n">
        <v>0.789</v>
      </c>
      <c r="M928" t="n">
        <v>0.076</v>
      </c>
    </row>
    <row r="929" spans="1:13">
      <c r="A929" s="1">
        <f>HYPERLINK("http://www.twitter.com/NathanBLawrence/status/992841134882861056", "992841134882861056")</f>
        <v/>
      </c>
      <c r="B929" s="2" t="n">
        <v>43225.79105324074</v>
      </c>
      <c r="C929" t="n">
        <v>4</v>
      </c>
      <c r="D929" t="n">
        <v>3</v>
      </c>
      <c r="E929" t="s">
        <v>935</v>
      </c>
      <c r="F929" t="s"/>
      <c r="G929" t="s"/>
      <c r="H929" t="s"/>
      <c r="I929" t="s"/>
      <c r="J929" t="n">
        <v>-0.5927</v>
      </c>
      <c r="K929" t="n">
        <v>0.217</v>
      </c>
      <c r="L929" t="n">
        <v>0.741</v>
      </c>
      <c r="M929" t="n">
        <v>0.042</v>
      </c>
    </row>
    <row r="930" spans="1:13">
      <c r="A930" s="1">
        <f>HYPERLINK("http://www.twitter.com/NathanBLawrence/status/992839957336256513", "992839957336256513")</f>
        <v/>
      </c>
      <c r="B930" s="2" t="n">
        <v>43225.78780092593</v>
      </c>
      <c r="C930" t="n">
        <v>5</v>
      </c>
      <c r="D930" t="n">
        <v>3</v>
      </c>
      <c r="E930" t="s">
        <v>936</v>
      </c>
      <c r="F930" t="s"/>
      <c r="G930" t="s"/>
      <c r="H930" t="s"/>
      <c r="I930" t="s"/>
      <c r="J930" t="n">
        <v>0.128</v>
      </c>
      <c r="K930" t="n">
        <v>0.068</v>
      </c>
      <c r="L930" t="n">
        <v>0.835</v>
      </c>
      <c r="M930" t="n">
        <v>0.097</v>
      </c>
    </row>
    <row r="931" spans="1:13">
      <c r="A931" s="1">
        <f>HYPERLINK("http://www.twitter.com/NathanBLawrence/status/992802293992120321", "992802293992120321")</f>
        <v/>
      </c>
      <c r="B931" s="2" t="n">
        <v>43225.68386574074</v>
      </c>
      <c r="C931" t="n">
        <v>0</v>
      </c>
      <c r="D931" t="n">
        <v>0</v>
      </c>
      <c r="E931" t="s">
        <v>937</v>
      </c>
      <c r="F931" t="s"/>
      <c r="G931" t="s"/>
      <c r="H931" t="s"/>
      <c r="I931" t="s"/>
      <c r="J931" t="n">
        <v>0.4939</v>
      </c>
      <c r="K931" t="n">
        <v>0</v>
      </c>
      <c r="L931" t="n">
        <v>0.893</v>
      </c>
      <c r="M931" t="n">
        <v>0.107</v>
      </c>
    </row>
    <row r="932" spans="1:13">
      <c r="A932" s="1">
        <f>HYPERLINK("http://www.twitter.com/NathanBLawrence/status/992801876705009664", "992801876705009664")</f>
        <v/>
      </c>
      <c r="B932" s="2" t="n">
        <v>43225.68271990741</v>
      </c>
      <c r="C932" t="n">
        <v>0</v>
      </c>
      <c r="D932" t="n">
        <v>0</v>
      </c>
      <c r="E932" t="s">
        <v>938</v>
      </c>
      <c r="F932" t="s"/>
      <c r="G932" t="s"/>
      <c r="H932" t="s"/>
      <c r="I932" t="s"/>
      <c r="J932" t="n">
        <v>-0.2023</v>
      </c>
      <c r="K932" t="n">
        <v>0.067</v>
      </c>
      <c r="L932" t="n">
        <v>0.882</v>
      </c>
      <c r="M932" t="n">
        <v>0.05</v>
      </c>
    </row>
    <row r="933" spans="1:13">
      <c r="A933" s="1">
        <f>HYPERLINK("http://www.twitter.com/NathanBLawrence/status/992800944487370758", "992800944487370758")</f>
        <v/>
      </c>
      <c r="B933" s="2" t="n">
        <v>43225.68015046296</v>
      </c>
      <c r="C933" t="n">
        <v>4</v>
      </c>
      <c r="D933" t="n">
        <v>0</v>
      </c>
      <c r="E933" t="s">
        <v>939</v>
      </c>
      <c r="F933" t="s"/>
      <c r="G933" t="s"/>
      <c r="H933" t="s"/>
      <c r="I933" t="s"/>
      <c r="J933" t="n">
        <v>-0.8141</v>
      </c>
      <c r="K933" t="n">
        <v>0.226</v>
      </c>
      <c r="L933" t="n">
        <v>0.694</v>
      </c>
      <c r="M933" t="n">
        <v>0.08</v>
      </c>
    </row>
    <row r="934" spans="1:13">
      <c r="A934" s="1">
        <f>HYPERLINK("http://www.twitter.com/NathanBLawrence/status/992800217580949504", "992800217580949504")</f>
        <v/>
      </c>
      <c r="B934" s="2" t="n">
        <v>43225.67813657408</v>
      </c>
      <c r="C934" t="n">
        <v>2</v>
      </c>
      <c r="D934" t="n">
        <v>0</v>
      </c>
      <c r="E934" t="s">
        <v>940</v>
      </c>
      <c r="F934" t="s"/>
      <c r="G934" t="s"/>
      <c r="H934" t="s"/>
      <c r="I934" t="s"/>
      <c r="J934" t="n">
        <v>0.5266999999999999</v>
      </c>
      <c r="K934" t="n">
        <v>0</v>
      </c>
      <c r="L934" t="n">
        <v>0.93</v>
      </c>
      <c r="M934" t="n">
        <v>0.07000000000000001</v>
      </c>
    </row>
    <row r="935" spans="1:13">
      <c r="A935" s="1">
        <f>HYPERLINK("http://www.twitter.com/NathanBLawrence/status/992799384931880961", "992799384931880961")</f>
        <v/>
      </c>
      <c r="B935" s="2" t="n">
        <v>43225.6758449074</v>
      </c>
      <c r="C935" t="n">
        <v>3</v>
      </c>
      <c r="D935" t="n">
        <v>0</v>
      </c>
      <c r="E935" t="s">
        <v>941</v>
      </c>
      <c r="F935" t="s"/>
      <c r="G935" t="s"/>
      <c r="H935" t="s"/>
      <c r="I935" t="s"/>
      <c r="J935" t="n">
        <v>0.5423</v>
      </c>
      <c r="K935" t="n">
        <v>0.083</v>
      </c>
      <c r="L935" t="n">
        <v>0.771</v>
      </c>
      <c r="M935" t="n">
        <v>0.147</v>
      </c>
    </row>
    <row r="936" spans="1:13">
      <c r="A936" s="1">
        <f>HYPERLINK("http://www.twitter.com/NathanBLawrence/status/992786811779825665", "992786811779825665")</f>
        <v/>
      </c>
      <c r="B936" s="2" t="n">
        <v>43225.64114583333</v>
      </c>
      <c r="C936" t="n">
        <v>3</v>
      </c>
      <c r="D936" t="n">
        <v>0</v>
      </c>
      <c r="E936" t="s">
        <v>942</v>
      </c>
      <c r="F936" t="s"/>
      <c r="G936" t="s"/>
      <c r="H936" t="s"/>
      <c r="I936" t="s"/>
      <c r="J936" t="n">
        <v>0.6705</v>
      </c>
      <c r="K936" t="n">
        <v>0</v>
      </c>
      <c r="L936" t="n">
        <v>0.895</v>
      </c>
      <c r="M936" t="n">
        <v>0.105</v>
      </c>
    </row>
    <row r="937" spans="1:13">
      <c r="A937" s="1">
        <f>HYPERLINK("http://www.twitter.com/NathanBLawrence/status/992781417116512256", "992781417116512256")</f>
        <v/>
      </c>
      <c r="B937" s="2" t="n">
        <v>43225.62626157407</v>
      </c>
      <c r="C937" t="n">
        <v>3</v>
      </c>
      <c r="D937" t="n">
        <v>0</v>
      </c>
      <c r="E937" t="s">
        <v>943</v>
      </c>
      <c r="F937" t="s"/>
      <c r="G937" t="s"/>
      <c r="H937" t="s"/>
      <c r="I937" t="s"/>
      <c r="J937" t="n">
        <v>-0.296</v>
      </c>
      <c r="K937" t="n">
        <v>0.073</v>
      </c>
      <c r="L937" t="n">
        <v>0.927</v>
      </c>
      <c r="M937" t="n">
        <v>0</v>
      </c>
    </row>
    <row r="938" spans="1:13">
      <c r="A938" s="1">
        <f>HYPERLINK("http://www.twitter.com/NathanBLawrence/status/992764010016669700", "992764010016669700")</f>
        <v/>
      </c>
      <c r="B938" s="2" t="n">
        <v>43225.57822916667</v>
      </c>
      <c r="C938" t="n">
        <v>0</v>
      </c>
      <c r="D938" t="n">
        <v>1</v>
      </c>
      <c r="E938" t="s">
        <v>944</v>
      </c>
      <c r="F938" t="s"/>
      <c r="G938" t="s"/>
      <c r="H938" t="s"/>
      <c r="I938" t="s"/>
      <c r="J938" t="n">
        <v>0.3612</v>
      </c>
      <c r="K938" t="n">
        <v>0</v>
      </c>
      <c r="L938" t="n">
        <v>0.848</v>
      </c>
      <c r="M938" t="n">
        <v>0.152</v>
      </c>
    </row>
    <row r="939" spans="1:13">
      <c r="A939" s="1">
        <f>HYPERLINK("http://www.twitter.com/NathanBLawrence/status/992763997450620928", "992763997450620928")</f>
        <v/>
      </c>
      <c r="B939" s="2" t="n">
        <v>43225.57819444445</v>
      </c>
      <c r="C939" t="n">
        <v>0</v>
      </c>
      <c r="D939" t="n">
        <v>2</v>
      </c>
      <c r="E939" t="s">
        <v>945</v>
      </c>
      <c r="F939" t="s"/>
      <c r="G939" t="s"/>
      <c r="H939" t="s"/>
      <c r="I939" t="s"/>
      <c r="J939" t="n">
        <v>0</v>
      </c>
      <c r="K939" t="n">
        <v>0</v>
      </c>
      <c r="L939" t="n">
        <v>1</v>
      </c>
      <c r="M939" t="n">
        <v>0</v>
      </c>
    </row>
    <row r="940" spans="1:13">
      <c r="A940" s="1">
        <f>HYPERLINK("http://www.twitter.com/NathanBLawrence/status/992763983986876416", "992763983986876416")</f>
        <v/>
      </c>
      <c r="B940" s="2" t="n">
        <v>43225.57815972222</v>
      </c>
      <c r="C940" t="n">
        <v>0</v>
      </c>
      <c r="D940" t="n">
        <v>2</v>
      </c>
      <c r="E940" t="s">
        <v>946</v>
      </c>
      <c r="F940" t="s"/>
      <c r="G940" t="s"/>
      <c r="H940" t="s"/>
      <c r="I940" t="s"/>
      <c r="J940" t="n">
        <v>0</v>
      </c>
      <c r="K940" t="n">
        <v>0</v>
      </c>
      <c r="L940" t="n">
        <v>1</v>
      </c>
      <c r="M940" t="n">
        <v>0</v>
      </c>
    </row>
    <row r="941" spans="1:13">
      <c r="A941" s="1">
        <f>HYPERLINK("http://www.twitter.com/NathanBLawrence/status/992763971684970497", "992763971684970497")</f>
        <v/>
      </c>
      <c r="B941" s="2" t="n">
        <v>43225.578125</v>
      </c>
      <c r="C941" t="n">
        <v>0</v>
      </c>
      <c r="D941" t="n">
        <v>2</v>
      </c>
      <c r="E941" t="s">
        <v>947</v>
      </c>
      <c r="F941" t="s"/>
      <c r="G941" t="s"/>
      <c r="H941" t="s"/>
      <c r="I941" t="s"/>
      <c r="J941" t="n">
        <v>0</v>
      </c>
      <c r="K941" t="n">
        <v>0</v>
      </c>
      <c r="L941" t="n">
        <v>1</v>
      </c>
      <c r="M941" t="n">
        <v>0</v>
      </c>
    </row>
    <row r="942" spans="1:13">
      <c r="A942" s="1">
        <f>HYPERLINK("http://www.twitter.com/NathanBLawrence/status/992763960511422464", "992763960511422464")</f>
        <v/>
      </c>
      <c r="B942" s="2" t="n">
        <v>43225.57809027778</v>
      </c>
      <c r="C942" t="n">
        <v>0</v>
      </c>
      <c r="D942" t="n">
        <v>2</v>
      </c>
      <c r="E942" t="s">
        <v>948</v>
      </c>
      <c r="F942" t="s"/>
      <c r="G942" t="s"/>
      <c r="H942" t="s"/>
      <c r="I942" t="s"/>
      <c r="J942" t="n">
        <v>0</v>
      </c>
      <c r="K942" t="n">
        <v>0</v>
      </c>
      <c r="L942" t="n">
        <v>1</v>
      </c>
      <c r="M942" t="n">
        <v>0</v>
      </c>
    </row>
    <row r="943" spans="1:13">
      <c r="A943" s="1">
        <f>HYPERLINK("http://www.twitter.com/NathanBLawrence/status/992763948960309249", "992763948960309249")</f>
        <v/>
      </c>
      <c r="B943" s="2" t="n">
        <v>43225.57805555555</v>
      </c>
      <c r="C943" t="n">
        <v>0</v>
      </c>
      <c r="D943" t="n">
        <v>3</v>
      </c>
      <c r="E943" t="s">
        <v>949</v>
      </c>
      <c r="F943" t="s"/>
      <c r="G943" t="s"/>
      <c r="H943" t="s"/>
      <c r="I943" t="s"/>
      <c r="J943" t="n">
        <v>-0.2755</v>
      </c>
      <c r="K943" t="n">
        <v>0.1</v>
      </c>
      <c r="L943" t="n">
        <v>0.9</v>
      </c>
      <c r="M943" t="n">
        <v>0</v>
      </c>
    </row>
    <row r="944" spans="1:13">
      <c r="A944" s="1">
        <f>HYPERLINK("http://www.twitter.com/NathanBLawrence/status/992763668042584064", "992763668042584064")</f>
        <v/>
      </c>
      <c r="B944" s="2" t="n">
        <v>43225.57728009259</v>
      </c>
      <c r="C944" t="n">
        <v>0</v>
      </c>
      <c r="D944" t="n">
        <v>1</v>
      </c>
      <c r="E944" t="s">
        <v>950</v>
      </c>
      <c r="F944" t="s"/>
      <c r="G944" t="s"/>
      <c r="H944" t="s"/>
      <c r="I944" t="s"/>
      <c r="J944" t="n">
        <v>0.6369</v>
      </c>
      <c r="K944" t="n">
        <v>0</v>
      </c>
      <c r="L944" t="n">
        <v>0.88</v>
      </c>
      <c r="M944" t="n">
        <v>0.12</v>
      </c>
    </row>
    <row r="945" spans="1:13">
      <c r="A945" s="1">
        <f>HYPERLINK("http://www.twitter.com/NathanBLawrence/status/992763236566097921", "992763236566097921")</f>
        <v/>
      </c>
      <c r="B945" s="2" t="n">
        <v>43225.57608796296</v>
      </c>
      <c r="C945" t="n">
        <v>2</v>
      </c>
      <c r="D945" t="n">
        <v>2</v>
      </c>
      <c r="E945" t="s">
        <v>951</v>
      </c>
      <c r="F945" t="s"/>
      <c r="G945" t="s"/>
      <c r="H945" t="s"/>
      <c r="I945" t="s"/>
      <c r="J945" t="n">
        <v>-0.9305</v>
      </c>
      <c r="K945" t="n">
        <v>0.252</v>
      </c>
      <c r="L945" t="n">
        <v>0.748</v>
      </c>
      <c r="M945" t="n">
        <v>0</v>
      </c>
    </row>
    <row r="946" spans="1:13">
      <c r="A946" s="1">
        <f>HYPERLINK("http://www.twitter.com/NathanBLawrence/status/992762081437995009", "992762081437995009")</f>
        <v/>
      </c>
      <c r="B946" s="2" t="n">
        <v>43225.57290509259</v>
      </c>
      <c r="C946" t="n">
        <v>1</v>
      </c>
      <c r="D946" t="n">
        <v>2</v>
      </c>
      <c r="E946" t="s">
        <v>952</v>
      </c>
      <c r="F946" t="s"/>
      <c r="G946" t="s"/>
      <c r="H946" t="s"/>
      <c r="I946" t="s"/>
      <c r="J946" t="n">
        <v>-0.8176</v>
      </c>
      <c r="K946" t="n">
        <v>0.153</v>
      </c>
      <c r="L946" t="n">
        <v>0.826</v>
      </c>
      <c r="M946" t="n">
        <v>0.021</v>
      </c>
    </row>
    <row r="947" spans="1:13">
      <c r="A947" s="1">
        <f>HYPERLINK("http://www.twitter.com/NathanBLawrence/status/992761649437331456", "992761649437331456")</f>
        <v/>
      </c>
      <c r="B947" s="2" t="n">
        <v>43225.57171296296</v>
      </c>
      <c r="C947" t="n">
        <v>1</v>
      </c>
      <c r="D947" t="n">
        <v>2</v>
      </c>
      <c r="E947" t="s">
        <v>953</v>
      </c>
      <c r="F947" t="s"/>
      <c r="G947" t="s"/>
      <c r="H947" t="s"/>
      <c r="I947" t="s"/>
      <c r="J947" t="n">
        <v>0.4215</v>
      </c>
      <c r="K947" t="n">
        <v>0.07000000000000001</v>
      </c>
      <c r="L947" t="n">
        <v>0.773</v>
      </c>
      <c r="M947" t="n">
        <v>0.157</v>
      </c>
    </row>
    <row r="948" spans="1:13">
      <c r="A948" s="1">
        <f>HYPERLINK("http://www.twitter.com/NathanBLawrence/status/992761256531677184", "992761256531677184")</f>
        <v/>
      </c>
      <c r="B948" s="2" t="n">
        <v>43225.570625</v>
      </c>
      <c r="C948" t="n">
        <v>2</v>
      </c>
      <c r="D948" t="n">
        <v>2</v>
      </c>
      <c r="E948" t="s">
        <v>954</v>
      </c>
      <c r="F948" t="s"/>
      <c r="G948" t="s"/>
      <c r="H948" t="s"/>
      <c r="I948" t="s"/>
      <c r="J948" t="n">
        <v>-0.6369</v>
      </c>
      <c r="K948" t="n">
        <v>0.093</v>
      </c>
      <c r="L948" t="n">
        <v>0.907</v>
      </c>
      <c r="M948" t="n">
        <v>0</v>
      </c>
    </row>
    <row r="949" spans="1:13">
      <c r="A949" s="1">
        <f>HYPERLINK("http://www.twitter.com/NathanBLawrence/status/992760693362479104", "992760693362479104")</f>
        <v/>
      </c>
      <c r="B949" s="2" t="n">
        <v>43225.56907407408</v>
      </c>
      <c r="C949" t="n">
        <v>2</v>
      </c>
      <c r="D949" t="n">
        <v>3</v>
      </c>
      <c r="E949" t="s">
        <v>955</v>
      </c>
      <c r="F949" t="s"/>
      <c r="G949" t="s"/>
      <c r="H949" t="s"/>
      <c r="I949" t="s"/>
      <c r="J949" t="n">
        <v>-0.2755</v>
      </c>
      <c r="K949" t="n">
        <v>0.042</v>
      </c>
      <c r="L949" t="n">
        <v>0.958</v>
      </c>
      <c r="M949" t="n">
        <v>0</v>
      </c>
    </row>
    <row r="950" spans="1:13">
      <c r="A950" s="1">
        <f>HYPERLINK("http://www.twitter.com/NathanBLawrence/status/992728329609469952", "992728329609469952")</f>
        <v/>
      </c>
      <c r="B950" s="2" t="n">
        <v>43225.47976851852</v>
      </c>
      <c r="C950" t="n">
        <v>0</v>
      </c>
      <c r="D950" t="n">
        <v>0</v>
      </c>
      <c r="E950" t="s">
        <v>956</v>
      </c>
      <c r="F950" t="s"/>
      <c r="G950" t="s"/>
      <c r="H950" t="s"/>
      <c r="I950" t="s"/>
      <c r="J950" t="n">
        <v>0.1779</v>
      </c>
      <c r="K950" t="n">
        <v>0</v>
      </c>
      <c r="L950" t="n">
        <v>0.945</v>
      </c>
      <c r="M950" t="n">
        <v>0.055</v>
      </c>
    </row>
    <row r="951" spans="1:13">
      <c r="A951" s="1">
        <f>HYPERLINK("http://www.twitter.com/NathanBLawrence/status/992704282070745088", "992704282070745088")</f>
        <v/>
      </c>
      <c r="B951" s="2" t="n">
        <v>43225.41341435185</v>
      </c>
      <c r="C951" t="n">
        <v>0</v>
      </c>
      <c r="D951" t="n">
        <v>5</v>
      </c>
      <c r="E951" t="s">
        <v>957</v>
      </c>
      <c r="F951" t="s"/>
      <c r="G951" t="s"/>
      <c r="H951" t="s"/>
      <c r="I951" t="s"/>
      <c r="J951" t="n">
        <v>0.836</v>
      </c>
      <c r="K951" t="n">
        <v>0</v>
      </c>
      <c r="L951" t="n">
        <v>0.594</v>
      </c>
      <c r="M951" t="n">
        <v>0.406</v>
      </c>
    </row>
    <row r="952" spans="1:13">
      <c r="A952" s="1">
        <f>HYPERLINK("http://www.twitter.com/NathanBLawrence/status/992704123161272320", "992704123161272320")</f>
        <v/>
      </c>
      <c r="B952" s="2" t="n">
        <v>43225.41297453704</v>
      </c>
      <c r="C952" t="n">
        <v>0</v>
      </c>
      <c r="D952" t="n">
        <v>14</v>
      </c>
      <c r="E952" t="s">
        <v>958</v>
      </c>
      <c r="F952">
        <f>HYPERLINK("http://pbs.twimg.com/media/DcZ_pJzWkAAwxe9.jpg", "http://pbs.twimg.com/media/DcZ_pJzWkAAwxe9.jpg")</f>
        <v/>
      </c>
      <c r="G952" t="s"/>
      <c r="H952" t="s"/>
      <c r="I952" t="s"/>
      <c r="J952" t="n">
        <v>0.5766</v>
      </c>
      <c r="K952" t="n">
        <v>0.061</v>
      </c>
      <c r="L952" t="n">
        <v>0.719</v>
      </c>
      <c r="M952" t="n">
        <v>0.219</v>
      </c>
    </row>
    <row r="953" spans="1:13">
      <c r="A953" s="1">
        <f>HYPERLINK("http://www.twitter.com/NathanBLawrence/status/992613546872762369", "992613546872762369")</f>
        <v/>
      </c>
      <c r="B953" s="2" t="n">
        <v>43225.16303240741</v>
      </c>
      <c r="C953" t="n">
        <v>0</v>
      </c>
      <c r="D953" t="n">
        <v>4</v>
      </c>
      <c r="E953" t="s">
        <v>959</v>
      </c>
      <c r="F953" t="s"/>
      <c r="G953" t="s"/>
      <c r="H953" t="s"/>
      <c r="I953" t="s"/>
      <c r="J953" t="n">
        <v>-0.3182</v>
      </c>
      <c r="K953" t="n">
        <v>0.091</v>
      </c>
      <c r="L953" t="n">
        <v>0.909</v>
      </c>
      <c r="M953" t="n">
        <v>0</v>
      </c>
    </row>
    <row r="954" spans="1:13">
      <c r="A954" s="1">
        <f>HYPERLINK("http://www.twitter.com/NathanBLawrence/status/992613533383880704", "992613533383880704")</f>
        <v/>
      </c>
      <c r="B954" s="2" t="n">
        <v>43225.16298611111</v>
      </c>
      <c r="C954" t="n">
        <v>0</v>
      </c>
      <c r="D954" t="n">
        <v>3</v>
      </c>
      <c r="E954" t="s">
        <v>960</v>
      </c>
      <c r="F954" t="s"/>
      <c r="G954" t="s"/>
      <c r="H954" t="s"/>
      <c r="I954" t="s"/>
      <c r="J954" t="n">
        <v>0.6588000000000001</v>
      </c>
      <c r="K954" t="n">
        <v>0</v>
      </c>
      <c r="L954" t="n">
        <v>0.785</v>
      </c>
      <c r="M954" t="n">
        <v>0.215</v>
      </c>
    </row>
    <row r="955" spans="1:13">
      <c r="A955" s="1">
        <f>HYPERLINK("http://www.twitter.com/NathanBLawrence/status/992566819792867328", "992566819792867328")</f>
        <v/>
      </c>
      <c r="B955" s="2" t="n">
        <v>43225.03408564815</v>
      </c>
      <c r="C955" t="n">
        <v>3</v>
      </c>
      <c r="D955" t="n">
        <v>1</v>
      </c>
      <c r="E955" t="s">
        <v>961</v>
      </c>
      <c r="F955" t="s"/>
      <c r="G955" t="s"/>
      <c r="H955" t="s"/>
      <c r="I955" t="s"/>
      <c r="J955" t="n">
        <v>0.4404</v>
      </c>
      <c r="K955" t="n">
        <v>0</v>
      </c>
      <c r="L955" t="n">
        <v>0.868</v>
      </c>
      <c r="M955" t="n">
        <v>0.132</v>
      </c>
    </row>
    <row r="956" spans="1:13">
      <c r="A956" s="1">
        <f>HYPERLINK("http://www.twitter.com/NathanBLawrence/status/992566022577315840", "992566022577315840")</f>
        <v/>
      </c>
      <c r="B956" s="2" t="n">
        <v>43225.03188657408</v>
      </c>
      <c r="C956" t="n">
        <v>3</v>
      </c>
      <c r="D956" t="n">
        <v>3</v>
      </c>
      <c r="E956" t="s">
        <v>962</v>
      </c>
      <c r="F956" t="s"/>
      <c r="G956" t="s"/>
      <c r="H956" t="s"/>
      <c r="I956" t="s"/>
      <c r="J956" t="n">
        <v>0.0572</v>
      </c>
      <c r="K956" t="n">
        <v>0</v>
      </c>
      <c r="L956" t="n">
        <v>0.914</v>
      </c>
      <c r="M956" t="n">
        <v>0.08599999999999999</v>
      </c>
    </row>
    <row r="957" spans="1:13">
      <c r="A957" s="1">
        <f>HYPERLINK("http://www.twitter.com/NathanBLawrence/status/992564210021404672", "992564210021404672")</f>
        <v/>
      </c>
      <c r="B957" s="2" t="n">
        <v>43225.02688657407</v>
      </c>
      <c r="C957" t="n">
        <v>0</v>
      </c>
      <c r="D957" t="n">
        <v>0</v>
      </c>
      <c r="E957" t="s">
        <v>963</v>
      </c>
      <c r="F957" t="s"/>
      <c r="G957" t="s"/>
      <c r="H957" t="s"/>
      <c r="I957" t="s"/>
      <c r="J957" t="n">
        <v>-0.6808</v>
      </c>
      <c r="K957" t="n">
        <v>0.384</v>
      </c>
      <c r="L957" t="n">
        <v>0.616</v>
      </c>
      <c r="M957" t="n">
        <v>0</v>
      </c>
    </row>
    <row r="958" spans="1:13">
      <c r="A958" s="1">
        <f>HYPERLINK("http://www.twitter.com/NathanBLawrence/status/992553004028039168", "992553004028039168")</f>
        <v/>
      </c>
      <c r="B958" s="2" t="n">
        <v>43224.99596064815</v>
      </c>
      <c r="C958" t="n">
        <v>4</v>
      </c>
      <c r="D958" t="n">
        <v>0</v>
      </c>
      <c r="E958" t="s">
        <v>964</v>
      </c>
      <c r="F958" t="s"/>
      <c r="G958" t="s"/>
      <c r="H958" t="s"/>
      <c r="I958" t="s"/>
      <c r="J958" t="n">
        <v>0.3818</v>
      </c>
      <c r="K958" t="n">
        <v>0</v>
      </c>
      <c r="L958" t="n">
        <v>0.88</v>
      </c>
      <c r="M958" t="n">
        <v>0.12</v>
      </c>
    </row>
    <row r="959" spans="1:13">
      <c r="A959" s="1">
        <f>HYPERLINK("http://www.twitter.com/NathanBLawrence/status/992552202085588992", "992552202085588992")</f>
        <v/>
      </c>
      <c r="B959" s="2" t="n">
        <v>43224.99375</v>
      </c>
      <c r="C959" t="n">
        <v>9</v>
      </c>
      <c r="D959" t="n">
        <v>3</v>
      </c>
      <c r="E959" t="s">
        <v>965</v>
      </c>
      <c r="F959">
        <f>HYPERLINK("http://pbs.twimg.com/media/DcZA2OeU8AAKy8h.jpg", "http://pbs.twimg.com/media/DcZA2OeU8AAKy8h.jpg")</f>
        <v/>
      </c>
      <c r="G959" t="s"/>
      <c r="H959" t="s"/>
      <c r="I959" t="s"/>
      <c r="J959" t="n">
        <v>-0.0772</v>
      </c>
      <c r="K959" t="n">
        <v>0.048</v>
      </c>
      <c r="L959" t="n">
        <v>0.911</v>
      </c>
      <c r="M959" t="n">
        <v>0.041</v>
      </c>
    </row>
    <row r="960" spans="1:13">
      <c r="A960" s="1">
        <f>HYPERLINK("http://www.twitter.com/NathanBLawrence/status/992551258715287554", "992551258715287554")</f>
        <v/>
      </c>
      <c r="B960" s="2" t="n">
        <v>43224.99114583333</v>
      </c>
      <c r="C960" t="n">
        <v>0</v>
      </c>
      <c r="D960" t="n">
        <v>3</v>
      </c>
      <c r="E960" t="s">
        <v>966</v>
      </c>
      <c r="F960" t="s"/>
      <c r="G960" t="s"/>
      <c r="H960" t="s"/>
      <c r="I960" t="s"/>
      <c r="J960" t="n">
        <v>0</v>
      </c>
      <c r="K960" t="n">
        <v>0</v>
      </c>
      <c r="L960" t="n">
        <v>1</v>
      </c>
      <c r="M960" t="n">
        <v>0</v>
      </c>
    </row>
    <row r="961" spans="1:13">
      <c r="A961" s="1">
        <f>HYPERLINK("http://www.twitter.com/NathanBLawrence/status/992551245347999745", "992551245347999745")</f>
        <v/>
      </c>
      <c r="B961" s="2" t="n">
        <v>43224.99111111111</v>
      </c>
      <c r="C961" t="n">
        <v>0</v>
      </c>
      <c r="D961" t="n">
        <v>3</v>
      </c>
      <c r="E961" t="s">
        <v>967</v>
      </c>
      <c r="F961" t="s"/>
      <c r="G961" t="s"/>
      <c r="H961" t="s"/>
      <c r="I961" t="s"/>
      <c r="J961" t="n">
        <v>-0.38</v>
      </c>
      <c r="K961" t="n">
        <v>0.137</v>
      </c>
      <c r="L961" t="n">
        <v>0.788</v>
      </c>
      <c r="M961" t="n">
        <v>0.075</v>
      </c>
    </row>
    <row r="962" spans="1:13">
      <c r="A962" s="1">
        <f>HYPERLINK("http://www.twitter.com/NathanBLawrence/status/992551231376842753", "992551231376842753")</f>
        <v/>
      </c>
      <c r="B962" s="2" t="n">
        <v>43224.99106481481</v>
      </c>
      <c r="C962" t="n">
        <v>0</v>
      </c>
      <c r="D962" t="n">
        <v>3</v>
      </c>
      <c r="E962" t="s">
        <v>968</v>
      </c>
      <c r="F962" t="s"/>
      <c r="G962" t="s"/>
      <c r="H962" t="s"/>
      <c r="I962" t="s"/>
      <c r="J962" t="n">
        <v>0</v>
      </c>
      <c r="K962" t="n">
        <v>0</v>
      </c>
      <c r="L962" t="n">
        <v>1</v>
      </c>
      <c r="M962" t="n">
        <v>0</v>
      </c>
    </row>
    <row r="963" spans="1:13">
      <c r="A963" s="1">
        <f>HYPERLINK("http://www.twitter.com/NathanBLawrence/status/992551221591408642", "992551221591408642")</f>
        <v/>
      </c>
      <c r="B963" s="2" t="n">
        <v>43224.99104166667</v>
      </c>
      <c r="C963" t="n">
        <v>0</v>
      </c>
      <c r="D963" t="n">
        <v>3</v>
      </c>
      <c r="E963" t="s">
        <v>969</v>
      </c>
      <c r="F963" t="s"/>
      <c r="G963" t="s"/>
      <c r="H963" t="s"/>
      <c r="I963" t="s"/>
      <c r="J963" t="n">
        <v>0.296</v>
      </c>
      <c r="K963" t="n">
        <v>0.107</v>
      </c>
      <c r="L963" t="n">
        <v>0.704</v>
      </c>
      <c r="M963" t="n">
        <v>0.189</v>
      </c>
    </row>
    <row r="964" spans="1:13">
      <c r="A964" s="1">
        <f>HYPERLINK("http://www.twitter.com/NathanBLawrence/status/992551175949037568", "992551175949037568")</f>
        <v/>
      </c>
      <c r="B964" s="2" t="n">
        <v>43224.99091435185</v>
      </c>
      <c r="C964" t="n">
        <v>1</v>
      </c>
      <c r="D964" t="n">
        <v>3</v>
      </c>
      <c r="E964" t="s">
        <v>970</v>
      </c>
      <c r="F964" t="s"/>
      <c r="G964" t="s"/>
      <c r="H964" t="s"/>
      <c r="I964" t="s"/>
      <c r="J964" t="n">
        <v>0</v>
      </c>
      <c r="K964" t="n">
        <v>0</v>
      </c>
      <c r="L964" t="n">
        <v>1</v>
      </c>
      <c r="M964" t="n">
        <v>0</v>
      </c>
    </row>
    <row r="965" spans="1:13">
      <c r="A965" s="1">
        <f>HYPERLINK("http://www.twitter.com/NathanBLawrence/status/992550737036144640", "992550737036144640")</f>
        <v/>
      </c>
      <c r="B965" s="2" t="n">
        <v>43224.98971064815</v>
      </c>
      <c r="C965" t="n">
        <v>3</v>
      </c>
      <c r="D965" t="n">
        <v>3</v>
      </c>
      <c r="E965" t="s">
        <v>971</v>
      </c>
      <c r="F965" t="s"/>
      <c r="G965" t="s"/>
      <c r="H965" t="s"/>
      <c r="I965" t="s"/>
      <c r="J965" t="n">
        <v>-0.8552</v>
      </c>
      <c r="K965" t="n">
        <v>0.24</v>
      </c>
      <c r="L965" t="n">
        <v>0.723</v>
      </c>
      <c r="M965" t="n">
        <v>0.037</v>
      </c>
    </row>
    <row r="966" spans="1:13">
      <c r="A966" s="1">
        <f>HYPERLINK("http://www.twitter.com/NathanBLawrence/status/992550402137698304", "992550402137698304")</f>
        <v/>
      </c>
      <c r="B966" s="2" t="n">
        <v>43224.98878472222</v>
      </c>
      <c r="C966" t="n">
        <v>1</v>
      </c>
      <c r="D966" t="n">
        <v>3</v>
      </c>
      <c r="E966" t="s">
        <v>972</v>
      </c>
      <c r="F966" t="s"/>
      <c r="G966" t="s"/>
      <c r="H966" t="s"/>
      <c r="I966" t="s"/>
      <c r="J966" t="n">
        <v>-0.296</v>
      </c>
      <c r="K966" t="n">
        <v>0.068</v>
      </c>
      <c r="L966" t="n">
        <v>0.9320000000000001</v>
      </c>
      <c r="M966" t="n">
        <v>0</v>
      </c>
    </row>
    <row r="967" spans="1:13">
      <c r="A967" s="1">
        <f>HYPERLINK("http://www.twitter.com/NathanBLawrence/status/992549817141391360", "992549817141391360")</f>
        <v/>
      </c>
      <c r="B967" s="2" t="n">
        <v>43224.98716435185</v>
      </c>
      <c r="C967" t="n">
        <v>2</v>
      </c>
      <c r="D967" t="n">
        <v>3</v>
      </c>
      <c r="E967" t="s">
        <v>973</v>
      </c>
      <c r="F967" t="s"/>
      <c r="G967" t="s"/>
      <c r="H967" t="s"/>
      <c r="I967" t="s"/>
      <c r="J967" t="n">
        <v>-0.8779</v>
      </c>
      <c r="K967" t="n">
        <v>0.311</v>
      </c>
      <c r="L967" t="n">
        <v>0.597</v>
      </c>
      <c r="M967" t="n">
        <v>0.092</v>
      </c>
    </row>
    <row r="968" spans="1:13">
      <c r="A968" s="1">
        <f>HYPERLINK("http://www.twitter.com/NathanBLawrence/status/992548690077372416", "992548690077372416")</f>
        <v/>
      </c>
      <c r="B968" s="2" t="n">
        <v>43224.9840625</v>
      </c>
      <c r="C968" t="n">
        <v>0</v>
      </c>
      <c r="D968" t="n">
        <v>6</v>
      </c>
      <c r="E968" t="s">
        <v>974</v>
      </c>
      <c r="F968" t="s"/>
      <c r="G968" t="s"/>
      <c r="H968" t="s"/>
      <c r="I968" t="s"/>
      <c r="J968" t="n">
        <v>-0.0772</v>
      </c>
      <c r="K968" t="n">
        <v>0.056</v>
      </c>
      <c r="L968" t="n">
        <v>0.944</v>
      </c>
      <c r="M968" t="n">
        <v>0</v>
      </c>
    </row>
    <row r="969" spans="1:13">
      <c r="A969" s="1">
        <f>HYPERLINK("http://www.twitter.com/NathanBLawrence/status/992548661400887297", "992548661400887297")</f>
        <v/>
      </c>
      <c r="B969" s="2" t="n">
        <v>43224.98398148148</v>
      </c>
      <c r="C969" t="n">
        <v>7</v>
      </c>
      <c r="D969" t="n">
        <v>6</v>
      </c>
      <c r="E969" t="s">
        <v>975</v>
      </c>
      <c r="F969" t="s"/>
      <c r="G969" t="s"/>
      <c r="H969" t="s"/>
      <c r="I969" t="s"/>
      <c r="J969" t="n">
        <v>-0.7579</v>
      </c>
      <c r="K969" t="n">
        <v>0.172</v>
      </c>
      <c r="L969" t="n">
        <v>0.828</v>
      </c>
      <c r="M969" t="n">
        <v>0</v>
      </c>
    </row>
    <row r="970" spans="1:13">
      <c r="A970" s="1">
        <f>HYPERLINK("http://www.twitter.com/NathanBLawrence/status/992547927326420992", "992547927326420992")</f>
        <v/>
      </c>
      <c r="B970" s="2" t="n">
        <v>43224.98195601852</v>
      </c>
      <c r="C970" t="n">
        <v>2</v>
      </c>
      <c r="D970" t="n">
        <v>1</v>
      </c>
      <c r="E970" t="s">
        <v>976</v>
      </c>
      <c r="F970" t="s"/>
      <c r="G970" t="s"/>
      <c r="H970" t="s"/>
      <c r="I970" t="s"/>
      <c r="J970" t="n">
        <v>0.1796</v>
      </c>
      <c r="K970" t="n">
        <v>0.064</v>
      </c>
      <c r="L970" t="n">
        <v>0.844</v>
      </c>
      <c r="M970" t="n">
        <v>0.092</v>
      </c>
    </row>
    <row r="971" spans="1:13">
      <c r="A971" s="1">
        <f>HYPERLINK("http://www.twitter.com/NathanBLawrence/status/992545835966713856", "992545835966713856")</f>
        <v/>
      </c>
      <c r="B971" s="2" t="n">
        <v>43224.97618055555</v>
      </c>
      <c r="C971" t="n">
        <v>3</v>
      </c>
      <c r="D971" t="n">
        <v>0</v>
      </c>
      <c r="E971" t="s">
        <v>977</v>
      </c>
      <c r="F971" t="s"/>
      <c r="G971" t="s"/>
      <c r="H971" t="s"/>
      <c r="I971" t="s"/>
      <c r="J971" t="n">
        <v>0</v>
      </c>
      <c r="K971" t="n">
        <v>0</v>
      </c>
      <c r="L971" t="n">
        <v>1</v>
      </c>
      <c r="M971" t="n">
        <v>0</v>
      </c>
    </row>
    <row r="972" spans="1:13">
      <c r="A972" s="1">
        <f>HYPERLINK("http://www.twitter.com/NathanBLawrence/status/992534566354210818", "992534566354210818")</f>
        <v/>
      </c>
      <c r="B972" s="2" t="n">
        <v>43224.94508101852</v>
      </c>
      <c r="C972" t="n">
        <v>0</v>
      </c>
      <c r="D972" t="n">
        <v>5</v>
      </c>
      <c r="E972" t="s">
        <v>978</v>
      </c>
      <c r="F972" t="s"/>
      <c r="G972" t="s"/>
      <c r="H972" t="s"/>
      <c r="I972" t="s"/>
      <c r="J972" t="n">
        <v>0.3612</v>
      </c>
      <c r="K972" t="n">
        <v>0.13</v>
      </c>
      <c r="L972" t="n">
        <v>0.65</v>
      </c>
      <c r="M972" t="n">
        <v>0.22</v>
      </c>
    </row>
    <row r="973" spans="1:13">
      <c r="A973" s="1">
        <f>HYPERLINK("http://www.twitter.com/NathanBLawrence/status/992533858359894017", "992533858359894017")</f>
        <v/>
      </c>
      <c r="B973" s="2" t="n">
        <v>43224.943125</v>
      </c>
      <c r="C973" t="n">
        <v>0</v>
      </c>
      <c r="D973" t="n">
        <v>8</v>
      </c>
      <c r="E973" t="s">
        <v>979</v>
      </c>
      <c r="F973" t="s"/>
      <c r="G973" t="s"/>
      <c r="H973" t="s"/>
      <c r="I973" t="s"/>
      <c r="J973" t="n">
        <v>0.2023</v>
      </c>
      <c r="K973" t="n">
        <v>0.081</v>
      </c>
      <c r="L973" t="n">
        <v>0.769</v>
      </c>
      <c r="M973" t="n">
        <v>0.15</v>
      </c>
    </row>
    <row r="974" spans="1:13">
      <c r="A974" s="1">
        <f>HYPERLINK("http://www.twitter.com/NathanBLawrence/status/992533834938880001", "992533834938880001")</f>
        <v/>
      </c>
      <c r="B974" s="2" t="n">
        <v>43224.94306712963</v>
      </c>
      <c r="C974" t="n">
        <v>0</v>
      </c>
      <c r="D974" t="n">
        <v>24</v>
      </c>
      <c r="E974" t="s">
        <v>980</v>
      </c>
      <c r="F974" t="s"/>
      <c r="G974" t="s"/>
      <c r="H974" t="s"/>
      <c r="I974" t="s"/>
      <c r="J974" t="n">
        <v>0.2023</v>
      </c>
      <c r="K974" t="n">
        <v>0.081</v>
      </c>
      <c r="L974" t="n">
        <v>0.769</v>
      </c>
      <c r="M974" t="n">
        <v>0.15</v>
      </c>
    </row>
    <row r="975" spans="1:13">
      <c r="A975" s="1">
        <f>HYPERLINK("http://www.twitter.com/NathanBLawrence/status/992531591225364480", "992531591225364480")</f>
        <v/>
      </c>
      <c r="B975" s="2" t="n">
        <v>43224.936875</v>
      </c>
      <c r="C975" t="n">
        <v>7</v>
      </c>
      <c r="D975" t="n">
        <v>5</v>
      </c>
      <c r="E975" t="s">
        <v>981</v>
      </c>
      <c r="F975" t="s"/>
      <c r="G975" t="s"/>
      <c r="H975" t="s"/>
      <c r="I975" t="s"/>
      <c r="J975" t="n">
        <v>0.3612</v>
      </c>
      <c r="K975" t="n">
        <v>0.117</v>
      </c>
      <c r="L975" t="n">
        <v>0.6840000000000001</v>
      </c>
      <c r="M975" t="n">
        <v>0.199</v>
      </c>
    </row>
    <row r="976" spans="1:13">
      <c r="A976" s="1">
        <f>HYPERLINK("http://www.twitter.com/NathanBLawrence/status/992527472913600513", "992527472913600513")</f>
        <v/>
      </c>
      <c r="B976" s="2" t="n">
        <v>43224.92550925926</v>
      </c>
      <c r="C976" t="n">
        <v>0</v>
      </c>
      <c r="D976" t="n">
        <v>4</v>
      </c>
      <c r="E976" t="s">
        <v>982</v>
      </c>
      <c r="F976" t="s"/>
      <c r="G976" t="s"/>
      <c r="H976" t="s"/>
      <c r="I976" t="s"/>
      <c r="J976" t="n">
        <v>0</v>
      </c>
      <c r="K976" t="n">
        <v>0</v>
      </c>
      <c r="L976" t="n">
        <v>1</v>
      </c>
      <c r="M976" t="n">
        <v>0</v>
      </c>
    </row>
    <row r="977" spans="1:13">
      <c r="A977" s="1">
        <f>HYPERLINK("http://www.twitter.com/NathanBLawrence/status/992527429473325057", "992527429473325057")</f>
        <v/>
      </c>
      <c r="B977" s="2" t="n">
        <v>43224.92539351852</v>
      </c>
      <c r="C977" t="n">
        <v>4</v>
      </c>
      <c r="D977" t="n">
        <v>4</v>
      </c>
      <c r="E977" t="s">
        <v>983</v>
      </c>
      <c r="F977" t="s"/>
      <c r="G977" t="s"/>
      <c r="H977" t="s"/>
      <c r="I977" t="s"/>
      <c r="J977" t="n">
        <v>0.081</v>
      </c>
      <c r="K977" t="n">
        <v>0.08799999999999999</v>
      </c>
      <c r="L977" t="n">
        <v>0.8129999999999999</v>
      </c>
      <c r="M977" t="n">
        <v>0.099</v>
      </c>
    </row>
    <row r="978" spans="1:13">
      <c r="A978" s="1">
        <f>HYPERLINK("http://www.twitter.com/NathanBLawrence/status/992522917471809536", "992522917471809536")</f>
        <v/>
      </c>
      <c r="B978" s="2" t="n">
        <v>43224.91293981481</v>
      </c>
      <c r="C978" t="n">
        <v>1</v>
      </c>
      <c r="D978" t="n">
        <v>0</v>
      </c>
      <c r="E978" t="s">
        <v>984</v>
      </c>
      <c r="F978" t="s"/>
      <c r="G978" t="s"/>
      <c r="H978" t="s"/>
      <c r="I978" t="s"/>
      <c r="J978" t="n">
        <v>-0.4019</v>
      </c>
      <c r="K978" t="n">
        <v>0.425</v>
      </c>
      <c r="L978" t="n">
        <v>0.575</v>
      </c>
      <c r="M978" t="n">
        <v>0</v>
      </c>
    </row>
    <row r="979" spans="1:13">
      <c r="A979" s="1">
        <f>HYPERLINK("http://www.twitter.com/NathanBLawrence/status/992519550381019136", "992519550381019136")</f>
        <v/>
      </c>
      <c r="B979" s="2" t="n">
        <v>43224.90364583334</v>
      </c>
      <c r="C979" t="n">
        <v>0</v>
      </c>
      <c r="D979" t="n">
        <v>2</v>
      </c>
      <c r="E979" t="s">
        <v>985</v>
      </c>
      <c r="F979" t="s"/>
      <c r="G979" t="s"/>
      <c r="H979" t="s"/>
      <c r="I979" t="s"/>
      <c r="J979" t="n">
        <v>-0.7184</v>
      </c>
      <c r="K979" t="n">
        <v>0.25</v>
      </c>
      <c r="L979" t="n">
        <v>0.75</v>
      </c>
      <c r="M979" t="n">
        <v>0</v>
      </c>
    </row>
    <row r="980" spans="1:13">
      <c r="A980" s="1">
        <f>HYPERLINK("http://www.twitter.com/NathanBLawrence/status/992519496144445441", "992519496144445441")</f>
        <v/>
      </c>
      <c r="B980" s="2" t="n">
        <v>43224.90349537037</v>
      </c>
      <c r="C980" t="n">
        <v>2</v>
      </c>
      <c r="D980" t="n">
        <v>2</v>
      </c>
      <c r="E980" t="s">
        <v>986</v>
      </c>
      <c r="F980" t="s"/>
      <c r="G980" t="s"/>
      <c r="H980" t="s"/>
      <c r="I980" t="s"/>
      <c r="J980" t="n">
        <v>-0.8482</v>
      </c>
      <c r="K980" t="n">
        <v>0.216</v>
      </c>
      <c r="L980" t="n">
        <v>0.732</v>
      </c>
      <c r="M980" t="n">
        <v>0.052</v>
      </c>
    </row>
    <row r="981" spans="1:13">
      <c r="A981" s="1">
        <f>HYPERLINK("http://www.twitter.com/NathanBLawrence/status/992517037493809152", "992517037493809152")</f>
        <v/>
      </c>
      <c r="B981" s="2" t="n">
        <v>43224.89671296296</v>
      </c>
      <c r="C981" t="n">
        <v>0</v>
      </c>
      <c r="D981" t="n">
        <v>2</v>
      </c>
      <c r="E981" t="s">
        <v>987</v>
      </c>
      <c r="F981" t="s"/>
      <c r="G981" t="s"/>
      <c r="H981" t="s"/>
      <c r="I981" t="s"/>
      <c r="J981" t="n">
        <v>-0.2755</v>
      </c>
      <c r="K981" t="n">
        <v>0.14</v>
      </c>
      <c r="L981" t="n">
        <v>0.86</v>
      </c>
      <c r="M981" t="n">
        <v>0</v>
      </c>
    </row>
    <row r="982" spans="1:13">
      <c r="A982" s="1">
        <f>HYPERLINK("http://www.twitter.com/NathanBLawrence/status/992517020095864832", "992517020095864832")</f>
        <v/>
      </c>
      <c r="B982" s="2" t="n">
        <v>43224.89666666667</v>
      </c>
      <c r="C982" t="n">
        <v>1</v>
      </c>
      <c r="D982" t="n">
        <v>2</v>
      </c>
      <c r="E982" t="s">
        <v>988</v>
      </c>
      <c r="F982" t="s"/>
      <c r="G982" t="s"/>
      <c r="H982" t="s"/>
      <c r="I982" t="s"/>
      <c r="J982" t="n">
        <v>-0.2755</v>
      </c>
      <c r="K982" t="n">
        <v>0.123</v>
      </c>
      <c r="L982" t="n">
        <v>0.877</v>
      </c>
      <c r="M982" t="n">
        <v>0</v>
      </c>
    </row>
    <row r="983" spans="1:13">
      <c r="A983" s="1">
        <f>HYPERLINK("http://www.twitter.com/NathanBLawrence/status/992516053770043393", "992516053770043393")</f>
        <v/>
      </c>
      <c r="B983" s="2" t="n">
        <v>43224.89399305556</v>
      </c>
      <c r="C983" t="n">
        <v>0</v>
      </c>
      <c r="D983" t="n">
        <v>10</v>
      </c>
      <c r="E983" t="s">
        <v>989</v>
      </c>
      <c r="F983">
        <f>HYPERLINK("http://pbs.twimg.com/media/DcYdFVDU0AEokT8.jpg", "http://pbs.twimg.com/media/DcYdFVDU0AEokT8.jpg")</f>
        <v/>
      </c>
      <c r="G983" t="s"/>
      <c r="H983" t="s"/>
      <c r="I983" t="s"/>
      <c r="J983" t="n">
        <v>0.8109</v>
      </c>
      <c r="K983" t="n">
        <v>0</v>
      </c>
      <c r="L983" t="n">
        <v>0.721</v>
      </c>
      <c r="M983" t="n">
        <v>0.279</v>
      </c>
    </row>
    <row r="984" spans="1:13">
      <c r="A984" s="1">
        <f>HYPERLINK("http://www.twitter.com/NathanBLawrence/status/992515605965176832", "992515605965176832")</f>
        <v/>
      </c>
      <c r="B984" s="2" t="n">
        <v>43224.8927662037</v>
      </c>
      <c r="C984" t="n">
        <v>0</v>
      </c>
      <c r="D984" t="n">
        <v>4</v>
      </c>
      <c r="E984" t="s">
        <v>990</v>
      </c>
      <c r="F984" t="s"/>
      <c r="G984" t="s"/>
      <c r="H984" t="s"/>
      <c r="I984" t="s"/>
      <c r="J984" t="n">
        <v>0</v>
      </c>
      <c r="K984" t="n">
        <v>0</v>
      </c>
      <c r="L984" t="n">
        <v>1</v>
      </c>
      <c r="M984" t="n">
        <v>0</v>
      </c>
    </row>
    <row r="985" spans="1:13">
      <c r="A985" s="1">
        <f>HYPERLINK("http://www.twitter.com/NathanBLawrence/status/992514721222877184", "992514721222877184")</f>
        <v/>
      </c>
      <c r="B985" s="2" t="n">
        <v>43224.89032407408</v>
      </c>
      <c r="C985" t="n">
        <v>0</v>
      </c>
      <c r="D985" t="n">
        <v>2</v>
      </c>
      <c r="E985" t="s">
        <v>991</v>
      </c>
      <c r="F985" t="s"/>
      <c r="G985" t="s"/>
      <c r="H985" t="s"/>
      <c r="I985" t="s"/>
      <c r="J985" t="n">
        <v>0</v>
      </c>
      <c r="K985" t="n">
        <v>0</v>
      </c>
      <c r="L985" t="n">
        <v>1</v>
      </c>
      <c r="M985" t="n">
        <v>0</v>
      </c>
    </row>
    <row r="986" spans="1:13">
      <c r="A986" s="1">
        <f>HYPERLINK("http://www.twitter.com/NathanBLawrence/status/992514698263302144", "992514698263302144")</f>
        <v/>
      </c>
      <c r="B986" s="2" t="n">
        <v>43224.89025462963</v>
      </c>
      <c r="C986" t="n">
        <v>3</v>
      </c>
      <c r="D986" t="n">
        <v>2</v>
      </c>
      <c r="E986" t="s">
        <v>992</v>
      </c>
      <c r="F986" t="s"/>
      <c r="G986" t="s"/>
      <c r="H986" t="s"/>
      <c r="I986" t="s"/>
      <c r="J986" t="n">
        <v>0</v>
      </c>
      <c r="K986" t="n">
        <v>0</v>
      </c>
      <c r="L986" t="n">
        <v>1</v>
      </c>
      <c r="M986" t="n">
        <v>0</v>
      </c>
    </row>
    <row r="987" spans="1:13">
      <c r="A987" s="1">
        <f>HYPERLINK("http://www.twitter.com/NathanBLawrence/status/992494748656132096", "992494748656132096")</f>
        <v/>
      </c>
      <c r="B987" s="2" t="n">
        <v>43224.83520833333</v>
      </c>
      <c r="C987" t="n">
        <v>0</v>
      </c>
      <c r="D987" t="n">
        <v>1</v>
      </c>
      <c r="E987" t="s">
        <v>993</v>
      </c>
      <c r="F987" t="s"/>
      <c r="G987" t="s"/>
      <c r="H987" t="s"/>
      <c r="I987" t="s"/>
      <c r="J987" t="n">
        <v>-0.7717000000000001</v>
      </c>
      <c r="K987" t="n">
        <v>0.278</v>
      </c>
      <c r="L987" t="n">
        <v>0.722</v>
      </c>
      <c r="M987" t="n">
        <v>0</v>
      </c>
    </row>
    <row r="988" spans="1:13">
      <c r="A988" s="1">
        <f>HYPERLINK("http://www.twitter.com/NathanBLawrence/status/992494737255993345", "992494737255993345")</f>
        <v/>
      </c>
      <c r="B988" s="2" t="n">
        <v>43224.83517361111</v>
      </c>
      <c r="C988" t="n">
        <v>0</v>
      </c>
      <c r="D988" t="n">
        <v>1</v>
      </c>
      <c r="E988" t="s">
        <v>994</v>
      </c>
      <c r="F988" t="s"/>
      <c r="G988" t="s"/>
      <c r="H988" t="s"/>
      <c r="I988" t="s"/>
      <c r="J988" t="n">
        <v>-0.296</v>
      </c>
      <c r="K988" t="n">
        <v>0.109</v>
      </c>
      <c r="L988" t="n">
        <v>0.891</v>
      </c>
      <c r="M988" t="n">
        <v>0</v>
      </c>
    </row>
    <row r="989" spans="1:13">
      <c r="A989" s="1">
        <f>HYPERLINK("http://www.twitter.com/NathanBLawrence/status/992494700958572545", "992494700958572545")</f>
        <v/>
      </c>
      <c r="B989" s="2" t="n">
        <v>43224.83508101852</v>
      </c>
      <c r="C989" t="n">
        <v>0</v>
      </c>
      <c r="D989" t="n">
        <v>0</v>
      </c>
      <c r="E989" t="s">
        <v>995</v>
      </c>
      <c r="F989" t="s"/>
      <c r="G989" t="s"/>
      <c r="H989" t="s"/>
      <c r="I989" t="s"/>
      <c r="J989" t="n">
        <v>-0.3553</v>
      </c>
      <c r="K989" t="n">
        <v>0.398</v>
      </c>
      <c r="L989" t="n">
        <v>0.289</v>
      </c>
      <c r="M989" t="n">
        <v>0.313</v>
      </c>
    </row>
    <row r="990" spans="1:13">
      <c r="A990" s="1">
        <f>HYPERLINK("http://www.twitter.com/NathanBLawrence/status/992494331905880065", "992494331905880065")</f>
        <v/>
      </c>
      <c r="B990" s="2" t="n">
        <v>43224.8340625</v>
      </c>
      <c r="C990" t="n">
        <v>2</v>
      </c>
      <c r="D990" t="n">
        <v>1</v>
      </c>
      <c r="E990" t="s">
        <v>996</v>
      </c>
      <c r="F990" t="s"/>
      <c r="G990" t="s"/>
      <c r="H990" t="s"/>
      <c r="I990" t="s"/>
      <c r="J990" t="n">
        <v>0.0258</v>
      </c>
      <c r="K990" t="n">
        <v>0</v>
      </c>
      <c r="L990" t="n">
        <v>0.959</v>
      </c>
      <c r="M990" t="n">
        <v>0.041</v>
      </c>
    </row>
    <row r="991" spans="1:13">
      <c r="A991" s="1">
        <f>HYPERLINK("http://www.twitter.com/NathanBLawrence/status/992493675149185024", "992493675149185024")</f>
        <v/>
      </c>
      <c r="B991" s="2" t="n">
        <v>43224.83224537037</v>
      </c>
      <c r="C991" t="n">
        <v>1</v>
      </c>
      <c r="D991" t="n">
        <v>1</v>
      </c>
      <c r="E991" t="s">
        <v>997</v>
      </c>
      <c r="F991" t="s"/>
      <c r="G991" t="s"/>
      <c r="H991" t="s"/>
      <c r="I991" t="s"/>
      <c r="J991" t="n">
        <v>-0.7717000000000001</v>
      </c>
      <c r="K991" t="n">
        <v>0.141</v>
      </c>
      <c r="L991" t="n">
        <v>0.859</v>
      </c>
      <c r="M991" t="n">
        <v>0</v>
      </c>
    </row>
    <row r="992" spans="1:13">
      <c r="A992" s="1">
        <f>HYPERLINK("http://www.twitter.com/NathanBLawrence/status/992493163297288192", "992493163297288192")</f>
        <v/>
      </c>
      <c r="B992" s="2" t="n">
        <v>43224.83083333333</v>
      </c>
      <c r="C992" t="n">
        <v>1</v>
      </c>
      <c r="D992" t="n">
        <v>1</v>
      </c>
      <c r="E992" t="s">
        <v>998</v>
      </c>
      <c r="F992" t="s"/>
      <c r="G992" t="s"/>
      <c r="H992" t="s"/>
      <c r="I992" t="s"/>
      <c r="J992" t="n">
        <v>-0.5423</v>
      </c>
      <c r="K992" t="n">
        <v>0.123</v>
      </c>
      <c r="L992" t="n">
        <v>0.832</v>
      </c>
      <c r="M992" t="n">
        <v>0.046</v>
      </c>
    </row>
    <row r="993" spans="1:13">
      <c r="A993" s="1">
        <f>HYPERLINK("http://www.twitter.com/NathanBLawrence/status/992492275694473217", "992492275694473217")</f>
        <v/>
      </c>
      <c r="B993" s="2" t="n">
        <v>43224.82837962963</v>
      </c>
      <c r="C993" t="n">
        <v>0</v>
      </c>
      <c r="D993" t="n">
        <v>1</v>
      </c>
      <c r="E993" t="s">
        <v>999</v>
      </c>
      <c r="F993" t="s"/>
      <c r="G993" t="s"/>
      <c r="H993" t="s"/>
      <c r="I993" t="s"/>
      <c r="J993" t="n">
        <v>0</v>
      </c>
      <c r="K993" t="n">
        <v>0</v>
      </c>
      <c r="L993" t="n">
        <v>1</v>
      </c>
      <c r="M993" t="n">
        <v>0</v>
      </c>
    </row>
    <row r="994" spans="1:13">
      <c r="A994" s="1">
        <f>HYPERLINK("http://www.twitter.com/NathanBLawrence/status/992492149160775680", "992492149160775680")</f>
        <v/>
      </c>
      <c r="B994" s="2" t="n">
        <v>43224.82803240741</v>
      </c>
      <c r="C994" t="n">
        <v>1</v>
      </c>
      <c r="D994" t="n">
        <v>1</v>
      </c>
      <c r="E994" t="s">
        <v>1000</v>
      </c>
      <c r="F994" t="s"/>
      <c r="G994" t="s"/>
      <c r="H994" t="s"/>
      <c r="I994" t="s"/>
      <c r="J994" t="n">
        <v>-0.4767</v>
      </c>
      <c r="K994" t="n">
        <v>0.066</v>
      </c>
      <c r="L994" t="n">
        <v>0.9340000000000001</v>
      </c>
      <c r="M994" t="n">
        <v>0</v>
      </c>
    </row>
    <row r="995" spans="1:13">
      <c r="A995" s="1">
        <f>HYPERLINK("http://www.twitter.com/NathanBLawrence/status/992491668061458434", "992491668061458434")</f>
        <v/>
      </c>
      <c r="B995" s="2" t="n">
        <v>43224.82670138889</v>
      </c>
      <c r="C995" t="n">
        <v>0</v>
      </c>
      <c r="D995" t="n">
        <v>4</v>
      </c>
      <c r="E995" t="s">
        <v>1001</v>
      </c>
      <c r="F995" t="s"/>
      <c r="G995" t="s"/>
      <c r="H995" t="s"/>
      <c r="I995" t="s"/>
      <c r="J995" t="n">
        <v>0</v>
      </c>
      <c r="K995" t="n">
        <v>0</v>
      </c>
      <c r="L995" t="n">
        <v>1</v>
      </c>
      <c r="M995" t="n">
        <v>0</v>
      </c>
    </row>
    <row r="996" spans="1:13">
      <c r="A996" s="1">
        <f>HYPERLINK("http://www.twitter.com/NathanBLawrence/status/992491430567469056", "992491430567469056")</f>
        <v/>
      </c>
      <c r="B996" s="2" t="n">
        <v>43224.82605324074</v>
      </c>
      <c r="C996" t="n">
        <v>0</v>
      </c>
      <c r="D996" t="n">
        <v>7</v>
      </c>
      <c r="E996" t="s">
        <v>1002</v>
      </c>
      <c r="F996" t="s"/>
      <c r="G996" t="s"/>
      <c r="H996" t="s"/>
      <c r="I996" t="s"/>
      <c r="J996" t="n">
        <v>-0.4003</v>
      </c>
      <c r="K996" t="n">
        <v>0.183</v>
      </c>
      <c r="L996" t="n">
        <v>0.8169999999999999</v>
      </c>
      <c r="M996" t="n">
        <v>0</v>
      </c>
    </row>
    <row r="997" spans="1:13">
      <c r="A997" s="1">
        <f>HYPERLINK("http://www.twitter.com/NathanBLawrence/status/992484290066776065", "992484290066776065")</f>
        <v/>
      </c>
      <c r="B997" s="2" t="n">
        <v>43224.80634259259</v>
      </c>
      <c r="C997" t="n">
        <v>0</v>
      </c>
      <c r="D997" t="n">
        <v>7</v>
      </c>
      <c r="E997" t="s">
        <v>1003</v>
      </c>
      <c r="F997" t="s"/>
      <c r="G997" t="s"/>
      <c r="H997" t="s"/>
      <c r="I997" t="s"/>
      <c r="J997" t="n">
        <v>-0.2755</v>
      </c>
      <c r="K997" t="n">
        <v>0.123</v>
      </c>
      <c r="L997" t="n">
        <v>0.877</v>
      </c>
      <c r="M997" t="n">
        <v>0</v>
      </c>
    </row>
    <row r="998" spans="1:13">
      <c r="A998" s="1">
        <f>HYPERLINK("http://www.twitter.com/NathanBLawrence/status/992484257426755585", "992484257426755585")</f>
        <v/>
      </c>
      <c r="B998" s="2" t="n">
        <v>43224.80626157407</v>
      </c>
      <c r="C998" t="n">
        <v>7</v>
      </c>
      <c r="D998" t="n">
        <v>7</v>
      </c>
      <c r="E998" t="s">
        <v>1004</v>
      </c>
      <c r="F998" t="s"/>
      <c r="G998" t="s"/>
      <c r="H998" t="s"/>
      <c r="I998" t="s"/>
      <c r="J998" t="n">
        <v>-0.06569999999999999</v>
      </c>
      <c r="K998" t="n">
        <v>0.182</v>
      </c>
      <c r="L998" t="n">
        <v>0.64</v>
      </c>
      <c r="M998" t="n">
        <v>0.178</v>
      </c>
    </row>
    <row r="999" spans="1:13">
      <c r="A999" s="1">
        <f>HYPERLINK("http://www.twitter.com/NathanBLawrence/status/992483458604814337", "992483458604814337")</f>
        <v/>
      </c>
      <c r="B999" s="2" t="n">
        <v>43224.80405092592</v>
      </c>
      <c r="C999" t="n">
        <v>0</v>
      </c>
      <c r="D999" t="n">
        <v>13</v>
      </c>
      <c r="E999" t="s">
        <v>1005</v>
      </c>
      <c r="F999" t="s"/>
      <c r="G999" t="s"/>
      <c r="H999" t="s"/>
      <c r="I999" t="s"/>
      <c r="J999" t="n">
        <v>0</v>
      </c>
      <c r="K999" t="n">
        <v>0</v>
      </c>
      <c r="L999" t="n">
        <v>1</v>
      </c>
      <c r="M999" t="n">
        <v>0</v>
      </c>
    </row>
    <row r="1000" spans="1:13">
      <c r="A1000" s="1">
        <f>HYPERLINK("http://www.twitter.com/NathanBLawrence/status/992483431073435648", "992483431073435648")</f>
        <v/>
      </c>
      <c r="B1000" s="2" t="n">
        <v>43224.80398148148</v>
      </c>
      <c r="C1000" t="n">
        <v>12</v>
      </c>
      <c r="D1000" t="n">
        <v>13</v>
      </c>
      <c r="E1000" t="s">
        <v>1006</v>
      </c>
      <c r="F1000" t="s"/>
      <c r="G1000" t="s"/>
      <c r="H1000" t="s"/>
      <c r="I1000" t="s"/>
      <c r="J1000" t="n">
        <v>0</v>
      </c>
      <c r="K1000" t="n">
        <v>0</v>
      </c>
      <c r="L1000" t="n">
        <v>1</v>
      </c>
      <c r="M1000" t="n">
        <v>0</v>
      </c>
    </row>
    <row r="1001" spans="1:13">
      <c r="A1001" s="1">
        <f>HYPERLINK("http://www.twitter.com/NathanBLawrence/status/992476632563814400", "992476632563814400")</f>
        <v/>
      </c>
      <c r="B1001" s="2" t="n">
        <v>43224.7852199074</v>
      </c>
      <c r="C1001" t="n">
        <v>3</v>
      </c>
      <c r="D1001" t="n">
        <v>2</v>
      </c>
      <c r="E1001" t="s">
        <v>1007</v>
      </c>
      <c r="F1001" t="s"/>
      <c r="G1001" t="s"/>
      <c r="H1001" t="s"/>
      <c r="I1001" t="s"/>
      <c r="J1001" t="n">
        <v>0.5484</v>
      </c>
      <c r="K1001" t="n">
        <v>0.082</v>
      </c>
      <c r="L1001" t="n">
        <v>0.711</v>
      </c>
      <c r="M1001" t="n">
        <v>0.208</v>
      </c>
    </row>
    <row r="1002" spans="1:13">
      <c r="A1002" s="1">
        <f>HYPERLINK("http://www.twitter.com/NathanBLawrence/status/992475787805843456", "992475787805843456")</f>
        <v/>
      </c>
      <c r="B1002" s="2" t="n">
        <v>43224.78288194445</v>
      </c>
      <c r="C1002" t="n">
        <v>0</v>
      </c>
      <c r="D1002" t="n">
        <v>1</v>
      </c>
      <c r="E1002" t="s">
        <v>1008</v>
      </c>
      <c r="F1002" t="s"/>
      <c r="G1002" t="s"/>
      <c r="H1002" t="s"/>
      <c r="I1002" t="s"/>
      <c r="J1002" t="n">
        <v>-0.3716</v>
      </c>
      <c r="K1002" t="n">
        <v>0.188</v>
      </c>
      <c r="L1002" t="n">
        <v>0.8120000000000001</v>
      </c>
      <c r="M1002" t="n">
        <v>0</v>
      </c>
    </row>
    <row r="1003" spans="1:13">
      <c r="A1003" s="1">
        <f>HYPERLINK("http://www.twitter.com/NathanBLawrence/status/992475726963269633", "992475726963269633")</f>
        <v/>
      </c>
      <c r="B1003" s="2" t="n">
        <v>43224.78271990741</v>
      </c>
      <c r="C1003" t="n">
        <v>0</v>
      </c>
      <c r="D1003" t="n">
        <v>1</v>
      </c>
      <c r="E1003" t="s">
        <v>1009</v>
      </c>
      <c r="F1003" t="s"/>
      <c r="G1003" t="s"/>
      <c r="H1003" t="s"/>
      <c r="I1003" t="s"/>
      <c r="J1003" t="n">
        <v>0.2732</v>
      </c>
      <c r="K1003" t="n">
        <v>0</v>
      </c>
      <c r="L1003" t="n">
        <v>0.8110000000000001</v>
      </c>
      <c r="M1003" t="n">
        <v>0.189</v>
      </c>
    </row>
    <row r="1004" spans="1:13">
      <c r="A1004" s="1">
        <f>HYPERLINK("http://www.twitter.com/NathanBLawrence/status/992465234836279301", "992465234836279301")</f>
        <v/>
      </c>
      <c r="B1004" s="2" t="n">
        <v>43224.75376157407</v>
      </c>
      <c r="C1004" t="n">
        <v>2</v>
      </c>
      <c r="D1004" t="n">
        <v>1</v>
      </c>
      <c r="E1004" t="s">
        <v>1010</v>
      </c>
      <c r="F1004" t="s"/>
      <c r="G1004" t="s"/>
      <c r="H1004" t="s"/>
      <c r="I1004" t="s"/>
      <c r="J1004" t="n">
        <v>-0.3716</v>
      </c>
      <c r="K1004" t="n">
        <v>0.221</v>
      </c>
      <c r="L1004" t="n">
        <v>0.779</v>
      </c>
      <c r="M1004" t="n">
        <v>0</v>
      </c>
    </row>
    <row r="1005" spans="1:13">
      <c r="A1005" s="1">
        <f>HYPERLINK("http://www.twitter.com/NathanBLawrence/status/992461582637715456", "992461582637715456")</f>
        <v/>
      </c>
      <c r="B1005" s="2" t="n">
        <v>43224.74369212963</v>
      </c>
      <c r="C1005" t="n">
        <v>0</v>
      </c>
      <c r="D1005" t="n">
        <v>2</v>
      </c>
      <c r="E1005" t="s">
        <v>1011</v>
      </c>
      <c r="F1005" t="s"/>
      <c r="G1005" t="s"/>
      <c r="H1005" t="s"/>
      <c r="I1005" t="s"/>
      <c r="J1005" t="n">
        <v>0</v>
      </c>
      <c r="K1005" t="n">
        <v>0</v>
      </c>
      <c r="L1005" t="n">
        <v>1</v>
      </c>
      <c r="M1005" t="n">
        <v>0</v>
      </c>
    </row>
    <row r="1006" spans="1:13">
      <c r="A1006" s="1">
        <f>HYPERLINK("http://www.twitter.com/NathanBLawrence/status/992461542988963840", "992461542988963840")</f>
        <v/>
      </c>
      <c r="B1006" s="2" t="n">
        <v>43224.74357638889</v>
      </c>
      <c r="C1006" t="n">
        <v>0</v>
      </c>
      <c r="D1006" t="n">
        <v>0</v>
      </c>
      <c r="E1006" t="s">
        <v>1012</v>
      </c>
      <c r="F1006" t="s"/>
      <c r="G1006" t="s"/>
      <c r="H1006" t="s"/>
      <c r="I1006" t="s"/>
      <c r="J1006" t="n">
        <v>0.7264</v>
      </c>
      <c r="K1006" t="n">
        <v>0.08</v>
      </c>
      <c r="L1006" t="n">
        <v>0.618</v>
      </c>
      <c r="M1006" t="n">
        <v>0.302</v>
      </c>
    </row>
    <row r="1007" spans="1:13">
      <c r="A1007" s="1">
        <f>HYPERLINK("http://www.twitter.com/NathanBLawrence/status/992461281717379072", "992461281717379072")</f>
        <v/>
      </c>
      <c r="B1007" s="2" t="n">
        <v>43224.74285879629</v>
      </c>
      <c r="C1007" t="n">
        <v>3</v>
      </c>
      <c r="D1007" t="n">
        <v>2</v>
      </c>
      <c r="E1007" t="s">
        <v>1013</v>
      </c>
      <c r="F1007" t="s"/>
      <c r="G1007" t="s"/>
      <c r="H1007" t="s"/>
      <c r="I1007" t="s"/>
      <c r="J1007" t="n">
        <v>0</v>
      </c>
      <c r="K1007" t="n">
        <v>0</v>
      </c>
      <c r="L1007" t="n">
        <v>1</v>
      </c>
      <c r="M1007" t="n">
        <v>0</v>
      </c>
    </row>
    <row r="1008" spans="1:13">
      <c r="A1008" s="1">
        <f>HYPERLINK("http://www.twitter.com/NathanBLawrence/status/992441060658958339", "992441060658958339")</f>
        <v/>
      </c>
      <c r="B1008" s="2" t="n">
        <v>43224.68706018518</v>
      </c>
      <c r="C1008" t="n">
        <v>0</v>
      </c>
      <c r="D1008" t="n">
        <v>2</v>
      </c>
      <c r="E1008" t="s">
        <v>1014</v>
      </c>
      <c r="F1008" t="s"/>
      <c r="G1008" t="s"/>
      <c r="H1008" t="s"/>
      <c r="I1008" t="s"/>
      <c r="J1008" t="n">
        <v>-0.4019</v>
      </c>
      <c r="K1008" t="n">
        <v>0.231</v>
      </c>
      <c r="L1008" t="n">
        <v>0.769</v>
      </c>
      <c r="M1008" t="n">
        <v>0</v>
      </c>
    </row>
    <row r="1009" spans="1:13">
      <c r="A1009" s="1">
        <f>HYPERLINK("http://www.twitter.com/NathanBLawrence/status/992438699660140545", "992438699660140545")</f>
        <v/>
      </c>
      <c r="B1009" s="2" t="n">
        <v>43224.68054398148</v>
      </c>
      <c r="C1009" t="n">
        <v>3</v>
      </c>
      <c r="D1009" t="n">
        <v>2</v>
      </c>
      <c r="E1009" t="s">
        <v>1015</v>
      </c>
      <c r="F1009" t="s"/>
      <c r="G1009" t="s"/>
      <c r="H1009" t="s"/>
      <c r="I1009" t="s"/>
      <c r="J1009" t="n">
        <v>-0.4019</v>
      </c>
      <c r="K1009" t="n">
        <v>0.278</v>
      </c>
      <c r="L1009" t="n">
        <v>0.722</v>
      </c>
      <c r="M1009" t="n">
        <v>0</v>
      </c>
    </row>
    <row r="1010" spans="1:13">
      <c r="A1010" s="1">
        <f>HYPERLINK("http://www.twitter.com/NathanBLawrence/status/992437834756902913", "992437834756902913")</f>
        <v/>
      </c>
      <c r="B1010" s="2" t="n">
        <v>43224.67815972222</v>
      </c>
      <c r="C1010" t="n">
        <v>0</v>
      </c>
      <c r="D1010" t="n">
        <v>4</v>
      </c>
      <c r="E1010" t="s">
        <v>1016</v>
      </c>
      <c r="F1010" t="s"/>
      <c r="G1010" t="s"/>
      <c r="H1010" t="s"/>
      <c r="I1010" t="s"/>
      <c r="J1010" t="n">
        <v>0.128</v>
      </c>
      <c r="K1010" t="n">
        <v>0</v>
      </c>
      <c r="L1010" t="n">
        <v>0.927</v>
      </c>
      <c r="M1010" t="n">
        <v>0.073</v>
      </c>
    </row>
    <row r="1011" spans="1:13">
      <c r="A1011" s="1">
        <f>HYPERLINK("http://www.twitter.com/NathanBLawrence/status/992437823528669184", "992437823528669184")</f>
        <v/>
      </c>
      <c r="B1011" s="2" t="n">
        <v>43224.678125</v>
      </c>
      <c r="C1011" t="n">
        <v>0</v>
      </c>
      <c r="D1011" t="n">
        <v>2</v>
      </c>
      <c r="E1011" t="s">
        <v>1017</v>
      </c>
      <c r="F1011" t="s"/>
      <c r="G1011" t="s"/>
      <c r="H1011" t="s"/>
      <c r="I1011" t="s"/>
      <c r="J1011" t="n">
        <v>0</v>
      </c>
      <c r="K1011" t="n">
        <v>0</v>
      </c>
      <c r="L1011" t="n">
        <v>1</v>
      </c>
      <c r="M1011" t="n">
        <v>0</v>
      </c>
    </row>
    <row r="1012" spans="1:13">
      <c r="A1012" s="1">
        <f>HYPERLINK("http://www.twitter.com/NathanBLawrence/status/992426420755423232", "992426420755423232")</f>
        <v/>
      </c>
      <c r="B1012" s="2" t="n">
        <v>43224.64665509259</v>
      </c>
      <c r="C1012" t="n">
        <v>0</v>
      </c>
      <c r="D1012" t="n">
        <v>3</v>
      </c>
      <c r="E1012" t="s">
        <v>1018</v>
      </c>
      <c r="F1012" t="s"/>
      <c r="G1012" t="s"/>
      <c r="H1012" t="s"/>
      <c r="I1012" t="s"/>
      <c r="J1012" t="n">
        <v>0</v>
      </c>
      <c r="K1012" t="n">
        <v>0</v>
      </c>
      <c r="L1012" t="n">
        <v>1</v>
      </c>
      <c r="M1012" t="n">
        <v>0</v>
      </c>
    </row>
    <row r="1013" spans="1:13">
      <c r="A1013" s="1">
        <f>HYPERLINK("http://www.twitter.com/NathanBLawrence/status/992425583287169025", "992425583287169025")</f>
        <v/>
      </c>
      <c r="B1013" s="2" t="n">
        <v>43224.64435185185</v>
      </c>
      <c r="C1013" t="n">
        <v>4</v>
      </c>
      <c r="D1013" t="n">
        <v>3</v>
      </c>
      <c r="E1013" t="s">
        <v>1019</v>
      </c>
      <c r="F1013" t="s"/>
      <c r="G1013" t="s"/>
      <c r="H1013" t="s"/>
      <c r="I1013" t="s"/>
      <c r="J1013" t="n">
        <v>0</v>
      </c>
      <c r="K1013" t="n">
        <v>0</v>
      </c>
      <c r="L1013" t="n">
        <v>1</v>
      </c>
      <c r="M1013" t="n">
        <v>0</v>
      </c>
    </row>
    <row r="1014" spans="1:13">
      <c r="A1014" s="1">
        <f>HYPERLINK("http://www.twitter.com/NathanBLawrence/status/992424528637775872", "992424528637775872")</f>
        <v/>
      </c>
      <c r="B1014" s="2" t="n">
        <v>43224.64143518519</v>
      </c>
      <c r="C1014" t="n">
        <v>1</v>
      </c>
      <c r="D1014" t="n">
        <v>0</v>
      </c>
      <c r="E1014" t="s">
        <v>1020</v>
      </c>
      <c r="F1014" t="s"/>
      <c r="G1014" t="s"/>
      <c r="H1014" t="s"/>
      <c r="I1014" t="s"/>
      <c r="J1014" t="n">
        <v>-0.0516</v>
      </c>
      <c r="K1014" t="n">
        <v>0.101</v>
      </c>
      <c r="L1014" t="n">
        <v>0.806</v>
      </c>
      <c r="M1014" t="n">
        <v>0.093</v>
      </c>
    </row>
    <row r="1015" spans="1:13">
      <c r="A1015" s="1">
        <f>HYPERLINK("http://www.twitter.com/NathanBLawrence/status/992420359638016000", "992420359638016000")</f>
        <v/>
      </c>
      <c r="B1015" s="2" t="n">
        <v>43224.62993055556</v>
      </c>
      <c r="C1015" t="n">
        <v>1</v>
      </c>
      <c r="D1015" t="n">
        <v>1</v>
      </c>
      <c r="E1015" t="s">
        <v>1021</v>
      </c>
      <c r="F1015" t="s"/>
      <c r="G1015" t="s"/>
      <c r="H1015" t="s"/>
      <c r="I1015" t="s"/>
      <c r="J1015" t="n">
        <v>-0.4341</v>
      </c>
      <c r="K1015" t="n">
        <v>0.125</v>
      </c>
      <c r="L1015" t="n">
        <v>0.875</v>
      </c>
      <c r="M1015" t="n">
        <v>0</v>
      </c>
    </row>
    <row r="1016" spans="1:13">
      <c r="A1016" s="1">
        <f>HYPERLINK("http://www.twitter.com/NathanBLawrence/status/992419939612024832", "992419939612024832")</f>
        <v/>
      </c>
      <c r="B1016" s="2" t="n">
        <v>43224.62877314815</v>
      </c>
      <c r="C1016" t="n">
        <v>0</v>
      </c>
      <c r="D1016" t="n">
        <v>3</v>
      </c>
      <c r="E1016" t="s">
        <v>1022</v>
      </c>
      <c r="F1016" t="s"/>
      <c r="G1016" t="s"/>
      <c r="H1016" t="s"/>
      <c r="I1016" t="s"/>
      <c r="J1016" t="n">
        <v>0</v>
      </c>
      <c r="K1016" t="n">
        <v>0</v>
      </c>
      <c r="L1016" t="n">
        <v>1</v>
      </c>
      <c r="M1016" t="n">
        <v>0</v>
      </c>
    </row>
    <row r="1017" spans="1:13">
      <c r="A1017" s="1">
        <f>HYPERLINK("http://www.twitter.com/NathanBLawrence/status/992419309166170112", "992419309166170112")</f>
        <v/>
      </c>
      <c r="B1017" s="2" t="n">
        <v>43224.62703703704</v>
      </c>
      <c r="C1017" t="n">
        <v>4</v>
      </c>
      <c r="D1017" t="n">
        <v>3</v>
      </c>
      <c r="E1017" t="s">
        <v>1023</v>
      </c>
      <c r="F1017" t="s"/>
      <c r="G1017" t="s"/>
      <c r="H1017" t="s"/>
      <c r="I1017" t="s"/>
      <c r="J1017" t="n">
        <v>0</v>
      </c>
      <c r="K1017" t="n">
        <v>0</v>
      </c>
      <c r="L1017" t="n">
        <v>1</v>
      </c>
      <c r="M1017" t="n">
        <v>0</v>
      </c>
    </row>
    <row r="1018" spans="1:13">
      <c r="A1018" s="1">
        <f>HYPERLINK("http://www.twitter.com/NathanBLawrence/status/992406283390242816", "992406283390242816")</f>
        <v/>
      </c>
      <c r="B1018" s="2" t="n">
        <v>43224.59108796297</v>
      </c>
      <c r="C1018" t="n">
        <v>0</v>
      </c>
      <c r="D1018" t="n">
        <v>12</v>
      </c>
      <c r="E1018" t="s">
        <v>1024</v>
      </c>
      <c r="F1018" t="s"/>
      <c r="G1018" t="s"/>
      <c r="H1018" t="s"/>
      <c r="I1018" t="s"/>
      <c r="J1018" t="n">
        <v>-0.4404</v>
      </c>
      <c r="K1018" t="n">
        <v>0.168</v>
      </c>
      <c r="L1018" t="n">
        <v>0.733</v>
      </c>
      <c r="M1018" t="n">
        <v>0.099</v>
      </c>
    </row>
    <row r="1019" spans="1:13">
      <c r="A1019" s="1">
        <f>HYPERLINK("http://www.twitter.com/NathanBLawrence/status/992406161969352704", "992406161969352704")</f>
        <v/>
      </c>
      <c r="B1019" s="2" t="n">
        <v>43224.59075231481</v>
      </c>
      <c r="C1019" t="n">
        <v>0</v>
      </c>
      <c r="D1019" t="n">
        <v>2</v>
      </c>
      <c r="E1019" t="s">
        <v>1025</v>
      </c>
      <c r="F1019" t="s"/>
      <c r="G1019" t="s"/>
      <c r="H1019" t="s"/>
      <c r="I1019" t="s"/>
      <c r="J1019" t="n">
        <v>0</v>
      </c>
      <c r="K1019" t="n">
        <v>0</v>
      </c>
      <c r="L1019" t="n">
        <v>1</v>
      </c>
      <c r="M1019" t="n">
        <v>0</v>
      </c>
    </row>
    <row r="1020" spans="1:13">
      <c r="A1020" s="1">
        <f>HYPERLINK("http://www.twitter.com/NathanBLawrence/status/992389752996417537", "992389752996417537")</f>
        <v/>
      </c>
      <c r="B1020" s="2" t="n">
        <v>43224.54547453704</v>
      </c>
      <c r="C1020" t="n">
        <v>0</v>
      </c>
      <c r="D1020" t="n">
        <v>1</v>
      </c>
      <c r="E1020" t="s">
        <v>1026</v>
      </c>
      <c r="F1020" t="s"/>
      <c r="G1020" t="s"/>
      <c r="H1020" t="s"/>
      <c r="I1020" t="s"/>
      <c r="J1020" t="n">
        <v>0.4019</v>
      </c>
      <c r="K1020" t="n">
        <v>0</v>
      </c>
      <c r="L1020" t="n">
        <v>0.787</v>
      </c>
      <c r="M1020" t="n">
        <v>0.213</v>
      </c>
    </row>
    <row r="1021" spans="1:13">
      <c r="A1021" s="1">
        <f>HYPERLINK("http://www.twitter.com/NathanBLawrence/status/992389688957853696", "992389688957853696")</f>
        <v/>
      </c>
      <c r="B1021" s="2" t="n">
        <v>43224.54530092593</v>
      </c>
      <c r="C1021" t="n">
        <v>1</v>
      </c>
      <c r="D1021" t="n">
        <v>1</v>
      </c>
      <c r="E1021" t="s">
        <v>1027</v>
      </c>
      <c r="F1021" t="s"/>
      <c r="G1021" t="s"/>
      <c r="H1021" t="s"/>
      <c r="I1021" t="s"/>
      <c r="J1021" t="n">
        <v>0.4019</v>
      </c>
      <c r="K1021" t="n">
        <v>0</v>
      </c>
      <c r="L1021" t="n">
        <v>0.748</v>
      </c>
      <c r="M1021" t="n">
        <v>0.252</v>
      </c>
    </row>
    <row r="1022" spans="1:13">
      <c r="A1022" s="1">
        <f>HYPERLINK("http://www.twitter.com/NathanBLawrence/status/992387316298715136", "992387316298715136")</f>
        <v/>
      </c>
      <c r="B1022" s="2" t="n">
        <v>43224.53875</v>
      </c>
      <c r="C1022" t="n">
        <v>0</v>
      </c>
      <c r="D1022" t="n">
        <v>9</v>
      </c>
      <c r="E1022" t="s">
        <v>1028</v>
      </c>
      <c r="F1022" t="s"/>
      <c r="G1022" t="s"/>
      <c r="H1022" t="s"/>
      <c r="I1022" t="s"/>
      <c r="J1022" t="n">
        <v>0.3612</v>
      </c>
      <c r="K1022" t="n">
        <v>0</v>
      </c>
      <c r="L1022" t="n">
        <v>0.889</v>
      </c>
      <c r="M1022" t="n">
        <v>0.111</v>
      </c>
    </row>
    <row r="1023" spans="1:13">
      <c r="A1023" s="1">
        <f>HYPERLINK("http://www.twitter.com/NathanBLawrence/status/992381355760799744", "992381355760799744")</f>
        <v/>
      </c>
      <c r="B1023" s="2" t="n">
        <v>43224.52230324074</v>
      </c>
      <c r="C1023" t="n">
        <v>0</v>
      </c>
      <c r="D1023" t="n">
        <v>5</v>
      </c>
      <c r="E1023" t="s">
        <v>1029</v>
      </c>
      <c r="F1023" t="s"/>
      <c r="G1023" t="s"/>
      <c r="H1023" t="s"/>
      <c r="I1023" t="s"/>
      <c r="J1023" t="n">
        <v>0.2263</v>
      </c>
      <c r="K1023" t="n">
        <v>0.11</v>
      </c>
      <c r="L1023" t="n">
        <v>0.709</v>
      </c>
      <c r="M1023" t="n">
        <v>0.181</v>
      </c>
    </row>
    <row r="1024" spans="1:13">
      <c r="A1024" s="1">
        <f>HYPERLINK("http://www.twitter.com/NathanBLawrence/status/992381335644856322", "992381335644856322")</f>
        <v/>
      </c>
      <c r="B1024" s="2" t="n">
        <v>43224.52224537037</v>
      </c>
      <c r="C1024" t="n">
        <v>0</v>
      </c>
      <c r="D1024" t="n">
        <v>2</v>
      </c>
      <c r="E1024" t="s">
        <v>1030</v>
      </c>
      <c r="F1024" t="s"/>
      <c r="G1024" t="s"/>
      <c r="H1024" t="s"/>
      <c r="I1024" t="s"/>
      <c r="J1024" t="n">
        <v>-0.0516</v>
      </c>
      <c r="K1024" t="n">
        <v>0.157</v>
      </c>
      <c r="L1024" t="n">
        <v>0.696</v>
      </c>
      <c r="M1024" t="n">
        <v>0.148</v>
      </c>
    </row>
    <row r="1025" spans="1:13">
      <c r="A1025" s="1">
        <f>HYPERLINK("http://www.twitter.com/NathanBLawrence/status/992381189783736322", "992381189783736322")</f>
        <v/>
      </c>
      <c r="B1025" s="2" t="n">
        <v>43224.52184027778</v>
      </c>
      <c r="C1025" t="n">
        <v>3</v>
      </c>
      <c r="D1025" t="n">
        <v>2</v>
      </c>
      <c r="E1025" t="s">
        <v>1031</v>
      </c>
      <c r="F1025" t="s"/>
      <c r="G1025" t="s"/>
      <c r="H1025" t="s"/>
      <c r="I1025" t="s"/>
      <c r="J1025" t="n">
        <v>0.5859</v>
      </c>
      <c r="K1025" t="n">
        <v>0.07099999999999999</v>
      </c>
      <c r="L1025" t="n">
        <v>0.765</v>
      </c>
      <c r="M1025" t="n">
        <v>0.165</v>
      </c>
    </row>
    <row r="1026" spans="1:13">
      <c r="A1026" s="1">
        <f>HYPERLINK("http://www.twitter.com/NathanBLawrence/status/992371220694929409", "992371220694929409")</f>
        <v/>
      </c>
      <c r="B1026" s="2" t="n">
        <v>43224.49434027778</v>
      </c>
      <c r="C1026" t="n">
        <v>0</v>
      </c>
      <c r="D1026" t="n">
        <v>3</v>
      </c>
      <c r="E1026" t="s">
        <v>1032</v>
      </c>
      <c r="F1026" t="s"/>
      <c r="G1026" t="s"/>
      <c r="H1026" t="s"/>
      <c r="I1026" t="s"/>
      <c r="J1026" t="n">
        <v>0</v>
      </c>
      <c r="K1026" t="n">
        <v>0</v>
      </c>
      <c r="L1026" t="n">
        <v>1</v>
      </c>
      <c r="M1026" t="n">
        <v>0</v>
      </c>
    </row>
    <row r="1027" spans="1:13">
      <c r="A1027" s="1">
        <f>HYPERLINK("http://www.twitter.com/NathanBLawrence/status/992371174809178112", "992371174809178112")</f>
        <v/>
      </c>
      <c r="B1027" s="2" t="n">
        <v>43224.49421296296</v>
      </c>
      <c r="C1027" t="n">
        <v>3</v>
      </c>
      <c r="D1027" t="n">
        <v>3</v>
      </c>
      <c r="E1027" t="s">
        <v>1033</v>
      </c>
      <c r="F1027" t="s"/>
      <c r="G1027" t="s"/>
      <c r="H1027" t="s"/>
      <c r="I1027" t="s"/>
      <c r="J1027" t="n">
        <v>-0.5423</v>
      </c>
      <c r="K1027" t="n">
        <v>0.08599999999999999</v>
      </c>
      <c r="L1027" t="n">
        <v>0.914</v>
      </c>
      <c r="M1027" t="n">
        <v>0</v>
      </c>
    </row>
    <row r="1028" spans="1:13">
      <c r="A1028" s="1">
        <f>HYPERLINK("http://www.twitter.com/NathanBLawrence/status/992370854829928449", "992370854829928449")</f>
        <v/>
      </c>
      <c r="B1028" s="2" t="n">
        <v>43224.49332175926</v>
      </c>
      <c r="C1028" t="n">
        <v>0</v>
      </c>
      <c r="D1028" t="n">
        <v>4</v>
      </c>
      <c r="E1028" t="s">
        <v>1034</v>
      </c>
      <c r="F1028" t="s"/>
      <c r="G1028" t="s"/>
      <c r="H1028" t="s"/>
      <c r="I1028" t="s"/>
      <c r="J1028" t="n">
        <v>-0.4389</v>
      </c>
      <c r="K1028" t="n">
        <v>0.224</v>
      </c>
      <c r="L1028" t="n">
        <v>0.776</v>
      </c>
      <c r="M1028" t="n">
        <v>0</v>
      </c>
    </row>
    <row r="1029" spans="1:13">
      <c r="A1029" s="1">
        <f>HYPERLINK("http://www.twitter.com/NathanBLawrence/status/992370815957073921", "992370815957073921")</f>
        <v/>
      </c>
      <c r="B1029" s="2" t="n">
        <v>43224.49321759259</v>
      </c>
      <c r="C1029" t="n">
        <v>0</v>
      </c>
      <c r="D1029" t="n">
        <v>1</v>
      </c>
      <c r="E1029" t="s">
        <v>1035</v>
      </c>
      <c r="F1029" t="s"/>
      <c r="G1029" t="s"/>
      <c r="H1029" t="s"/>
      <c r="I1029" t="s"/>
      <c r="J1029" t="n">
        <v>0</v>
      </c>
      <c r="K1029" t="n">
        <v>0</v>
      </c>
      <c r="L1029" t="n">
        <v>1</v>
      </c>
      <c r="M1029" t="n">
        <v>0</v>
      </c>
    </row>
    <row r="1030" spans="1:13">
      <c r="A1030" s="1">
        <f>HYPERLINK("http://www.twitter.com/NathanBLawrence/status/992359463276425216", "992359463276425216")</f>
        <v/>
      </c>
      <c r="B1030" s="2" t="n">
        <v>43224.46188657408</v>
      </c>
      <c r="C1030" t="n">
        <v>0</v>
      </c>
      <c r="D1030" t="n">
        <v>1</v>
      </c>
      <c r="E1030" t="s">
        <v>1036</v>
      </c>
      <c r="F1030" t="s"/>
      <c r="G1030" t="s"/>
      <c r="H1030" t="s"/>
      <c r="I1030" t="s"/>
      <c r="J1030" t="n">
        <v>0</v>
      </c>
      <c r="K1030" t="n">
        <v>0</v>
      </c>
      <c r="L1030" t="n">
        <v>1</v>
      </c>
      <c r="M1030" t="n">
        <v>0</v>
      </c>
    </row>
    <row r="1031" spans="1:13">
      <c r="A1031" s="1">
        <f>HYPERLINK("http://www.twitter.com/NathanBLawrence/status/992353740891000832", "992353740891000832")</f>
        <v/>
      </c>
      <c r="B1031" s="2" t="n">
        <v>43224.44609953704</v>
      </c>
      <c r="C1031" t="n">
        <v>0</v>
      </c>
      <c r="D1031" t="n">
        <v>1</v>
      </c>
      <c r="E1031" t="s">
        <v>1037</v>
      </c>
      <c r="F1031" t="s"/>
      <c r="G1031" t="s"/>
      <c r="H1031" t="s"/>
      <c r="I1031" t="s"/>
      <c r="J1031" t="n">
        <v>0</v>
      </c>
      <c r="K1031" t="n">
        <v>0</v>
      </c>
      <c r="L1031" t="n">
        <v>1</v>
      </c>
      <c r="M1031" t="n">
        <v>0</v>
      </c>
    </row>
    <row r="1032" spans="1:13">
      <c r="A1032" s="1">
        <f>HYPERLINK("http://www.twitter.com/NathanBLawrence/status/992343411301724161", "992343411301724161")</f>
        <v/>
      </c>
      <c r="B1032" s="2" t="n">
        <v>43224.4175925926</v>
      </c>
      <c r="C1032" t="n">
        <v>0</v>
      </c>
      <c r="D1032" t="n">
        <v>1</v>
      </c>
      <c r="E1032" t="s">
        <v>1038</v>
      </c>
      <c r="F1032" t="s"/>
      <c r="G1032" t="s"/>
      <c r="H1032" t="s"/>
      <c r="I1032" t="s"/>
      <c r="J1032" t="n">
        <v>0.5719</v>
      </c>
      <c r="K1032" t="n">
        <v>0</v>
      </c>
      <c r="L1032" t="n">
        <v>0.856</v>
      </c>
      <c r="M1032" t="n">
        <v>0.144</v>
      </c>
    </row>
    <row r="1033" spans="1:13">
      <c r="A1033" s="1">
        <f>HYPERLINK("http://www.twitter.com/NathanBLawrence/status/992241665971802112", "992241665971802112")</f>
        <v/>
      </c>
      <c r="B1033" s="2" t="n">
        <v>43224.1368287037</v>
      </c>
      <c r="C1033" t="n">
        <v>0</v>
      </c>
      <c r="D1033" t="n">
        <v>4</v>
      </c>
      <c r="E1033" t="s">
        <v>1039</v>
      </c>
      <c r="F1033" t="s"/>
      <c r="G1033" t="s"/>
      <c r="H1033" t="s"/>
      <c r="I1033" t="s"/>
      <c r="J1033" t="n">
        <v>0.1779</v>
      </c>
      <c r="K1033" t="n">
        <v>0.122</v>
      </c>
      <c r="L1033" t="n">
        <v>0.679</v>
      </c>
      <c r="M1033" t="n">
        <v>0.199</v>
      </c>
    </row>
    <row r="1034" spans="1:13">
      <c r="A1034" s="1">
        <f>HYPERLINK("http://www.twitter.com/NathanBLawrence/status/992238549411028992", "992238549411028992")</f>
        <v/>
      </c>
      <c r="B1034" s="2" t="n">
        <v>43224.12822916666</v>
      </c>
      <c r="C1034" t="n">
        <v>0</v>
      </c>
      <c r="D1034" t="n">
        <v>1</v>
      </c>
      <c r="E1034" t="s">
        <v>1040</v>
      </c>
      <c r="F1034" t="s"/>
      <c r="G1034" t="s"/>
      <c r="H1034" t="s"/>
      <c r="I1034" t="s"/>
      <c r="J1034" t="n">
        <v>0.4939</v>
      </c>
      <c r="K1034" t="n">
        <v>0</v>
      </c>
      <c r="L1034" t="n">
        <v>0.849</v>
      </c>
      <c r="M1034" t="n">
        <v>0.151</v>
      </c>
    </row>
    <row r="1035" spans="1:13">
      <c r="A1035" s="1">
        <f>HYPERLINK("http://www.twitter.com/NathanBLawrence/status/992238506213892096", "992238506213892096")</f>
        <v/>
      </c>
      <c r="B1035" s="2" t="n">
        <v>43224.12811342593</v>
      </c>
      <c r="C1035" t="n">
        <v>0</v>
      </c>
      <c r="D1035" t="n">
        <v>1</v>
      </c>
      <c r="E1035" t="s">
        <v>1041</v>
      </c>
      <c r="F1035" t="s"/>
      <c r="G1035" t="s"/>
      <c r="H1035" t="s"/>
      <c r="I1035" t="s"/>
      <c r="J1035" t="n">
        <v>0.4939</v>
      </c>
      <c r="K1035" t="n">
        <v>0</v>
      </c>
      <c r="L1035" t="n">
        <v>0.842</v>
      </c>
      <c r="M1035" t="n">
        <v>0.158</v>
      </c>
    </row>
    <row r="1036" spans="1:13">
      <c r="A1036" s="1">
        <f>HYPERLINK("http://www.twitter.com/NathanBLawrence/status/992237622767603713", "992237622767603713")</f>
        <v/>
      </c>
      <c r="B1036" s="2" t="n">
        <v>43224.12567129629</v>
      </c>
      <c r="C1036" t="n">
        <v>3</v>
      </c>
      <c r="D1036" t="n">
        <v>4</v>
      </c>
      <c r="E1036" t="s">
        <v>1042</v>
      </c>
      <c r="F1036" t="s"/>
      <c r="G1036" t="s"/>
      <c r="H1036" t="s"/>
      <c r="I1036" t="s"/>
      <c r="J1036" t="n">
        <v>0.1779</v>
      </c>
      <c r="K1036" t="n">
        <v>0.112</v>
      </c>
      <c r="L1036" t="n">
        <v>0.705</v>
      </c>
      <c r="M1036" t="n">
        <v>0.183</v>
      </c>
    </row>
    <row r="1037" spans="1:13">
      <c r="A1037" s="1">
        <f>HYPERLINK("http://www.twitter.com/NathanBLawrence/status/992217855667200001", "992217855667200001")</f>
        <v/>
      </c>
      <c r="B1037" s="2" t="n">
        <v>43224.07112268519</v>
      </c>
      <c r="C1037" t="n">
        <v>0</v>
      </c>
      <c r="D1037" t="n">
        <v>5</v>
      </c>
      <c r="E1037" t="s">
        <v>1043</v>
      </c>
      <c r="F1037">
        <f>HYPERLINK("http://pbs.twimg.com/media/DcUQcr4WsAYWJau.jpg", "http://pbs.twimg.com/media/DcUQcr4WsAYWJau.jpg")</f>
        <v/>
      </c>
      <c r="G1037" t="s"/>
      <c r="H1037" t="s"/>
      <c r="I1037" t="s"/>
      <c r="J1037" t="n">
        <v>0</v>
      </c>
      <c r="K1037" t="n">
        <v>0</v>
      </c>
      <c r="L1037" t="n">
        <v>1</v>
      </c>
      <c r="M1037" t="n">
        <v>0</v>
      </c>
    </row>
    <row r="1038" spans="1:13">
      <c r="A1038" s="1">
        <f>HYPERLINK("http://www.twitter.com/NathanBLawrence/status/992217824520228864", "992217824520228864")</f>
        <v/>
      </c>
      <c r="B1038" s="2" t="n">
        <v>43224.07104166667</v>
      </c>
      <c r="C1038" t="n">
        <v>5</v>
      </c>
      <c r="D1038" t="n">
        <v>5</v>
      </c>
      <c r="E1038" t="s">
        <v>1044</v>
      </c>
      <c r="F1038">
        <f>HYPERLINK("http://pbs.twimg.com/media/DcUQcr4WsAYWJau.jpg", "http://pbs.twimg.com/media/DcUQcr4WsAYWJau.jpg")</f>
        <v/>
      </c>
      <c r="G1038" t="s"/>
      <c r="H1038" t="s"/>
      <c r="I1038" t="s"/>
      <c r="J1038" t="n">
        <v>0</v>
      </c>
      <c r="K1038" t="n">
        <v>0</v>
      </c>
      <c r="L1038" t="n">
        <v>1</v>
      </c>
      <c r="M1038" t="n">
        <v>0</v>
      </c>
    </row>
    <row r="1039" spans="1:13">
      <c r="A1039" s="1">
        <f>HYPERLINK("http://www.twitter.com/NathanBLawrence/status/992216860027490304", "992216860027490304")</f>
        <v/>
      </c>
      <c r="B1039" s="2" t="n">
        <v>43224.06837962963</v>
      </c>
      <c r="C1039" t="n">
        <v>0</v>
      </c>
      <c r="D1039" t="n">
        <v>1</v>
      </c>
      <c r="E1039" t="s">
        <v>1045</v>
      </c>
      <c r="F1039" t="s"/>
      <c r="G1039" t="s"/>
      <c r="H1039" t="s"/>
      <c r="I1039" t="s"/>
      <c r="J1039" t="n">
        <v>-0.125</v>
      </c>
      <c r="K1039" t="n">
        <v>0.149</v>
      </c>
      <c r="L1039" t="n">
        <v>0.727</v>
      </c>
      <c r="M1039" t="n">
        <v>0.124</v>
      </c>
    </row>
    <row r="1040" spans="1:13">
      <c r="A1040" s="1">
        <f>HYPERLINK("http://www.twitter.com/NathanBLawrence/status/992216826103951362", "992216826103951362")</f>
        <v/>
      </c>
      <c r="B1040" s="2" t="n">
        <v>43224.06828703704</v>
      </c>
      <c r="C1040" t="n">
        <v>0</v>
      </c>
      <c r="D1040" t="n">
        <v>1</v>
      </c>
      <c r="E1040" t="s">
        <v>1046</v>
      </c>
      <c r="F1040" t="s"/>
      <c r="G1040" t="s"/>
      <c r="H1040" t="s"/>
      <c r="I1040" t="s"/>
      <c r="J1040" t="n">
        <v>-0.125</v>
      </c>
      <c r="K1040" t="n">
        <v>0.166</v>
      </c>
      <c r="L1040" t="n">
        <v>0.696</v>
      </c>
      <c r="M1040" t="n">
        <v>0.138</v>
      </c>
    </row>
    <row r="1041" spans="1:13">
      <c r="A1041" s="1">
        <f>HYPERLINK("http://www.twitter.com/NathanBLawrence/status/992216632054419461", "992216632054419461")</f>
        <v/>
      </c>
      <c r="B1041" s="2" t="n">
        <v>43224.06775462963</v>
      </c>
      <c r="C1041" t="n">
        <v>0</v>
      </c>
      <c r="D1041" t="n">
        <v>1</v>
      </c>
      <c r="E1041" t="s">
        <v>1047</v>
      </c>
      <c r="F1041" t="s"/>
      <c r="G1041" t="s"/>
      <c r="H1041" t="s"/>
      <c r="I1041" t="s"/>
      <c r="J1041" t="n">
        <v>0</v>
      </c>
      <c r="K1041" t="n">
        <v>0</v>
      </c>
      <c r="L1041" t="n">
        <v>1</v>
      </c>
      <c r="M1041" t="n">
        <v>0</v>
      </c>
    </row>
    <row r="1042" spans="1:13">
      <c r="A1042" s="1">
        <f>HYPERLINK("http://www.twitter.com/NathanBLawrence/status/992216558142414848", "992216558142414848")</f>
        <v/>
      </c>
      <c r="B1042" s="2" t="n">
        <v>43224.0675462963</v>
      </c>
      <c r="C1042" t="n">
        <v>0</v>
      </c>
      <c r="D1042" t="n">
        <v>1</v>
      </c>
      <c r="E1042" t="s">
        <v>1048</v>
      </c>
      <c r="F1042" t="s"/>
      <c r="G1042" t="s"/>
      <c r="H1042" t="s"/>
      <c r="I1042" t="s"/>
      <c r="J1042" t="n">
        <v>0</v>
      </c>
      <c r="K1042" t="n">
        <v>0</v>
      </c>
      <c r="L1042" t="n">
        <v>1</v>
      </c>
      <c r="M1042" t="n">
        <v>0</v>
      </c>
    </row>
    <row r="1043" spans="1:13">
      <c r="A1043" s="1">
        <f>HYPERLINK("http://www.twitter.com/NathanBLawrence/status/992214734102581250", "992214734102581250")</f>
        <v/>
      </c>
      <c r="B1043" s="2" t="n">
        <v>43224.06251157408</v>
      </c>
      <c r="C1043" t="n">
        <v>0</v>
      </c>
      <c r="D1043" t="n">
        <v>1</v>
      </c>
      <c r="E1043" t="s">
        <v>1049</v>
      </c>
      <c r="F1043" t="s"/>
      <c r="G1043" t="s"/>
      <c r="H1043" t="s"/>
      <c r="I1043" t="s"/>
      <c r="J1043" t="n">
        <v>0</v>
      </c>
      <c r="K1043" t="n">
        <v>0</v>
      </c>
      <c r="L1043" t="n">
        <v>1</v>
      </c>
      <c r="M1043" t="n">
        <v>0</v>
      </c>
    </row>
    <row r="1044" spans="1:13">
      <c r="A1044" s="1">
        <f>HYPERLINK("http://www.twitter.com/NathanBLawrence/status/992214435329724416", "992214435329724416")</f>
        <v/>
      </c>
      <c r="B1044" s="2" t="n">
        <v>43224.06168981481</v>
      </c>
      <c r="C1044" t="n">
        <v>0</v>
      </c>
      <c r="D1044" t="n">
        <v>1</v>
      </c>
      <c r="E1044" t="s">
        <v>1050</v>
      </c>
      <c r="F1044" t="s"/>
      <c r="G1044" t="s"/>
      <c r="H1044" t="s"/>
      <c r="I1044" t="s"/>
      <c r="J1044" t="n">
        <v>0</v>
      </c>
      <c r="K1044" t="n">
        <v>0</v>
      </c>
      <c r="L1044" t="n">
        <v>1</v>
      </c>
      <c r="M1044" t="n">
        <v>0</v>
      </c>
    </row>
    <row r="1045" spans="1:13">
      <c r="A1045" s="1">
        <f>HYPERLINK("http://www.twitter.com/NathanBLawrence/status/992214122791100416", "992214122791100416")</f>
        <v/>
      </c>
      <c r="B1045" s="2" t="n">
        <v>43224.06082175926</v>
      </c>
      <c r="C1045" t="n">
        <v>0</v>
      </c>
      <c r="D1045" t="n">
        <v>1</v>
      </c>
      <c r="E1045" t="s">
        <v>1051</v>
      </c>
      <c r="F1045" t="s"/>
      <c r="G1045" t="s"/>
      <c r="H1045" t="s"/>
      <c r="I1045" t="s"/>
      <c r="J1045" t="n">
        <v>0</v>
      </c>
      <c r="K1045" t="n">
        <v>0</v>
      </c>
      <c r="L1045" t="n">
        <v>1</v>
      </c>
      <c r="M1045" t="n">
        <v>0</v>
      </c>
    </row>
    <row r="1046" spans="1:13">
      <c r="A1046" s="1">
        <f>HYPERLINK("http://www.twitter.com/NathanBLawrence/status/992212533812621312", "992212533812621312")</f>
        <v/>
      </c>
      <c r="B1046" s="2" t="n">
        <v>43224.05644675926</v>
      </c>
      <c r="C1046" t="n">
        <v>0</v>
      </c>
      <c r="D1046" t="n">
        <v>9</v>
      </c>
      <c r="E1046" t="s">
        <v>1052</v>
      </c>
      <c r="F1046" t="s"/>
      <c r="G1046" t="s"/>
      <c r="H1046" t="s"/>
      <c r="I1046" t="s"/>
      <c r="J1046" t="n">
        <v>-0.3182</v>
      </c>
      <c r="K1046" t="n">
        <v>0.358</v>
      </c>
      <c r="L1046" t="n">
        <v>0.423</v>
      </c>
      <c r="M1046" t="n">
        <v>0.218</v>
      </c>
    </row>
    <row r="1047" spans="1:13">
      <c r="A1047" s="1">
        <f>HYPERLINK("http://www.twitter.com/NathanBLawrence/status/992212486261821441", "992212486261821441")</f>
        <v/>
      </c>
      <c r="B1047" s="2" t="n">
        <v>43224.05630787037</v>
      </c>
      <c r="C1047" t="n">
        <v>7</v>
      </c>
      <c r="D1047" t="n">
        <v>9</v>
      </c>
      <c r="E1047" t="s">
        <v>1053</v>
      </c>
      <c r="F1047" t="s"/>
      <c r="G1047" t="s"/>
      <c r="H1047" t="s"/>
      <c r="I1047" t="s"/>
      <c r="J1047" t="n">
        <v>-0.8625</v>
      </c>
      <c r="K1047" t="n">
        <v>0.416</v>
      </c>
      <c r="L1047" t="n">
        <v>0.4</v>
      </c>
      <c r="M1047" t="n">
        <v>0.184</v>
      </c>
    </row>
    <row r="1048" spans="1:13">
      <c r="A1048" s="1">
        <f>HYPERLINK("http://www.twitter.com/NathanBLawrence/status/992212122640711682", "992212122640711682")</f>
        <v/>
      </c>
      <c r="B1048" s="2" t="n">
        <v>43224.0553125</v>
      </c>
      <c r="C1048" t="n">
        <v>0</v>
      </c>
      <c r="D1048" t="n">
        <v>1</v>
      </c>
      <c r="E1048" t="s">
        <v>1054</v>
      </c>
      <c r="F1048" t="s"/>
      <c r="G1048" t="s"/>
      <c r="H1048" t="s"/>
      <c r="I1048" t="s"/>
      <c r="J1048" t="n">
        <v>0</v>
      </c>
      <c r="K1048" t="n">
        <v>0</v>
      </c>
      <c r="L1048" t="n">
        <v>1</v>
      </c>
      <c r="M1048" t="n">
        <v>0</v>
      </c>
    </row>
    <row r="1049" spans="1:13">
      <c r="A1049" s="1">
        <f>HYPERLINK("http://www.twitter.com/NathanBLawrence/status/992212096376098818", "992212096376098818")</f>
        <v/>
      </c>
      <c r="B1049" s="2" t="n">
        <v>43224.05523148148</v>
      </c>
      <c r="C1049" t="n">
        <v>0</v>
      </c>
      <c r="D1049" t="n">
        <v>1</v>
      </c>
      <c r="E1049" t="s">
        <v>1055</v>
      </c>
      <c r="F1049" t="s"/>
      <c r="G1049" t="s"/>
      <c r="H1049" t="s"/>
      <c r="I1049" t="s"/>
      <c r="J1049" t="n">
        <v>0.3612</v>
      </c>
      <c r="K1049" t="n">
        <v>0</v>
      </c>
      <c r="L1049" t="n">
        <v>0.918</v>
      </c>
      <c r="M1049" t="n">
        <v>0.082</v>
      </c>
    </row>
    <row r="1050" spans="1:13">
      <c r="A1050" s="1">
        <f>HYPERLINK("http://www.twitter.com/NathanBLawrence/status/992210479358595072", "992210479358595072")</f>
        <v/>
      </c>
      <c r="B1050" s="2" t="n">
        <v>43224.05077546297</v>
      </c>
      <c r="C1050" t="n">
        <v>0</v>
      </c>
      <c r="D1050" t="n">
        <v>1</v>
      </c>
      <c r="E1050" t="s">
        <v>1056</v>
      </c>
      <c r="F1050" t="s"/>
      <c r="G1050" t="s"/>
      <c r="H1050" t="s"/>
      <c r="I1050" t="s"/>
      <c r="J1050" t="n">
        <v>0.3182</v>
      </c>
      <c r="K1050" t="n">
        <v>0</v>
      </c>
      <c r="L1050" t="n">
        <v>0.892</v>
      </c>
      <c r="M1050" t="n">
        <v>0.108</v>
      </c>
    </row>
    <row r="1051" spans="1:13">
      <c r="A1051" s="1">
        <f>HYPERLINK("http://www.twitter.com/NathanBLawrence/status/992210400283451392", "992210400283451392")</f>
        <v/>
      </c>
      <c r="B1051" s="2" t="n">
        <v>43224.05055555556</v>
      </c>
      <c r="C1051" t="n">
        <v>0</v>
      </c>
      <c r="D1051" t="n">
        <v>1</v>
      </c>
      <c r="E1051" t="s">
        <v>1057</v>
      </c>
      <c r="F1051" t="s"/>
      <c r="G1051" t="s"/>
      <c r="H1051" t="s"/>
      <c r="I1051" t="s"/>
      <c r="J1051" t="n">
        <v>0.3182</v>
      </c>
      <c r="K1051" t="n">
        <v>0</v>
      </c>
      <c r="L1051" t="n">
        <v>0.909</v>
      </c>
      <c r="M1051" t="n">
        <v>0.091</v>
      </c>
    </row>
    <row r="1052" spans="1:13">
      <c r="A1052" s="1">
        <f>HYPERLINK("http://www.twitter.com/NathanBLawrence/status/992209869192253440", "992209869192253440")</f>
        <v/>
      </c>
      <c r="B1052" s="2" t="n">
        <v>43224.04908564815</v>
      </c>
      <c r="C1052" t="n">
        <v>0</v>
      </c>
      <c r="D1052" t="n">
        <v>1</v>
      </c>
      <c r="E1052" t="s">
        <v>1058</v>
      </c>
      <c r="F1052" t="s"/>
      <c r="G1052" t="s"/>
      <c r="H1052" t="s"/>
      <c r="I1052" t="s"/>
      <c r="J1052" t="n">
        <v>0</v>
      </c>
      <c r="K1052" t="n">
        <v>0</v>
      </c>
      <c r="L1052" t="n">
        <v>1</v>
      </c>
      <c r="M1052" t="n">
        <v>0</v>
      </c>
    </row>
    <row r="1053" spans="1:13">
      <c r="A1053" s="1">
        <f>HYPERLINK("http://www.twitter.com/NathanBLawrence/status/992209804625051649", "992209804625051649")</f>
        <v/>
      </c>
      <c r="B1053" s="2" t="n">
        <v>43224.04891203704</v>
      </c>
      <c r="C1053" t="n">
        <v>0</v>
      </c>
      <c r="D1053" t="n">
        <v>1</v>
      </c>
      <c r="E1053" t="s">
        <v>1059</v>
      </c>
      <c r="F1053" t="s"/>
      <c r="G1053" t="s"/>
      <c r="H1053" t="s"/>
      <c r="I1053" t="s"/>
      <c r="J1053" t="n">
        <v>0.4019</v>
      </c>
      <c r="K1053" t="n">
        <v>0</v>
      </c>
      <c r="L1053" t="n">
        <v>0.881</v>
      </c>
      <c r="M1053" t="n">
        <v>0.119</v>
      </c>
    </row>
    <row r="1054" spans="1:13">
      <c r="A1054" s="1">
        <f>HYPERLINK("http://www.twitter.com/NathanBLawrence/status/992209748526358528", "992209748526358528")</f>
        <v/>
      </c>
      <c r="B1054" s="2" t="n">
        <v>43224.04876157407</v>
      </c>
      <c r="C1054" t="n">
        <v>0</v>
      </c>
      <c r="D1054" t="n">
        <v>1</v>
      </c>
      <c r="E1054" t="s">
        <v>1060</v>
      </c>
      <c r="F1054" t="s"/>
      <c r="G1054" t="s"/>
      <c r="H1054" t="s"/>
      <c r="I1054" t="s"/>
      <c r="J1054" t="n">
        <v>0.4019</v>
      </c>
      <c r="K1054" t="n">
        <v>0</v>
      </c>
      <c r="L1054" t="n">
        <v>0.876</v>
      </c>
      <c r="M1054" t="n">
        <v>0.124</v>
      </c>
    </row>
    <row r="1055" spans="1:13">
      <c r="A1055" s="1">
        <f>HYPERLINK("http://www.twitter.com/NathanBLawrence/status/992209474600488960", "992209474600488960")</f>
        <v/>
      </c>
      <c r="B1055" s="2" t="n">
        <v>43224.04799768519</v>
      </c>
      <c r="C1055" t="n">
        <v>0</v>
      </c>
      <c r="D1055" t="n">
        <v>6</v>
      </c>
      <c r="E1055" t="s">
        <v>1061</v>
      </c>
      <c r="F1055" t="s"/>
      <c r="G1055" t="s"/>
      <c r="H1055" t="s"/>
      <c r="I1055" t="s"/>
      <c r="J1055" t="n">
        <v>0.4019</v>
      </c>
      <c r="K1055" t="n">
        <v>0</v>
      </c>
      <c r="L1055" t="n">
        <v>0.886</v>
      </c>
      <c r="M1055" t="n">
        <v>0.114</v>
      </c>
    </row>
    <row r="1056" spans="1:13">
      <c r="A1056" s="1">
        <f>HYPERLINK("http://www.twitter.com/NathanBLawrence/status/992209416870137857", "992209416870137857")</f>
        <v/>
      </c>
      <c r="B1056" s="2" t="n">
        <v>43224.04783564815</v>
      </c>
      <c r="C1056" t="n">
        <v>6</v>
      </c>
      <c r="D1056" t="n">
        <v>6</v>
      </c>
      <c r="E1056" t="s">
        <v>1062</v>
      </c>
      <c r="F1056" t="s"/>
      <c r="G1056" t="s"/>
      <c r="H1056" t="s"/>
      <c r="I1056" t="s"/>
      <c r="J1056" t="n">
        <v>0.4019</v>
      </c>
      <c r="K1056" t="n">
        <v>0</v>
      </c>
      <c r="L1056" t="n">
        <v>0.891</v>
      </c>
      <c r="M1056" t="n">
        <v>0.109</v>
      </c>
    </row>
    <row r="1057" spans="1:13">
      <c r="A1057" s="1">
        <f>HYPERLINK("http://www.twitter.com/NathanBLawrence/status/992208912802775045", "992208912802775045")</f>
        <v/>
      </c>
      <c r="B1057" s="2" t="n">
        <v>43224.04644675926</v>
      </c>
      <c r="C1057" t="n">
        <v>0</v>
      </c>
      <c r="D1057" t="n">
        <v>1</v>
      </c>
      <c r="E1057" t="s">
        <v>1063</v>
      </c>
      <c r="F1057" t="s"/>
      <c r="G1057" t="s"/>
      <c r="H1057" t="s"/>
      <c r="I1057" t="s"/>
      <c r="J1057" t="n">
        <v>0</v>
      </c>
      <c r="K1057" t="n">
        <v>0</v>
      </c>
      <c r="L1057" t="n">
        <v>1</v>
      </c>
      <c r="M1057" t="n">
        <v>0</v>
      </c>
    </row>
    <row r="1058" spans="1:13">
      <c r="A1058" s="1">
        <f>HYPERLINK("http://www.twitter.com/NathanBLawrence/status/992208365739761664", "992208365739761664")</f>
        <v/>
      </c>
      <c r="B1058" s="2" t="n">
        <v>43224.04494212963</v>
      </c>
      <c r="C1058" t="n">
        <v>0</v>
      </c>
      <c r="D1058" t="n">
        <v>1</v>
      </c>
      <c r="E1058" t="s">
        <v>1064</v>
      </c>
      <c r="F1058" t="s"/>
      <c r="G1058" t="s"/>
      <c r="H1058" t="s"/>
      <c r="I1058" t="s"/>
      <c r="J1058" t="n">
        <v>0.4019</v>
      </c>
      <c r="K1058" t="n">
        <v>0</v>
      </c>
      <c r="L1058" t="n">
        <v>0.856</v>
      </c>
      <c r="M1058" t="n">
        <v>0.144</v>
      </c>
    </row>
    <row r="1059" spans="1:13">
      <c r="A1059" s="1">
        <f>HYPERLINK("http://www.twitter.com/NathanBLawrence/status/992208283875323905", "992208283875323905")</f>
        <v/>
      </c>
      <c r="B1059" s="2" t="n">
        <v>43224.04471064815</v>
      </c>
      <c r="C1059" t="n">
        <v>0</v>
      </c>
      <c r="D1059" t="n">
        <v>1</v>
      </c>
      <c r="E1059" t="s">
        <v>1065</v>
      </c>
      <c r="F1059" t="s"/>
      <c r="G1059" t="s"/>
      <c r="H1059" t="s"/>
      <c r="I1059" t="s"/>
      <c r="J1059" t="n">
        <v>0.4019</v>
      </c>
      <c r="K1059" t="n">
        <v>0</v>
      </c>
      <c r="L1059" t="n">
        <v>0.838</v>
      </c>
      <c r="M1059" t="n">
        <v>0.162</v>
      </c>
    </row>
    <row r="1060" spans="1:13">
      <c r="A1060" s="1">
        <f>HYPERLINK("http://www.twitter.com/NathanBLawrence/status/992207838960381952", "992207838960381952")</f>
        <v/>
      </c>
      <c r="B1060" s="2" t="n">
        <v>43224.0434837963</v>
      </c>
      <c r="C1060" t="n">
        <v>0</v>
      </c>
      <c r="D1060" t="n">
        <v>10</v>
      </c>
      <c r="E1060" t="s">
        <v>1066</v>
      </c>
      <c r="F1060" t="s"/>
      <c r="G1060" t="s"/>
      <c r="H1060" t="s"/>
      <c r="I1060" t="s"/>
      <c r="J1060" t="n">
        <v>0</v>
      </c>
      <c r="K1060" t="n">
        <v>0</v>
      </c>
      <c r="L1060" t="n">
        <v>1</v>
      </c>
      <c r="M1060" t="n">
        <v>0</v>
      </c>
    </row>
    <row r="1061" spans="1:13">
      <c r="A1061" s="1">
        <f>HYPERLINK("http://www.twitter.com/NathanBLawrence/status/992207681875214337", "992207681875214337")</f>
        <v/>
      </c>
      <c r="B1061" s="2" t="n">
        <v>43224.04305555556</v>
      </c>
      <c r="C1061" t="n">
        <v>11</v>
      </c>
      <c r="D1061" t="n">
        <v>10</v>
      </c>
      <c r="E1061" t="s">
        <v>1067</v>
      </c>
      <c r="F1061" t="s"/>
      <c r="G1061" t="s"/>
      <c r="H1061" t="s"/>
      <c r="I1061" t="s"/>
      <c r="J1061" t="n">
        <v>0</v>
      </c>
      <c r="K1061" t="n">
        <v>0</v>
      </c>
      <c r="L1061" t="n">
        <v>1</v>
      </c>
      <c r="M1061" t="n">
        <v>0</v>
      </c>
    </row>
    <row r="1062" spans="1:13">
      <c r="A1062" s="1">
        <f>HYPERLINK("http://www.twitter.com/NathanBLawrence/status/992206418253176832", "992206418253176832")</f>
        <v/>
      </c>
      <c r="B1062" s="2" t="n">
        <v>43224.03957175926</v>
      </c>
      <c r="C1062" t="n">
        <v>0</v>
      </c>
      <c r="D1062" t="n">
        <v>1</v>
      </c>
      <c r="E1062" t="s">
        <v>1068</v>
      </c>
      <c r="F1062" t="s"/>
      <c r="G1062" t="s"/>
      <c r="H1062" t="s"/>
      <c r="I1062" t="s"/>
      <c r="J1062" t="n">
        <v>0.0762</v>
      </c>
      <c r="K1062" t="n">
        <v>0</v>
      </c>
      <c r="L1062" t="n">
        <v>0.9419999999999999</v>
      </c>
      <c r="M1062" t="n">
        <v>0.058</v>
      </c>
    </row>
    <row r="1063" spans="1:13">
      <c r="A1063" s="1">
        <f>HYPERLINK("http://www.twitter.com/NathanBLawrence/status/992197085339537410", "992197085339537410")</f>
        <v/>
      </c>
      <c r="B1063" s="2" t="n">
        <v>43224.01380787037</v>
      </c>
      <c r="C1063" t="n">
        <v>0</v>
      </c>
      <c r="D1063" t="n">
        <v>5</v>
      </c>
      <c r="E1063" t="s">
        <v>1069</v>
      </c>
      <c r="F1063" t="s"/>
      <c r="G1063" t="s"/>
      <c r="H1063" t="s"/>
      <c r="I1063" t="s"/>
      <c r="J1063" t="n">
        <v>-0.4767</v>
      </c>
      <c r="K1063" t="n">
        <v>0.129</v>
      </c>
      <c r="L1063" t="n">
        <v>0.871</v>
      </c>
      <c r="M1063" t="n">
        <v>0</v>
      </c>
    </row>
    <row r="1064" spans="1:13">
      <c r="A1064" s="1">
        <f>HYPERLINK("http://www.twitter.com/NathanBLawrence/status/992189015750266880", "992189015750266880")</f>
        <v/>
      </c>
      <c r="B1064" s="2" t="n">
        <v>43223.99153935185</v>
      </c>
      <c r="C1064" t="n">
        <v>0</v>
      </c>
      <c r="D1064" t="n">
        <v>46</v>
      </c>
      <c r="E1064" t="s">
        <v>1070</v>
      </c>
      <c r="F1064">
        <f>HYPERLINK("http://pbs.twimg.com/media/DcT1233XUAEvbnQ.jpg", "http://pbs.twimg.com/media/DcT1233XUAEvbnQ.jpg")</f>
        <v/>
      </c>
      <c r="G1064" t="s"/>
      <c r="H1064" t="s"/>
      <c r="I1064" t="s"/>
      <c r="J1064" t="n">
        <v>0.7783</v>
      </c>
      <c r="K1064" t="n">
        <v>0</v>
      </c>
      <c r="L1064" t="n">
        <v>0.673</v>
      </c>
      <c r="M1064" t="n">
        <v>0.327</v>
      </c>
    </row>
    <row r="1065" spans="1:13">
      <c r="A1065" s="1">
        <f>HYPERLINK("http://www.twitter.com/NathanBLawrence/status/992177426892500993", "992177426892500993")</f>
        <v/>
      </c>
      <c r="B1065" s="2" t="n">
        <v>43223.95956018518</v>
      </c>
      <c r="C1065" t="n">
        <v>0</v>
      </c>
      <c r="D1065" t="n">
        <v>1</v>
      </c>
      <c r="E1065" t="s">
        <v>1071</v>
      </c>
      <c r="F1065" t="s"/>
      <c r="G1065" t="s"/>
      <c r="H1065" t="s"/>
      <c r="I1065" t="s"/>
      <c r="J1065" t="n">
        <v>-0.7562</v>
      </c>
      <c r="K1065" t="n">
        <v>0.454</v>
      </c>
      <c r="L1065" t="n">
        <v>0.546</v>
      </c>
      <c r="M1065" t="n">
        <v>0</v>
      </c>
    </row>
    <row r="1066" spans="1:13">
      <c r="A1066" s="1">
        <f>HYPERLINK("http://www.twitter.com/NathanBLawrence/status/992177304070688768", "992177304070688768")</f>
        <v/>
      </c>
      <c r="B1066" s="2" t="n">
        <v>43223.95922453704</v>
      </c>
      <c r="C1066" t="n">
        <v>0</v>
      </c>
      <c r="D1066" t="n">
        <v>6</v>
      </c>
      <c r="E1066" t="s">
        <v>1072</v>
      </c>
      <c r="F1066" t="s"/>
      <c r="G1066" t="s"/>
      <c r="H1066" t="s"/>
      <c r="I1066" t="s"/>
      <c r="J1066" t="n">
        <v>0.5319</v>
      </c>
      <c r="K1066" t="n">
        <v>0.058</v>
      </c>
      <c r="L1066" t="n">
        <v>0.743</v>
      </c>
      <c r="M1066" t="n">
        <v>0.199</v>
      </c>
    </row>
    <row r="1067" spans="1:13">
      <c r="A1067" s="1">
        <f>HYPERLINK("http://www.twitter.com/NathanBLawrence/status/992169042805968896", "992169042805968896")</f>
        <v/>
      </c>
      <c r="B1067" s="2" t="n">
        <v>43223.93643518518</v>
      </c>
      <c r="C1067" t="n">
        <v>0</v>
      </c>
      <c r="D1067" t="n">
        <v>1</v>
      </c>
      <c r="E1067" t="s">
        <v>1073</v>
      </c>
      <c r="F1067" t="s"/>
      <c r="G1067" t="s"/>
      <c r="H1067" t="s"/>
      <c r="I1067" t="s"/>
      <c r="J1067" t="n">
        <v>0</v>
      </c>
      <c r="K1067" t="n">
        <v>0</v>
      </c>
      <c r="L1067" t="n">
        <v>1</v>
      </c>
      <c r="M1067" t="n">
        <v>0</v>
      </c>
    </row>
    <row r="1068" spans="1:13">
      <c r="A1068" s="1">
        <f>HYPERLINK("http://www.twitter.com/NathanBLawrence/status/992168983364358144", "992168983364358144")</f>
        <v/>
      </c>
      <c r="B1068" s="2" t="n">
        <v>43223.93626157408</v>
      </c>
      <c r="C1068" t="n">
        <v>1</v>
      </c>
      <c r="D1068" t="n">
        <v>1</v>
      </c>
      <c r="E1068" t="s">
        <v>1074</v>
      </c>
      <c r="F1068" t="s"/>
      <c r="G1068" t="s"/>
      <c r="H1068" t="s"/>
      <c r="I1068" t="s"/>
      <c r="J1068" t="n">
        <v>0</v>
      </c>
      <c r="K1068" t="n">
        <v>0</v>
      </c>
      <c r="L1068" t="n">
        <v>1</v>
      </c>
      <c r="M1068" t="n">
        <v>0</v>
      </c>
    </row>
    <row r="1069" spans="1:13">
      <c r="A1069" s="1">
        <f>HYPERLINK("http://www.twitter.com/NathanBLawrence/status/992167221588844545", "992167221588844545")</f>
        <v/>
      </c>
      <c r="B1069" s="2" t="n">
        <v>43223.93140046296</v>
      </c>
      <c r="C1069" t="n">
        <v>0</v>
      </c>
      <c r="D1069" t="n">
        <v>1</v>
      </c>
      <c r="E1069" t="s">
        <v>1075</v>
      </c>
      <c r="F1069" t="s"/>
      <c r="G1069" t="s"/>
      <c r="H1069" t="s"/>
      <c r="I1069" t="s"/>
      <c r="J1069" t="n">
        <v>0.128</v>
      </c>
      <c r="K1069" t="n">
        <v>0.126</v>
      </c>
      <c r="L1069" t="n">
        <v>0.729</v>
      </c>
      <c r="M1069" t="n">
        <v>0.146</v>
      </c>
    </row>
    <row r="1070" spans="1:13">
      <c r="A1070" s="1">
        <f>HYPERLINK("http://www.twitter.com/NathanBLawrence/status/992167203779817472", "992167203779817472")</f>
        <v/>
      </c>
      <c r="B1070" s="2" t="n">
        <v>43223.93135416666</v>
      </c>
      <c r="C1070" t="n">
        <v>2</v>
      </c>
      <c r="D1070" t="n">
        <v>1</v>
      </c>
      <c r="E1070" t="s">
        <v>1076</v>
      </c>
      <c r="F1070" t="s"/>
      <c r="G1070" t="s"/>
      <c r="H1070" t="s"/>
      <c r="I1070" t="s"/>
      <c r="J1070" t="n">
        <v>0.128</v>
      </c>
      <c r="K1070" t="n">
        <v>0.137</v>
      </c>
      <c r="L1070" t="n">
        <v>0.705</v>
      </c>
      <c r="M1070" t="n">
        <v>0.159</v>
      </c>
    </row>
    <row r="1071" spans="1:13">
      <c r="A1071" s="1">
        <f>HYPERLINK("http://www.twitter.com/NathanBLawrence/status/992149907447472129", "992149907447472129")</f>
        <v/>
      </c>
      <c r="B1071" s="2" t="n">
        <v>43223.88362268519</v>
      </c>
      <c r="C1071" t="n">
        <v>0</v>
      </c>
      <c r="D1071" t="n">
        <v>3</v>
      </c>
      <c r="E1071" t="s">
        <v>1077</v>
      </c>
      <c r="F1071" t="s"/>
      <c r="G1071" t="s"/>
      <c r="H1071" t="s"/>
      <c r="I1071" t="s"/>
      <c r="J1071" t="n">
        <v>0.5514</v>
      </c>
      <c r="K1071" t="n">
        <v>0</v>
      </c>
      <c r="L1071" t="n">
        <v>0.861</v>
      </c>
      <c r="M1071" t="n">
        <v>0.139</v>
      </c>
    </row>
    <row r="1072" spans="1:13">
      <c r="A1072" s="1">
        <f>HYPERLINK("http://www.twitter.com/NathanBLawrence/status/992138354790682625", "992138354790682625")</f>
        <v/>
      </c>
      <c r="B1072" s="2" t="n">
        <v>43223.85174768518</v>
      </c>
      <c r="C1072" t="n">
        <v>0</v>
      </c>
      <c r="D1072" t="n">
        <v>2</v>
      </c>
      <c r="E1072" t="s">
        <v>1078</v>
      </c>
      <c r="F1072" t="s"/>
      <c r="G1072" t="s"/>
      <c r="H1072" t="s"/>
      <c r="I1072" t="s"/>
      <c r="J1072" t="n">
        <v>0.2732</v>
      </c>
      <c r="K1072" t="n">
        <v>0</v>
      </c>
      <c r="L1072" t="n">
        <v>0.826</v>
      </c>
      <c r="M1072" t="n">
        <v>0.174</v>
      </c>
    </row>
    <row r="1073" spans="1:13">
      <c r="A1073" s="1">
        <f>HYPERLINK("http://www.twitter.com/NathanBLawrence/status/992138321114648576", "992138321114648576")</f>
        <v/>
      </c>
      <c r="B1073" s="2" t="n">
        <v>43223.85165509259</v>
      </c>
      <c r="C1073" t="n">
        <v>4</v>
      </c>
      <c r="D1073" t="n">
        <v>2</v>
      </c>
      <c r="E1073" t="s">
        <v>1079</v>
      </c>
      <c r="F1073" t="s"/>
      <c r="G1073" t="s"/>
      <c r="H1073" t="s"/>
      <c r="I1073" t="s"/>
      <c r="J1073" t="n">
        <v>0.2732</v>
      </c>
      <c r="K1073" t="n">
        <v>0</v>
      </c>
      <c r="L1073" t="n">
        <v>0.792</v>
      </c>
      <c r="M1073" t="n">
        <v>0.208</v>
      </c>
    </row>
    <row r="1074" spans="1:13">
      <c r="A1074" s="1">
        <f>HYPERLINK("http://www.twitter.com/NathanBLawrence/status/992137708641378304", "992137708641378304")</f>
        <v/>
      </c>
      <c r="B1074" s="2" t="n">
        <v>43223.84996527778</v>
      </c>
      <c r="C1074" t="n">
        <v>0</v>
      </c>
      <c r="D1074" t="n">
        <v>43</v>
      </c>
      <c r="E1074" t="s">
        <v>1080</v>
      </c>
      <c r="F1074" t="s"/>
      <c r="G1074" t="s"/>
      <c r="H1074" t="s"/>
      <c r="I1074" t="s"/>
      <c r="J1074" t="n">
        <v>0.7579</v>
      </c>
      <c r="K1074" t="n">
        <v>0</v>
      </c>
      <c r="L1074" t="n">
        <v>0.698</v>
      </c>
      <c r="M1074" t="n">
        <v>0.302</v>
      </c>
    </row>
    <row r="1075" spans="1:13">
      <c r="A1075" s="1">
        <f>HYPERLINK("http://www.twitter.com/NathanBLawrence/status/992090037255720960", "992090037255720960")</f>
        <v/>
      </c>
      <c r="B1075" s="2" t="n">
        <v>43223.71841435185</v>
      </c>
      <c r="C1075" t="n">
        <v>0</v>
      </c>
      <c r="D1075" t="n">
        <v>2</v>
      </c>
      <c r="E1075" t="s">
        <v>1081</v>
      </c>
      <c r="F1075" t="s"/>
      <c r="G1075" t="s"/>
      <c r="H1075" t="s"/>
      <c r="I1075" t="s"/>
      <c r="J1075" t="n">
        <v>0</v>
      </c>
      <c r="K1075" t="n">
        <v>0</v>
      </c>
      <c r="L1075" t="n">
        <v>1</v>
      </c>
      <c r="M1075" t="n">
        <v>0</v>
      </c>
    </row>
    <row r="1076" spans="1:13">
      <c r="A1076" s="1">
        <f>HYPERLINK("http://www.twitter.com/NathanBLawrence/status/992055213405147137", "992055213405147137")</f>
        <v/>
      </c>
      <c r="B1076" s="2" t="n">
        <v>43223.62232638889</v>
      </c>
      <c r="C1076" t="n">
        <v>0</v>
      </c>
      <c r="D1076" t="n">
        <v>0</v>
      </c>
      <c r="E1076" t="s">
        <v>1082</v>
      </c>
      <c r="F1076" t="s"/>
      <c r="G1076" t="s"/>
      <c r="H1076" t="s"/>
      <c r="I1076" t="s"/>
      <c r="J1076" t="n">
        <v>0.6996</v>
      </c>
      <c r="K1076" t="n">
        <v>0</v>
      </c>
      <c r="L1076" t="n">
        <v>0.8179999999999999</v>
      </c>
      <c r="M1076" t="n">
        <v>0.182</v>
      </c>
    </row>
    <row r="1077" spans="1:13">
      <c r="A1077" s="1">
        <f>HYPERLINK("http://www.twitter.com/NathanBLawrence/status/992054822798020608", "992054822798020608")</f>
        <v/>
      </c>
      <c r="B1077" s="2" t="n">
        <v>43223.62123842593</v>
      </c>
      <c r="C1077" t="n">
        <v>0</v>
      </c>
      <c r="D1077" t="n">
        <v>1</v>
      </c>
      <c r="E1077" t="s">
        <v>1083</v>
      </c>
      <c r="F1077" t="s"/>
      <c r="G1077" t="s"/>
      <c r="H1077" t="s"/>
      <c r="I1077" t="s"/>
      <c r="J1077" t="n">
        <v>0.6996</v>
      </c>
      <c r="K1077" t="n">
        <v>0</v>
      </c>
      <c r="L1077" t="n">
        <v>0.784</v>
      </c>
      <c r="M1077" t="n">
        <v>0.216</v>
      </c>
    </row>
    <row r="1078" spans="1:13">
      <c r="A1078" s="1">
        <f>HYPERLINK("http://www.twitter.com/NathanBLawrence/status/992054772009263104", "992054772009263104")</f>
        <v/>
      </c>
      <c r="B1078" s="2" t="n">
        <v>43223.62109953703</v>
      </c>
      <c r="C1078" t="n">
        <v>1</v>
      </c>
      <c r="D1078" t="n">
        <v>1</v>
      </c>
      <c r="E1078" t="s">
        <v>1084</v>
      </c>
      <c r="F1078" t="s"/>
      <c r="G1078" t="s"/>
      <c r="H1078" t="s"/>
      <c r="I1078" t="s"/>
      <c r="J1078" t="n">
        <v>0.6996</v>
      </c>
      <c r="K1078" t="n">
        <v>0</v>
      </c>
      <c r="L1078" t="n">
        <v>0.8179999999999999</v>
      </c>
      <c r="M1078" t="n">
        <v>0.182</v>
      </c>
    </row>
    <row r="1079" spans="1:13">
      <c r="A1079" s="1">
        <f>HYPERLINK("http://www.twitter.com/NathanBLawrence/status/992046217289924609", "992046217289924609")</f>
        <v/>
      </c>
      <c r="B1079" s="2" t="n">
        <v>43223.5975</v>
      </c>
      <c r="C1079" t="n">
        <v>0</v>
      </c>
      <c r="D1079" t="n">
        <v>5</v>
      </c>
      <c r="E1079" t="s">
        <v>1085</v>
      </c>
      <c r="F1079" t="s"/>
      <c r="G1079" t="s"/>
      <c r="H1079" t="s"/>
      <c r="I1079" t="s"/>
      <c r="J1079" t="n">
        <v>0.4753</v>
      </c>
      <c r="K1079" t="n">
        <v>0</v>
      </c>
      <c r="L1079" t="n">
        <v>0.86</v>
      </c>
      <c r="M1079" t="n">
        <v>0.14</v>
      </c>
    </row>
    <row r="1080" spans="1:13">
      <c r="A1080" s="1">
        <f>HYPERLINK("http://www.twitter.com/NathanBLawrence/status/992044558367232000", "992044558367232000")</f>
        <v/>
      </c>
      <c r="B1080" s="2" t="n">
        <v>43223.59291666667</v>
      </c>
      <c r="C1080" t="n">
        <v>0</v>
      </c>
      <c r="D1080" t="n">
        <v>5</v>
      </c>
      <c r="E1080" t="s">
        <v>1086</v>
      </c>
      <c r="F1080" t="s"/>
      <c r="G1080" t="s"/>
      <c r="H1080" t="s"/>
      <c r="I1080" t="s"/>
      <c r="J1080" t="n">
        <v>0</v>
      </c>
      <c r="K1080" t="n">
        <v>0</v>
      </c>
      <c r="L1080" t="n">
        <v>1</v>
      </c>
      <c r="M1080" t="n">
        <v>0</v>
      </c>
    </row>
    <row r="1081" spans="1:13">
      <c r="A1081" s="1">
        <f>HYPERLINK("http://www.twitter.com/NathanBLawrence/status/992025967030865920", "992025967030865920")</f>
        <v/>
      </c>
      <c r="B1081" s="2" t="n">
        <v>43223.54162037037</v>
      </c>
      <c r="C1081" t="n">
        <v>0</v>
      </c>
      <c r="D1081" t="n">
        <v>1</v>
      </c>
      <c r="E1081" t="s">
        <v>1087</v>
      </c>
      <c r="F1081">
        <f>HYPERLINK("http://pbs.twimg.com/media/DcReBIHV0AAOW9r.jpg", "http://pbs.twimg.com/media/DcReBIHV0AAOW9r.jpg")</f>
        <v/>
      </c>
      <c r="G1081" t="s"/>
      <c r="H1081" t="s"/>
      <c r="I1081" t="s"/>
      <c r="J1081" t="n">
        <v>0.8657</v>
      </c>
      <c r="K1081" t="n">
        <v>0</v>
      </c>
      <c r="L1081" t="n">
        <v>0.623</v>
      </c>
      <c r="M1081" t="n">
        <v>0.377</v>
      </c>
    </row>
    <row r="1082" spans="1:13">
      <c r="A1082" s="1">
        <f>HYPERLINK("http://www.twitter.com/NathanBLawrence/status/992010270288510978", "992010270288510978")</f>
        <v/>
      </c>
      <c r="B1082" s="2" t="n">
        <v>43223.49829861111</v>
      </c>
      <c r="C1082" t="n">
        <v>0</v>
      </c>
      <c r="D1082" t="n">
        <v>1</v>
      </c>
      <c r="E1082" t="s">
        <v>1088</v>
      </c>
      <c r="F1082" t="s"/>
      <c r="G1082" t="s"/>
      <c r="H1082" t="s"/>
      <c r="I1082" t="s"/>
      <c r="J1082" t="n">
        <v>-0.6597</v>
      </c>
      <c r="K1082" t="n">
        <v>0.226</v>
      </c>
      <c r="L1082" t="n">
        <v>0.714</v>
      </c>
      <c r="M1082" t="n">
        <v>0.06</v>
      </c>
    </row>
    <row r="1083" spans="1:13">
      <c r="A1083" s="1">
        <f>HYPERLINK("http://www.twitter.com/NathanBLawrence/status/991995462029926401", "991995462029926401")</f>
        <v/>
      </c>
      <c r="B1083" s="2" t="n">
        <v>43223.45744212963</v>
      </c>
      <c r="C1083" t="n">
        <v>0</v>
      </c>
      <c r="D1083" t="n">
        <v>1</v>
      </c>
      <c r="E1083" t="s">
        <v>1089</v>
      </c>
      <c r="F1083">
        <f>HYPERLINK("http://pbs.twimg.com/media/DcRFz43XcAMMHHf.jpg", "http://pbs.twimg.com/media/DcRFz43XcAMMHHf.jpg")</f>
        <v/>
      </c>
      <c r="G1083" t="s"/>
      <c r="H1083" t="s"/>
      <c r="I1083" t="s"/>
      <c r="J1083" t="n">
        <v>0</v>
      </c>
      <c r="K1083" t="n">
        <v>0</v>
      </c>
      <c r="L1083" t="n">
        <v>1</v>
      </c>
      <c r="M1083" t="n">
        <v>0</v>
      </c>
    </row>
    <row r="1084" spans="1:13">
      <c r="A1084" s="1">
        <f>HYPERLINK("http://www.twitter.com/NathanBLawrence/status/991995434007703552", "991995434007703552")</f>
        <v/>
      </c>
      <c r="B1084" s="2" t="n">
        <v>43223.45736111111</v>
      </c>
      <c r="C1084" t="n">
        <v>1</v>
      </c>
      <c r="D1084" t="n">
        <v>1</v>
      </c>
      <c r="E1084" t="s">
        <v>1090</v>
      </c>
      <c r="F1084">
        <f>HYPERLINK("http://pbs.twimg.com/media/DcRFz43XcAMMHHf.jpg", "http://pbs.twimg.com/media/DcRFz43XcAMMHHf.jpg")</f>
        <v/>
      </c>
      <c r="G1084" t="s"/>
      <c r="H1084" t="s"/>
      <c r="I1084" t="s"/>
      <c r="J1084" t="n">
        <v>0</v>
      </c>
      <c r="K1084" t="n">
        <v>0</v>
      </c>
      <c r="L1084" t="n">
        <v>1</v>
      </c>
      <c r="M1084" t="n">
        <v>0</v>
      </c>
    </row>
    <row r="1085" spans="1:13">
      <c r="A1085" s="1">
        <f>HYPERLINK("http://www.twitter.com/NathanBLawrence/status/991983875797680128", "991983875797680128")</f>
        <v/>
      </c>
      <c r="B1085" s="2" t="n">
        <v>43223.42546296296</v>
      </c>
      <c r="C1085" t="n">
        <v>0</v>
      </c>
      <c r="D1085" t="n">
        <v>4</v>
      </c>
      <c r="E1085" t="s">
        <v>1091</v>
      </c>
      <c r="F1085" t="s"/>
      <c r="G1085" t="s"/>
      <c r="H1085" t="s"/>
      <c r="I1085" t="s"/>
      <c r="J1085" t="n">
        <v>0</v>
      </c>
      <c r="K1085" t="n">
        <v>0</v>
      </c>
      <c r="L1085" t="n">
        <v>1</v>
      </c>
      <c r="M1085" t="n">
        <v>0</v>
      </c>
    </row>
    <row r="1086" spans="1:13">
      <c r="A1086" s="1">
        <f>HYPERLINK("http://www.twitter.com/NathanBLawrence/status/991924437531480069", "991924437531480069")</f>
        <v/>
      </c>
      <c r="B1086" s="2" t="n">
        <v>43223.26144675926</v>
      </c>
      <c r="C1086" t="n">
        <v>0</v>
      </c>
      <c r="D1086" t="n">
        <v>2</v>
      </c>
      <c r="E1086" t="s">
        <v>1092</v>
      </c>
      <c r="F1086" t="s"/>
      <c r="G1086" t="s"/>
      <c r="H1086" t="s"/>
      <c r="I1086" t="s"/>
      <c r="J1086" t="n">
        <v>0</v>
      </c>
      <c r="K1086" t="n">
        <v>0</v>
      </c>
      <c r="L1086" t="n">
        <v>1</v>
      </c>
      <c r="M1086" t="n">
        <v>0</v>
      </c>
    </row>
    <row r="1087" spans="1:13">
      <c r="A1087" s="1">
        <f>HYPERLINK("http://www.twitter.com/NathanBLawrence/status/991881771078778882", "991881771078778882")</f>
        <v/>
      </c>
      <c r="B1087" s="2" t="n">
        <v>43223.14371527778</v>
      </c>
      <c r="C1087" t="n">
        <v>22</v>
      </c>
      <c r="D1087" t="n">
        <v>18</v>
      </c>
      <c r="E1087" t="s">
        <v>1093</v>
      </c>
      <c r="F1087">
        <f>HYPERLINK("http://pbs.twimg.com/media/DcPevNVUwAIDIyV.jpg", "http://pbs.twimg.com/media/DcPevNVUwAIDIyV.jpg")</f>
        <v/>
      </c>
      <c r="G1087" t="s"/>
      <c r="H1087" t="s"/>
      <c r="I1087" t="s"/>
      <c r="J1087" t="n">
        <v>0</v>
      </c>
      <c r="K1087" t="n">
        <v>0</v>
      </c>
      <c r="L1087" t="n">
        <v>1</v>
      </c>
      <c r="M1087" t="n">
        <v>0</v>
      </c>
    </row>
    <row r="1088" spans="1:13">
      <c r="A1088" s="1">
        <f>HYPERLINK("http://www.twitter.com/NathanBLawrence/status/991866819173548033", "991866819173548033")</f>
        <v/>
      </c>
      <c r="B1088" s="2" t="n">
        <v>43223.1024537037</v>
      </c>
      <c r="C1088" t="n">
        <v>0</v>
      </c>
      <c r="D1088" t="n">
        <v>3</v>
      </c>
      <c r="E1088" t="s">
        <v>1094</v>
      </c>
      <c r="F1088" t="s"/>
      <c r="G1088" t="s"/>
      <c r="H1088" t="s"/>
      <c r="I1088" t="s"/>
      <c r="J1088" t="n">
        <v>0</v>
      </c>
      <c r="K1088" t="n">
        <v>0</v>
      </c>
      <c r="L1088" t="n">
        <v>1</v>
      </c>
      <c r="M1088" t="n">
        <v>0</v>
      </c>
    </row>
    <row r="1089" spans="1:13">
      <c r="A1089" s="1">
        <f>HYPERLINK("http://www.twitter.com/NathanBLawrence/status/991866539891666944", "991866539891666944")</f>
        <v/>
      </c>
      <c r="B1089" s="2" t="n">
        <v>43223.10167824074</v>
      </c>
      <c r="C1089" t="n">
        <v>3</v>
      </c>
      <c r="D1089" t="n">
        <v>3</v>
      </c>
      <c r="E1089" t="s">
        <v>1095</v>
      </c>
      <c r="F1089" t="s"/>
      <c r="G1089" t="s"/>
      <c r="H1089" t="s"/>
      <c r="I1089" t="s"/>
      <c r="J1089" t="n">
        <v>0</v>
      </c>
      <c r="K1089" t="n">
        <v>0</v>
      </c>
      <c r="L1089" t="n">
        <v>1</v>
      </c>
      <c r="M1089" t="n">
        <v>0</v>
      </c>
    </row>
    <row r="1090" spans="1:13">
      <c r="A1090" s="1">
        <f>HYPERLINK("http://www.twitter.com/NathanBLawrence/status/991860233499742209", "991860233499742209")</f>
        <v/>
      </c>
      <c r="B1090" s="2" t="n">
        <v>43223.08428240741</v>
      </c>
      <c r="C1090" t="n">
        <v>0</v>
      </c>
      <c r="D1090" t="n">
        <v>5</v>
      </c>
      <c r="E1090" t="s">
        <v>1096</v>
      </c>
      <c r="F1090" t="s"/>
      <c r="G1090" t="s"/>
      <c r="H1090" t="s"/>
      <c r="I1090" t="s"/>
      <c r="J1090" t="n">
        <v>0.5106000000000001</v>
      </c>
      <c r="K1090" t="n">
        <v>0</v>
      </c>
      <c r="L1090" t="n">
        <v>0.864</v>
      </c>
      <c r="M1090" t="n">
        <v>0.136</v>
      </c>
    </row>
    <row r="1091" spans="1:13">
      <c r="A1091" s="1">
        <f>HYPERLINK("http://www.twitter.com/NathanBLawrence/status/991860151559827457", "991860151559827457")</f>
        <v/>
      </c>
      <c r="B1091" s="2" t="n">
        <v>43223.08405092593</v>
      </c>
      <c r="C1091" t="n">
        <v>5</v>
      </c>
      <c r="D1091" t="n">
        <v>5</v>
      </c>
      <c r="E1091" t="s">
        <v>1097</v>
      </c>
      <c r="F1091" t="s"/>
      <c r="G1091" t="s"/>
      <c r="H1091" t="s"/>
      <c r="I1091" t="s"/>
      <c r="J1091" t="n">
        <v>0.1759</v>
      </c>
      <c r="K1091" t="n">
        <v>0.095</v>
      </c>
      <c r="L1091" t="n">
        <v>0.787</v>
      </c>
      <c r="M1091" t="n">
        <v>0.118</v>
      </c>
    </row>
    <row r="1092" spans="1:13">
      <c r="A1092" s="1">
        <f>HYPERLINK("http://www.twitter.com/NathanBLawrence/status/991856155528921088", "991856155528921088")</f>
        <v/>
      </c>
      <c r="B1092" s="2" t="n">
        <v>43223.07302083333</v>
      </c>
      <c r="C1092" t="n">
        <v>0</v>
      </c>
      <c r="D1092" t="n">
        <v>4</v>
      </c>
      <c r="E1092" t="s">
        <v>1098</v>
      </c>
      <c r="F1092" t="s"/>
      <c r="G1092" t="s"/>
      <c r="H1092" t="s"/>
      <c r="I1092" t="s"/>
      <c r="J1092" t="n">
        <v>-0.8074</v>
      </c>
      <c r="K1092" t="n">
        <v>0.343</v>
      </c>
      <c r="L1092" t="n">
        <v>0.657</v>
      </c>
      <c r="M1092" t="n">
        <v>0</v>
      </c>
    </row>
    <row r="1093" spans="1:13">
      <c r="A1093" s="1">
        <f>HYPERLINK("http://www.twitter.com/NathanBLawrence/status/991855868193931269", "991855868193931269")</f>
        <v/>
      </c>
      <c r="B1093" s="2" t="n">
        <v>43223.07223379629</v>
      </c>
      <c r="C1093" t="n">
        <v>6</v>
      </c>
      <c r="D1093" t="n">
        <v>4</v>
      </c>
      <c r="E1093" t="s">
        <v>1099</v>
      </c>
      <c r="F1093" t="s"/>
      <c r="G1093" t="s"/>
      <c r="H1093" t="s"/>
      <c r="I1093" t="s"/>
      <c r="J1093" t="n">
        <v>-0.8074</v>
      </c>
      <c r="K1093" t="n">
        <v>0.158</v>
      </c>
      <c r="L1093" t="n">
        <v>0.842</v>
      </c>
      <c r="M1093" t="n">
        <v>0</v>
      </c>
    </row>
    <row r="1094" spans="1:13">
      <c r="A1094" s="1">
        <f>HYPERLINK("http://www.twitter.com/NathanBLawrence/status/991851247622934528", "991851247622934528")</f>
        <v/>
      </c>
      <c r="B1094" s="2" t="n">
        <v>43223.05947916667</v>
      </c>
      <c r="C1094" t="n">
        <v>0</v>
      </c>
      <c r="D1094" t="n">
        <v>3</v>
      </c>
      <c r="E1094" t="s">
        <v>1100</v>
      </c>
      <c r="F1094" t="s"/>
      <c r="G1094" t="s"/>
      <c r="H1094" t="s"/>
      <c r="I1094" t="s"/>
      <c r="J1094" t="n">
        <v>0</v>
      </c>
      <c r="K1094" t="n">
        <v>0</v>
      </c>
      <c r="L1094" t="n">
        <v>1</v>
      </c>
      <c r="M1094" t="n">
        <v>0</v>
      </c>
    </row>
    <row r="1095" spans="1:13">
      <c r="A1095" s="1">
        <f>HYPERLINK("http://www.twitter.com/NathanBLawrence/status/991846367206125569", "991846367206125569")</f>
        <v/>
      </c>
      <c r="B1095" s="2" t="n">
        <v>43223.04601851852</v>
      </c>
      <c r="C1095" t="n">
        <v>0</v>
      </c>
      <c r="D1095" t="n">
        <v>6</v>
      </c>
      <c r="E1095" t="s">
        <v>1101</v>
      </c>
      <c r="F1095" t="s"/>
      <c r="G1095" t="s"/>
      <c r="H1095" t="s"/>
      <c r="I1095" t="s"/>
      <c r="J1095" t="n">
        <v>0.4939</v>
      </c>
      <c r="K1095" t="n">
        <v>0.065</v>
      </c>
      <c r="L1095" t="n">
        <v>0.733</v>
      </c>
      <c r="M1095" t="n">
        <v>0.203</v>
      </c>
    </row>
    <row r="1096" spans="1:13">
      <c r="A1096" s="1">
        <f>HYPERLINK("http://www.twitter.com/NathanBLawrence/status/991835456336748544", "991835456336748544")</f>
        <v/>
      </c>
      <c r="B1096" s="2" t="n">
        <v>43223.01590277778</v>
      </c>
      <c r="C1096" t="n">
        <v>0</v>
      </c>
      <c r="D1096" t="n">
        <v>7</v>
      </c>
      <c r="E1096" t="s">
        <v>1102</v>
      </c>
      <c r="F1096" t="s"/>
      <c r="G1096" t="s"/>
      <c r="H1096" t="s"/>
      <c r="I1096" t="s"/>
      <c r="J1096" t="n">
        <v>0</v>
      </c>
      <c r="K1096" t="n">
        <v>0</v>
      </c>
      <c r="L1096" t="n">
        <v>1</v>
      </c>
      <c r="M1096" t="n">
        <v>0</v>
      </c>
    </row>
    <row r="1097" spans="1:13">
      <c r="A1097" s="1">
        <f>HYPERLINK("http://www.twitter.com/NathanBLawrence/status/991834626669842432", "991834626669842432")</f>
        <v/>
      </c>
      <c r="B1097" s="2" t="n">
        <v>43223.01362268518</v>
      </c>
      <c r="C1097" t="n">
        <v>0</v>
      </c>
      <c r="D1097" t="n">
        <v>3</v>
      </c>
      <c r="E1097" t="s">
        <v>1103</v>
      </c>
      <c r="F1097" t="s"/>
      <c r="G1097" t="s"/>
      <c r="H1097" t="s"/>
      <c r="I1097" t="s"/>
      <c r="J1097" t="n">
        <v>0</v>
      </c>
      <c r="K1097" t="n">
        <v>0</v>
      </c>
      <c r="L1097" t="n">
        <v>1</v>
      </c>
      <c r="M1097" t="n">
        <v>0</v>
      </c>
    </row>
    <row r="1098" spans="1:13">
      <c r="A1098" s="1">
        <f>HYPERLINK("http://www.twitter.com/NathanBLawrence/status/991833067911335937", "991833067911335937")</f>
        <v/>
      </c>
      <c r="B1098" s="2" t="n">
        <v>43223.00931712963</v>
      </c>
      <c r="C1098" t="n">
        <v>0</v>
      </c>
      <c r="D1098" t="n">
        <v>5</v>
      </c>
      <c r="E1098" t="s">
        <v>1104</v>
      </c>
      <c r="F1098" t="s"/>
      <c r="G1098" t="s"/>
      <c r="H1098" t="s"/>
      <c r="I1098" t="s"/>
      <c r="J1098" t="n">
        <v>0.7846</v>
      </c>
      <c r="K1098" t="n">
        <v>0</v>
      </c>
      <c r="L1098" t="n">
        <v>0.67</v>
      </c>
      <c r="M1098" t="n">
        <v>0.33</v>
      </c>
    </row>
    <row r="1099" spans="1:13">
      <c r="A1099" s="1">
        <f>HYPERLINK("http://www.twitter.com/NathanBLawrence/status/991832341902450688", "991832341902450688")</f>
        <v/>
      </c>
      <c r="B1099" s="2" t="n">
        <v>43223.00731481481</v>
      </c>
      <c r="C1099" t="n">
        <v>0</v>
      </c>
      <c r="D1099" t="n">
        <v>5</v>
      </c>
      <c r="E1099" t="s">
        <v>1105</v>
      </c>
      <c r="F1099" t="s"/>
      <c r="G1099" t="s"/>
      <c r="H1099" t="s"/>
      <c r="I1099" t="s"/>
      <c r="J1099" t="n">
        <v>0</v>
      </c>
      <c r="K1099" t="n">
        <v>0</v>
      </c>
      <c r="L1099" t="n">
        <v>1</v>
      </c>
      <c r="M1099" t="n">
        <v>0</v>
      </c>
    </row>
    <row r="1100" spans="1:13">
      <c r="A1100" s="1">
        <f>HYPERLINK("http://www.twitter.com/NathanBLawrence/status/991832325104308229", "991832325104308229")</f>
        <v/>
      </c>
      <c r="B1100" s="2" t="n">
        <v>43223.00726851852</v>
      </c>
      <c r="C1100" t="n">
        <v>0</v>
      </c>
      <c r="D1100" t="n">
        <v>5</v>
      </c>
      <c r="E1100" t="s">
        <v>1106</v>
      </c>
      <c r="F1100" t="s"/>
      <c r="G1100" t="s"/>
      <c r="H1100" t="s"/>
      <c r="I1100" t="s"/>
      <c r="J1100" t="n">
        <v>-0.4404</v>
      </c>
      <c r="K1100" t="n">
        <v>0.187</v>
      </c>
      <c r="L1100" t="n">
        <v>0.727</v>
      </c>
      <c r="M1100" t="n">
        <v>0.08699999999999999</v>
      </c>
    </row>
    <row r="1101" spans="1:13">
      <c r="A1101" s="1">
        <f>HYPERLINK("http://www.twitter.com/NathanBLawrence/status/991832257630523398", "991832257630523398")</f>
        <v/>
      </c>
      <c r="B1101" s="2" t="n">
        <v>43223.00708333333</v>
      </c>
      <c r="C1101" t="n">
        <v>6</v>
      </c>
      <c r="D1101" t="n">
        <v>5</v>
      </c>
      <c r="E1101" t="s">
        <v>1107</v>
      </c>
      <c r="F1101" t="s"/>
      <c r="G1101" t="s"/>
      <c r="H1101" t="s"/>
      <c r="I1101" t="s"/>
      <c r="J1101" t="n">
        <v>-0.4404</v>
      </c>
      <c r="K1101" t="n">
        <v>0.12</v>
      </c>
      <c r="L1101" t="n">
        <v>0.824</v>
      </c>
      <c r="M1101" t="n">
        <v>0.056</v>
      </c>
    </row>
    <row r="1102" spans="1:13">
      <c r="A1102" s="1">
        <f>HYPERLINK("http://www.twitter.com/NathanBLawrence/status/991831821729005576", "991831821729005576")</f>
        <v/>
      </c>
      <c r="B1102" s="2" t="n">
        <v>43223.00587962963</v>
      </c>
      <c r="C1102" t="n">
        <v>5</v>
      </c>
      <c r="D1102" t="n">
        <v>5</v>
      </c>
      <c r="E1102" t="s">
        <v>1108</v>
      </c>
      <c r="F1102" t="s"/>
      <c r="G1102" t="s"/>
      <c r="H1102" t="s"/>
      <c r="I1102" t="s"/>
      <c r="J1102" t="n">
        <v>0.0276</v>
      </c>
      <c r="K1102" t="n">
        <v>0.051</v>
      </c>
      <c r="L1102" t="n">
        <v>0.875</v>
      </c>
      <c r="M1102" t="n">
        <v>0.074</v>
      </c>
    </row>
    <row r="1103" spans="1:13">
      <c r="A1103" s="1">
        <f>HYPERLINK("http://www.twitter.com/NathanBLawrence/status/991831438940147713", "991831438940147713")</f>
        <v/>
      </c>
      <c r="B1103" s="2" t="n">
        <v>43223.00482638889</v>
      </c>
      <c r="C1103" t="n">
        <v>0</v>
      </c>
      <c r="D1103" t="n">
        <v>1</v>
      </c>
      <c r="E1103" t="s">
        <v>1109</v>
      </c>
      <c r="F1103" t="s"/>
      <c r="G1103" t="s"/>
      <c r="H1103" t="s"/>
      <c r="I1103" t="s"/>
      <c r="J1103" t="n">
        <v>0</v>
      </c>
      <c r="K1103" t="n">
        <v>0</v>
      </c>
      <c r="L1103" t="n">
        <v>1</v>
      </c>
      <c r="M1103" t="n">
        <v>0</v>
      </c>
    </row>
    <row r="1104" spans="1:13">
      <c r="A1104" s="1">
        <f>HYPERLINK("http://www.twitter.com/NathanBLawrence/status/991831311550746624", "991831311550746624")</f>
        <v/>
      </c>
      <c r="B1104" s="2" t="n">
        <v>43223.00446759259</v>
      </c>
      <c r="C1104" t="n">
        <v>2</v>
      </c>
      <c r="D1104" t="n">
        <v>1</v>
      </c>
      <c r="E1104" t="s">
        <v>1110</v>
      </c>
      <c r="F1104" t="s"/>
      <c r="G1104" t="s"/>
      <c r="H1104" t="s"/>
      <c r="I1104" t="s"/>
      <c r="J1104" t="n">
        <v>-0.6711</v>
      </c>
      <c r="K1104" t="n">
        <v>0.127</v>
      </c>
      <c r="L1104" t="n">
        <v>0.873</v>
      </c>
      <c r="M1104" t="n">
        <v>0</v>
      </c>
    </row>
    <row r="1105" spans="1:13">
      <c r="A1105" s="1">
        <f>HYPERLINK("http://www.twitter.com/NathanBLawrence/status/991823334374551552", "991823334374551552")</f>
        <v/>
      </c>
      <c r="B1105" s="2" t="n">
        <v>43222.98245370371</v>
      </c>
      <c r="C1105" t="n">
        <v>0</v>
      </c>
      <c r="D1105" t="n">
        <v>5</v>
      </c>
      <c r="E1105" t="s">
        <v>1111</v>
      </c>
      <c r="F1105" t="s"/>
      <c r="G1105" t="s"/>
      <c r="H1105" t="s"/>
      <c r="I1105" t="s"/>
      <c r="J1105" t="n">
        <v>-0.0516</v>
      </c>
      <c r="K1105" t="n">
        <v>0.062</v>
      </c>
      <c r="L1105" t="n">
        <v>0.9379999999999999</v>
      </c>
      <c r="M1105" t="n">
        <v>0</v>
      </c>
    </row>
    <row r="1106" spans="1:13">
      <c r="A1106" s="1">
        <f>HYPERLINK("http://www.twitter.com/NathanBLawrence/status/991818455396634624", "991818455396634624")</f>
        <v/>
      </c>
      <c r="B1106" s="2" t="n">
        <v>43222.96899305555</v>
      </c>
      <c r="C1106" t="n">
        <v>0</v>
      </c>
      <c r="D1106" t="n">
        <v>1</v>
      </c>
      <c r="E1106" t="s">
        <v>1112</v>
      </c>
      <c r="F1106" t="s"/>
      <c r="G1106" t="s"/>
      <c r="H1106" t="s"/>
      <c r="I1106" t="s"/>
      <c r="J1106" t="n">
        <v>0</v>
      </c>
      <c r="K1106" t="n">
        <v>0</v>
      </c>
      <c r="L1106" t="n">
        <v>1</v>
      </c>
      <c r="M1106" t="n">
        <v>0</v>
      </c>
    </row>
    <row r="1107" spans="1:13">
      <c r="A1107" s="1">
        <f>HYPERLINK("http://www.twitter.com/NathanBLawrence/status/991816349625307137", "991816349625307137")</f>
        <v/>
      </c>
      <c r="B1107" s="2" t="n">
        <v>43222.96318287037</v>
      </c>
      <c r="C1107" t="n">
        <v>0</v>
      </c>
      <c r="D1107" t="n">
        <v>2</v>
      </c>
      <c r="E1107" t="s">
        <v>1113</v>
      </c>
      <c r="F1107" t="s"/>
      <c r="G1107" t="s"/>
      <c r="H1107" t="s"/>
      <c r="I1107" t="s"/>
      <c r="J1107" t="n">
        <v>0</v>
      </c>
      <c r="K1107" t="n">
        <v>0</v>
      </c>
      <c r="L1107" t="n">
        <v>1</v>
      </c>
      <c r="M1107" t="n">
        <v>0</v>
      </c>
    </row>
    <row r="1108" spans="1:13">
      <c r="A1108" s="1">
        <f>HYPERLINK("http://www.twitter.com/NathanBLawrence/status/991816250887204865", "991816250887204865")</f>
        <v/>
      </c>
      <c r="B1108" s="2" t="n">
        <v>43222.96290509259</v>
      </c>
      <c r="C1108" t="n">
        <v>4</v>
      </c>
      <c r="D1108" t="n">
        <v>2</v>
      </c>
      <c r="E1108" t="s">
        <v>1114</v>
      </c>
      <c r="F1108" t="s"/>
      <c r="G1108" t="s"/>
      <c r="H1108" t="s"/>
      <c r="I1108" t="s"/>
      <c r="J1108" t="n">
        <v>0</v>
      </c>
      <c r="K1108" t="n">
        <v>0</v>
      </c>
      <c r="L1108" t="n">
        <v>1</v>
      </c>
      <c r="M1108" t="n">
        <v>0</v>
      </c>
    </row>
    <row r="1109" spans="1:13">
      <c r="A1109" s="1">
        <f>HYPERLINK("http://www.twitter.com/NathanBLawrence/status/991814368135405569", "991814368135405569")</f>
        <v/>
      </c>
      <c r="B1109" s="2" t="n">
        <v>43222.9577199074</v>
      </c>
      <c r="C1109" t="n">
        <v>0</v>
      </c>
      <c r="D1109" t="n">
        <v>1</v>
      </c>
      <c r="E1109" t="s">
        <v>1115</v>
      </c>
      <c r="F1109" t="s"/>
      <c r="G1109" t="s"/>
      <c r="H1109" t="s"/>
      <c r="I1109" t="s"/>
      <c r="J1109" t="n">
        <v>0</v>
      </c>
      <c r="K1109" t="n">
        <v>0</v>
      </c>
      <c r="L1109" t="n">
        <v>1</v>
      </c>
      <c r="M1109" t="n">
        <v>0</v>
      </c>
    </row>
    <row r="1110" spans="1:13">
      <c r="A1110" s="1">
        <f>HYPERLINK("http://www.twitter.com/NathanBLawrence/status/991814233124982784", "991814233124982784")</f>
        <v/>
      </c>
      <c r="B1110" s="2" t="n">
        <v>43222.95733796297</v>
      </c>
      <c r="C1110" t="n">
        <v>0</v>
      </c>
      <c r="D1110" t="n">
        <v>4</v>
      </c>
      <c r="E1110" t="s">
        <v>1116</v>
      </c>
      <c r="F1110" t="s"/>
      <c r="G1110" t="s"/>
      <c r="H1110" t="s"/>
      <c r="I1110" t="s"/>
      <c r="J1110" t="n">
        <v>0.0464</v>
      </c>
      <c r="K1110" t="n">
        <v>0.153</v>
      </c>
      <c r="L1110" t="n">
        <v>0.724</v>
      </c>
      <c r="M1110" t="n">
        <v>0.123</v>
      </c>
    </row>
    <row r="1111" spans="1:13">
      <c r="A1111" s="1">
        <f>HYPERLINK("http://www.twitter.com/NathanBLawrence/status/991814128242233344", "991814128242233344")</f>
        <v/>
      </c>
      <c r="B1111" s="2" t="n">
        <v>43222.95704861111</v>
      </c>
      <c r="C1111" t="n">
        <v>0</v>
      </c>
      <c r="D1111" t="n">
        <v>2</v>
      </c>
      <c r="E1111" t="s">
        <v>1117</v>
      </c>
      <c r="F1111" t="s"/>
      <c r="G1111" t="s"/>
      <c r="H1111" t="s"/>
      <c r="I1111" t="s"/>
      <c r="J1111" t="n">
        <v>-0.0772</v>
      </c>
      <c r="K1111" t="n">
        <v>0.147</v>
      </c>
      <c r="L1111" t="n">
        <v>0.717</v>
      </c>
      <c r="M1111" t="n">
        <v>0.136</v>
      </c>
    </row>
    <row r="1112" spans="1:13">
      <c r="A1112" s="1">
        <f>HYPERLINK("http://www.twitter.com/NathanBLawrence/status/991814083153485824", "991814083153485824")</f>
        <v/>
      </c>
      <c r="B1112" s="2" t="n">
        <v>43222.95693287037</v>
      </c>
      <c r="C1112" t="n">
        <v>0</v>
      </c>
      <c r="D1112" t="n">
        <v>1</v>
      </c>
      <c r="E1112" t="s">
        <v>1118</v>
      </c>
      <c r="F1112" t="s"/>
      <c r="G1112" t="s"/>
      <c r="H1112" t="s"/>
      <c r="I1112" t="s"/>
      <c r="J1112" t="n">
        <v>-0.1531</v>
      </c>
      <c r="K1112" t="n">
        <v>0.126</v>
      </c>
      <c r="L1112" t="n">
        <v>0.772</v>
      </c>
      <c r="M1112" t="n">
        <v>0.102</v>
      </c>
    </row>
    <row r="1113" spans="1:13">
      <c r="A1113" s="1">
        <f>HYPERLINK("http://www.twitter.com/NathanBLawrence/status/991814010948521985", "991814010948521985")</f>
        <v/>
      </c>
      <c r="B1113" s="2" t="n">
        <v>43222.95672453703</v>
      </c>
      <c r="C1113" t="n">
        <v>1</v>
      </c>
      <c r="D1113" t="n">
        <v>1</v>
      </c>
      <c r="E1113" t="s">
        <v>1119</v>
      </c>
      <c r="F1113" t="s"/>
      <c r="G1113" t="s"/>
      <c r="H1113" t="s"/>
      <c r="I1113" t="s"/>
      <c r="J1113" t="n">
        <v>0.126</v>
      </c>
      <c r="K1113" t="n">
        <v>0.154</v>
      </c>
      <c r="L1113" t="n">
        <v>0.655</v>
      </c>
      <c r="M1113" t="n">
        <v>0.191</v>
      </c>
    </row>
    <row r="1114" spans="1:13">
      <c r="A1114" s="1">
        <f>HYPERLINK("http://www.twitter.com/NathanBLawrence/status/991813541358374912", "991813541358374912")</f>
        <v/>
      </c>
      <c r="B1114" s="2" t="n">
        <v>43222.95542824074</v>
      </c>
      <c r="C1114" t="n">
        <v>4</v>
      </c>
      <c r="D1114" t="n">
        <v>4</v>
      </c>
      <c r="E1114" t="s">
        <v>1120</v>
      </c>
      <c r="F1114" t="s"/>
      <c r="G1114" t="s"/>
      <c r="H1114" t="s"/>
      <c r="I1114" t="s"/>
      <c r="J1114" t="n">
        <v>0.0464</v>
      </c>
      <c r="K1114" t="n">
        <v>0.165</v>
      </c>
      <c r="L1114" t="n">
        <v>0.703</v>
      </c>
      <c r="M1114" t="n">
        <v>0.133</v>
      </c>
    </row>
    <row r="1115" spans="1:13">
      <c r="A1115" s="1">
        <f>HYPERLINK("http://www.twitter.com/NathanBLawrence/status/991810371794194436", "991810371794194436")</f>
        <v/>
      </c>
      <c r="B1115" s="2" t="n">
        <v>43222.94668981482</v>
      </c>
      <c r="C1115" t="n">
        <v>0</v>
      </c>
      <c r="D1115" t="n">
        <v>1</v>
      </c>
      <c r="E1115" t="s">
        <v>1121</v>
      </c>
      <c r="F1115" t="s"/>
      <c r="G1115" t="s"/>
      <c r="H1115" t="s"/>
      <c r="I1115" t="s"/>
      <c r="J1115" t="n">
        <v>0</v>
      </c>
      <c r="K1115" t="n">
        <v>0</v>
      </c>
      <c r="L1115" t="n">
        <v>1</v>
      </c>
      <c r="M1115" t="n">
        <v>0</v>
      </c>
    </row>
    <row r="1116" spans="1:13">
      <c r="A1116" s="1">
        <f>HYPERLINK("http://www.twitter.com/NathanBLawrence/status/991804060721348608", "991804060721348608")</f>
        <v/>
      </c>
      <c r="B1116" s="2" t="n">
        <v>43222.92927083333</v>
      </c>
      <c r="C1116" t="n">
        <v>0</v>
      </c>
      <c r="D1116" t="n">
        <v>6</v>
      </c>
      <c r="E1116" t="s">
        <v>1122</v>
      </c>
      <c r="F1116" t="s"/>
      <c r="G1116" t="s"/>
      <c r="H1116" t="s"/>
      <c r="I1116" t="s"/>
      <c r="J1116" t="n">
        <v>0</v>
      </c>
      <c r="K1116" t="n">
        <v>0</v>
      </c>
      <c r="L1116" t="n">
        <v>1</v>
      </c>
      <c r="M1116" t="n">
        <v>0</v>
      </c>
    </row>
    <row r="1117" spans="1:13">
      <c r="A1117" s="1">
        <f>HYPERLINK("http://www.twitter.com/NathanBLawrence/status/991801590976778240", "991801590976778240")</f>
        <v/>
      </c>
      <c r="B1117" s="2" t="n">
        <v>43222.9224537037</v>
      </c>
      <c r="C1117" t="n">
        <v>0</v>
      </c>
      <c r="D1117" t="n">
        <v>13</v>
      </c>
      <c r="E1117" t="s">
        <v>1123</v>
      </c>
      <c r="F1117">
        <f>HYPERLINK("http://pbs.twimg.com/media/DcOR9D8WsAAB9ax.jpg", "http://pbs.twimg.com/media/DcOR9D8WsAAB9ax.jpg")</f>
        <v/>
      </c>
      <c r="G1117">
        <f>HYPERLINK("http://pbs.twimg.com/media/DcOR9HHWsAAmxLn.jpg", "http://pbs.twimg.com/media/DcOR9HHWsAAmxLn.jpg")</f>
        <v/>
      </c>
      <c r="H1117" t="s"/>
      <c r="I1117" t="s"/>
      <c r="J1117" t="n">
        <v>-0.34</v>
      </c>
      <c r="K1117" t="n">
        <v>0.112</v>
      </c>
      <c r="L1117" t="n">
        <v>0.888</v>
      </c>
      <c r="M1117" t="n">
        <v>0</v>
      </c>
    </row>
    <row r="1118" spans="1:13">
      <c r="A1118" s="1">
        <f>HYPERLINK("http://www.twitter.com/NathanBLawrence/status/991801461691617281", "991801461691617281")</f>
        <v/>
      </c>
      <c r="B1118" s="2" t="n">
        <v>43222.92209490741</v>
      </c>
      <c r="C1118" t="n">
        <v>0</v>
      </c>
      <c r="D1118" t="n">
        <v>3</v>
      </c>
      <c r="E1118" t="s">
        <v>1124</v>
      </c>
      <c r="F1118">
        <f>HYPERLINK("http://pbs.twimg.com/media/DcOPmUVWsAEL3Y7.jpg", "http://pbs.twimg.com/media/DcOPmUVWsAEL3Y7.jpg")</f>
        <v/>
      </c>
      <c r="G1118" t="s"/>
      <c r="H1118" t="s"/>
      <c r="I1118" t="s"/>
      <c r="J1118" t="n">
        <v>0.128</v>
      </c>
      <c r="K1118" t="n">
        <v>0</v>
      </c>
      <c r="L1118" t="n">
        <v>0.909</v>
      </c>
      <c r="M1118" t="n">
        <v>0.091</v>
      </c>
    </row>
    <row r="1119" spans="1:13">
      <c r="A1119" s="1">
        <f>HYPERLINK("http://www.twitter.com/NathanBLawrence/status/991801122414358528", "991801122414358528")</f>
        <v/>
      </c>
      <c r="B1119" s="2" t="n">
        <v>43222.92116898148</v>
      </c>
      <c r="C1119" t="n">
        <v>0</v>
      </c>
      <c r="D1119" t="n">
        <v>1</v>
      </c>
      <c r="E1119" t="s">
        <v>1125</v>
      </c>
      <c r="F1119" t="s"/>
      <c r="G1119" t="s"/>
      <c r="H1119" t="s"/>
      <c r="I1119" t="s"/>
      <c r="J1119" t="n">
        <v>-0.1759</v>
      </c>
      <c r="K1119" t="n">
        <v>0.101</v>
      </c>
      <c r="L1119" t="n">
        <v>0.899</v>
      </c>
      <c r="M1119" t="n">
        <v>0</v>
      </c>
    </row>
    <row r="1120" spans="1:13">
      <c r="A1120" s="1">
        <f>HYPERLINK("http://www.twitter.com/NathanBLawrence/status/991801096426475525", "991801096426475525")</f>
        <v/>
      </c>
      <c r="B1120" s="2" t="n">
        <v>43222.92108796296</v>
      </c>
      <c r="C1120" t="n">
        <v>0</v>
      </c>
      <c r="D1120" t="n">
        <v>1</v>
      </c>
      <c r="E1120" t="s">
        <v>1126</v>
      </c>
      <c r="F1120" t="s"/>
      <c r="G1120" t="s"/>
      <c r="H1120" t="s"/>
      <c r="I1120" t="s"/>
      <c r="J1120" t="n">
        <v>-0.1759</v>
      </c>
      <c r="K1120" t="n">
        <v>0.115</v>
      </c>
      <c r="L1120" t="n">
        <v>0.885</v>
      </c>
      <c r="M1120" t="n">
        <v>0</v>
      </c>
    </row>
    <row r="1121" spans="1:13">
      <c r="A1121" s="1">
        <f>HYPERLINK("http://www.twitter.com/NathanBLawrence/status/991788537740759040", "991788537740759040")</f>
        <v/>
      </c>
      <c r="B1121" s="2" t="n">
        <v>43222.88643518519</v>
      </c>
      <c r="C1121" t="n">
        <v>0</v>
      </c>
      <c r="D1121" t="n">
        <v>4</v>
      </c>
      <c r="E1121" t="s">
        <v>1127</v>
      </c>
      <c r="F1121" t="s"/>
      <c r="G1121" t="s"/>
      <c r="H1121" t="s"/>
      <c r="I1121" t="s"/>
      <c r="J1121" t="n">
        <v>0</v>
      </c>
      <c r="K1121" t="n">
        <v>0</v>
      </c>
      <c r="L1121" t="n">
        <v>1</v>
      </c>
      <c r="M1121" t="n">
        <v>0</v>
      </c>
    </row>
    <row r="1122" spans="1:13">
      <c r="A1122" s="1">
        <f>HYPERLINK("http://www.twitter.com/NathanBLawrence/status/991785271564931072", "991785271564931072")</f>
        <v/>
      </c>
      <c r="B1122" s="2" t="n">
        <v>43222.87741898148</v>
      </c>
      <c r="C1122" t="n">
        <v>0</v>
      </c>
      <c r="D1122" t="n">
        <v>1</v>
      </c>
      <c r="E1122" t="s">
        <v>1128</v>
      </c>
      <c r="F1122" t="s"/>
      <c r="G1122" t="s"/>
      <c r="H1122" t="s"/>
      <c r="I1122" t="s"/>
      <c r="J1122" t="n">
        <v>0</v>
      </c>
      <c r="K1122" t="n">
        <v>0</v>
      </c>
      <c r="L1122" t="n">
        <v>1</v>
      </c>
      <c r="M1122" t="n">
        <v>0</v>
      </c>
    </row>
    <row r="1123" spans="1:13">
      <c r="A1123" s="1">
        <f>HYPERLINK("http://www.twitter.com/NathanBLawrence/status/991785164496949249", "991785164496949249")</f>
        <v/>
      </c>
      <c r="B1123" s="2" t="n">
        <v>43222.87712962963</v>
      </c>
      <c r="C1123" t="n">
        <v>0</v>
      </c>
      <c r="D1123" t="n">
        <v>10</v>
      </c>
      <c r="E1123" t="s">
        <v>1129</v>
      </c>
      <c r="F1123" t="s"/>
      <c r="G1123" t="s"/>
      <c r="H1123" t="s"/>
      <c r="I1123" t="s"/>
      <c r="J1123" t="n">
        <v>0</v>
      </c>
      <c r="K1123" t="n">
        <v>0</v>
      </c>
      <c r="L1123" t="n">
        <v>1</v>
      </c>
      <c r="M1123" t="n">
        <v>0</v>
      </c>
    </row>
    <row r="1124" spans="1:13">
      <c r="A1124" s="1">
        <f>HYPERLINK("http://www.twitter.com/NathanBLawrence/status/991784025785339904", "991784025785339904")</f>
        <v/>
      </c>
      <c r="B1124" s="2" t="n">
        <v>43222.87398148148</v>
      </c>
      <c r="C1124" t="n">
        <v>0</v>
      </c>
      <c r="D1124" t="n">
        <v>1</v>
      </c>
      <c r="E1124" t="s">
        <v>1130</v>
      </c>
      <c r="F1124" t="s"/>
      <c r="G1124" t="s"/>
      <c r="H1124" t="s"/>
      <c r="I1124" t="s"/>
      <c r="J1124" t="n">
        <v>0</v>
      </c>
      <c r="K1124" t="n">
        <v>0</v>
      </c>
      <c r="L1124" t="n">
        <v>1</v>
      </c>
      <c r="M1124" t="n">
        <v>0</v>
      </c>
    </row>
    <row r="1125" spans="1:13">
      <c r="A1125" s="1">
        <f>HYPERLINK("http://www.twitter.com/NathanBLawrence/status/991767434095988741", "991767434095988741")</f>
        <v/>
      </c>
      <c r="B1125" s="2" t="n">
        <v>43222.82820601852</v>
      </c>
      <c r="C1125" t="n">
        <v>1</v>
      </c>
      <c r="D1125" t="n">
        <v>1</v>
      </c>
      <c r="E1125" t="s">
        <v>1131</v>
      </c>
      <c r="F1125" t="s"/>
      <c r="G1125" t="s"/>
      <c r="H1125" t="s"/>
      <c r="I1125" t="s"/>
      <c r="J1125" t="n">
        <v>-0.959</v>
      </c>
      <c r="K1125" t="n">
        <v>0.454</v>
      </c>
      <c r="L1125" t="n">
        <v>0.546</v>
      </c>
      <c r="M1125" t="n">
        <v>0</v>
      </c>
    </row>
    <row r="1126" spans="1:13">
      <c r="A1126" s="1">
        <f>HYPERLINK("http://www.twitter.com/NathanBLawrence/status/991756142576533504", "991756142576533504")</f>
        <v/>
      </c>
      <c r="B1126" s="2" t="n">
        <v>43222.79703703704</v>
      </c>
      <c r="C1126" t="n">
        <v>0</v>
      </c>
      <c r="D1126" t="n">
        <v>0</v>
      </c>
      <c r="E1126" t="s">
        <v>1132</v>
      </c>
      <c r="F1126" t="s"/>
      <c r="G1126" t="s"/>
      <c r="H1126" t="s"/>
      <c r="I1126" t="s"/>
      <c r="J1126" t="n">
        <v>-0.959</v>
      </c>
      <c r="K1126" t="n">
        <v>0.465</v>
      </c>
      <c r="L1126" t="n">
        <v>0.535</v>
      </c>
      <c r="M1126" t="n">
        <v>0</v>
      </c>
    </row>
    <row r="1127" spans="1:13">
      <c r="A1127" s="1">
        <f>HYPERLINK("http://www.twitter.com/NathanBLawrence/status/991746044168896512", "991746044168896512")</f>
        <v/>
      </c>
      <c r="B1127" s="2" t="n">
        <v>43222.76917824074</v>
      </c>
      <c r="C1127" t="n">
        <v>0</v>
      </c>
      <c r="D1127" t="n">
        <v>1</v>
      </c>
      <c r="E1127" t="s">
        <v>1133</v>
      </c>
      <c r="F1127" t="s"/>
      <c r="G1127" t="s"/>
      <c r="H1127" t="s"/>
      <c r="I1127" t="s"/>
      <c r="J1127" t="n">
        <v>0</v>
      </c>
      <c r="K1127" t="n">
        <v>0</v>
      </c>
      <c r="L1127" t="n">
        <v>1</v>
      </c>
      <c r="M1127" t="n">
        <v>0</v>
      </c>
    </row>
    <row r="1128" spans="1:13">
      <c r="A1128" s="1">
        <f>HYPERLINK("http://www.twitter.com/NathanBLawrence/status/991745972773453825", "991745972773453825")</f>
        <v/>
      </c>
      <c r="B1128" s="2" t="n">
        <v>43222.76898148148</v>
      </c>
      <c r="C1128" t="n">
        <v>2</v>
      </c>
      <c r="D1128" t="n">
        <v>1</v>
      </c>
      <c r="E1128" t="s">
        <v>1134</v>
      </c>
      <c r="F1128" t="s"/>
      <c r="G1128" t="s"/>
      <c r="H1128" t="s"/>
      <c r="I1128" t="s"/>
      <c r="J1128" t="n">
        <v>0</v>
      </c>
      <c r="K1128" t="n">
        <v>0</v>
      </c>
      <c r="L1128" t="n">
        <v>1</v>
      </c>
      <c r="M1128" t="n">
        <v>0</v>
      </c>
    </row>
    <row r="1129" spans="1:13">
      <c r="A1129" s="1">
        <f>HYPERLINK("http://www.twitter.com/NathanBLawrence/status/991741730172080129", "991741730172080129")</f>
        <v/>
      </c>
      <c r="B1129" s="2" t="n">
        <v>43222.75726851852</v>
      </c>
      <c r="C1129" t="n">
        <v>1</v>
      </c>
      <c r="D1129" t="n">
        <v>0</v>
      </c>
      <c r="E1129" t="s">
        <v>1135</v>
      </c>
      <c r="F1129" t="s"/>
      <c r="G1129" t="s"/>
      <c r="H1129" t="s"/>
      <c r="I1129" t="s"/>
      <c r="J1129" t="n">
        <v>0</v>
      </c>
      <c r="K1129" t="n">
        <v>0</v>
      </c>
      <c r="L1129" t="n">
        <v>1</v>
      </c>
      <c r="M1129" t="n">
        <v>0</v>
      </c>
    </row>
    <row r="1130" spans="1:13">
      <c r="A1130" s="1">
        <f>HYPERLINK("http://www.twitter.com/NathanBLawrence/status/991732929427537921", "991732929427537921")</f>
        <v/>
      </c>
      <c r="B1130" s="2" t="n">
        <v>43222.73298611111</v>
      </c>
      <c r="C1130" t="n">
        <v>0</v>
      </c>
      <c r="D1130" t="n">
        <v>0</v>
      </c>
      <c r="E1130" t="s">
        <v>1136</v>
      </c>
      <c r="F1130" t="s"/>
      <c r="G1130" t="s"/>
      <c r="H1130" t="s"/>
      <c r="I1130" t="s"/>
      <c r="J1130" t="n">
        <v>-0.6994</v>
      </c>
      <c r="K1130" t="n">
        <v>0.591</v>
      </c>
      <c r="L1130" t="n">
        <v>0.409</v>
      </c>
      <c r="M1130" t="n">
        <v>0</v>
      </c>
    </row>
    <row r="1131" spans="1:13">
      <c r="A1131" s="1">
        <f>HYPERLINK("http://www.twitter.com/NathanBLawrence/status/991730645683535875", "991730645683535875")</f>
        <v/>
      </c>
      <c r="B1131" s="2" t="n">
        <v>43222.72668981482</v>
      </c>
      <c r="C1131" t="n">
        <v>0</v>
      </c>
      <c r="D1131" t="n">
        <v>1</v>
      </c>
      <c r="E1131" t="s">
        <v>1137</v>
      </c>
      <c r="F1131" t="s"/>
      <c r="G1131" t="s"/>
      <c r="H1131" t="s"/>
      <c r="I1131" t="s"/>
      <c r="J1131" t="n">
        <v>0</v>
      </c>
      <c r="K1131" t="n">
        <v>0</v>
      </c>
      <c r="L1131" t="n">
        <v>1</v>
      </c>
      <c r="M1131" t="n">
        <v>0</v>
      </c>
    </row>
    <row r="1132" spans="1:13">
      <c r="A1132" s="1">
        <f>HYPERLINK("http://www.twitter.com/NathanBLawrence/status/991730619964116992", "991730619964116992")</f>
        <v/>
      </c>
      <c r="B1132" s="2" t="n">
        <v>43222.7266087963</v>
      </c>
      <c r="C1132" t="n">
        <v>0</v>
      </c>
      <c r="D1132" t="n">
        <v>1</v>
      </c>
      <c r="E1132" t="s">
        <v>1138</v>
      </c>
      <c r="F1132" t="s"/>
      <c r="G1132" t="s"/>
      <c r="H1132" t="s"/>
      <c r="I1132" t="s"/>
      <c r="J1132" t="n">
        <v>0</v>
      </c>
      <c r="K1132" t="n">
        <v>0</v>
      </c>
      <c r="L1132" t="n">
        <v>1</v>
      </c>
      <c r="M1132" t="n">
        <v>0</v>
      </c>
    </row>
    <row r="1133" spans="1:13">
      <c r="A1133" s="1">
        <f>HYPERLINK("http://www.twitter.com/NathanBLawrence/status/991729579759894529", "991729579759894529")</f>
        <v/>
      </c>
      <c r="B1133" s="2" t="n">
        <v>43222.72373842593</v>
      </c>
      <c r="C1133" t="n">
        <v>0</v>
      </c>
      <c r="D1133" t="n">
        <v>1</v>
      </c>
      <c r="E1133" t="s">
        <v>1139</v>
      </c>
      <c r="F1133" t="s"/>
      <c r="G1133" t="s"/>
      <c r="H1133" t="s"/>
      <c r="I1133" t="s"/>
      <c r="J1133" t="n">
        <v>-0.4341</v>
      </c>
      <c r="K1133" t="n">
        <v>0.137</v>
      </c>
      <c r="L1133" t="n">
        <v>0.863</v>
      </c>
      <c r="M1133" t="n">
        <v>0</v>
      </c>
    </row>
    <row r="1134" spans="1:13">
      <c r="A1134" s="1">
        <f>HYPERLINK("http://www.twitter.com/NathanBLawrence/status/991729551003840517", "991729551003840517")</f>
        <v/>
      </c>
      <c r="B1134" s="2" t="n">
        <v>43222.72366898148</v>
      </c>
      <c r="C1134" t="n">
        <v>0</v>
      </c>
      <c r="D1134" t="n">
        <v>1</v>
      </c>
      <c r="E1134" t="s">
        <v>1140</v>
      </c>
      <c r="F1134" t="s"/>
      <c r="G1134" t="s"/>
      <c r="H1134" t="s"/>
      <c r="I1134" t="s"/>
      <c r="J1134" t="n">
        <v>0</v>
      </c>
      <c r="K1134" t="n">
        <v>0</v>
      </c>
      <c r="L1134" t="n">
        <v>1</v>
      </c>
      <c r="M1134" t="n">
        <v>0</v>
      </c>
    </row>
    <row r="1135" spans="1:13">
      <c r="A1135" s="1">
        <f>HYPERLINK("http://www.twitter.com/NathanBLawrence/status/991729360502706176", "991729360502706176")</f>
        <v/>
      </c>
      <c r="B1135" s="2" t="n">
        <v>43222.72313657407</v>
      </c>
      <c r="C1135" t="n">
        <v>0</v>
      </c>
      <c r="D1135" t="n">
        <v>1</v>
      </c>
      <c r="E1135" t="s">
        <v>1141</v>
      </c>
      <c r="F1135" t="s"/>
      <c r="G1135" t="s"/>
      <c r="H1135" t="s"/>
      <c r="I1135" t="s"/>
      <c r="J1135" t="n">
        <v>0</v>
      </c>
      <c r="K1135" t="n">
        <v>0</v>
      </c>
      <c r="L1135" t="n">
        <v>1</v>
      </c>
      <c r="M1135" t="n">
        <v>0</v>
      </c>
    </row>
    <row r="1136" spans="1:13">
      <c r="A1136" s="1">
        <f>HYPERLINK("http://www.twitter.com/NathanBLawrence/status/991729060467396608", "991729060467396608")</f>
        <v/>
      </c>
      <c r="B1136" s="2" t="n">
        <v>43222.72231481481</v>
      </c>
      <c r="C1136" t="n">
        <v>0</v>
      </c>
      <c r="D1136" t="n">
        <v>1</v>
      </c>
      <c r="E1136" t="s">
        <v>1142</v>
      </c>
      <c r="F1136" t="s"/>
      <c r="G1136" t="s"/>
      <c r="H1136" t="s"/>
      <c r="I1136" t="s"/>
      <c r="J1136" t="n">
        <v>-0.1966</v>
      </c>
      <c r="K1136" t="n">
        <v>0.131</v>
      </c>
      <c r="L1136" t="n">
        <v>0.77</v>
      </c>
      <c r="M1136" t="n">
        <v>0.099</v>
      </c>
    </row>
    <row r="1137" spans="1:13">
      <c r="A1137" s="1">
        <f>HYPERLINK("http://www.twitter.com/NathanBLawrence/status/991727120828297217", "991727120828297217")</f>
        <v/>
      </c>
      <c r="B1137" s="2" t="n">
        <v>43222.71695601852</v>
      </c>
      <c r="C1137" t="n">
        <v>0</v>
      </c>
      <c r="D1137" t="n">
        <v>1</v>
      </c>
      <c r="E1137" t="s">
        <v>1143</v>
      </c>
      <c r="F1137" t="s"/>
      <c r="G1137" t="s"/>
      <c r="H1137" t="s"/>
      <c r="I1137" t="s"/>
      <c r="J1137" t="n">
        <v>0</v>
      </c>
      <c r="K1137" t="n">
        <v>0</v>
      </c>
      <c r="L1137" t="n">
        <v>1</v>
      </c>
      <c r="M1137" t="n">
        <v>0</v>
      </c>
    </row>
    <row r="1138" spans="1:13">
      <c r="A1138" s="1">
        <f>HYPERLINK("http://www.twitter.com/NathanBLawrence/status/991727073906569217", "991727073906569217")</f>
        <v/>
      </c>
      <c r="B1138" s="2" t="n">
        <v>43222.71682870371</v>
      </c>
      <c r="C1138" t="n">
        <v>0</v>
      </c>
      <c r="D1138" t="n">
        <v>2</v>
      </c>
      <c r="E1138" t="s">
        <v>1144</v>
      </c>
      <c r="F1138" t="s"/>
      <c r="G1138" t="s"/>
      <c r="H1138" t="s"/>
      <c r="I1138" t="s"/>
      <c r="J1138" t="n">
        <v>-0.886</v>
      </c>
      <c r="K1138" t="n">
        <v>0.37</v>
      </c>
      <c r="L1138" t="n">
        <v>0.543</v>
      </c>
      <c r="M1138" t="n">
        <v>0.08699999999999999</v>
      </c>
    </row>
    <row r="1139" spans="1:13">
      <c r="A1139" s="1">
        <f>HYPERLINK("http://www.twitter.com/NathanBLawrence/status/991727059037769729", "991727059037769729")</f>
        <v/>
      </c>
      <c r="B1139" s="2" t="n">
        <v>43222.71678240741</v>
      </c>
      <c r="C1139" t="n">
        <v>0</v>
      </c>
      <c r="D1139" t="n">
        <v>1</v>
      </c>
      <c r="E1139" t="s">
        <v>1145</v>
      </c>
      <c r="F1139" t="s"/>
      <c r="G1139" t="s"/>
      <c r="H1139" t="s"/>
      <c r="I1139" t="s"/>
      <c r="J1139" t="n">
        <v>0</v>
      </c>
      <c r="K1139" t="n">
        <v>0</v>
      </c>
      <c r="L1139" t="n">
        <v>1</v>
      </c>
      <c r="M1139" t="n">
        <v>0</v>
      </c>
    </row>
    <row r="1140" spans="1:13">
      <c r="A1140" s="1">
        <f>HYPERLINK("http://www.twitter.com/NathanBLawrence/status/991726814451109888", "991726814451109888")</f>
        <v/>
      </c>
      <c r="B1140" s="2" t="n">
        <v>43222.71611111111</v>
      </c>
      <c r="C1140" t="n">
        <v>0</v>
      </c>
      <c r="D1140" t="n">
        <v>2</v>
      </c>
      <c r="E1140" t="s">
        <v>1146</v>
      </c>
      <c r="F1140" t="s"/>
      <c r="G1140" t="s"/>
      <c r="H1140" t="s"/>
      <c r="I1140" t="s"/>
      <c r="J1140" t="n">
        <v>-0.9677</v>
      </c>
      <c r="K1140" t="n">
        <v>0.402</v>
      </c>
      <c r="L1140" t="n">
        <v>0.505</v>
      </c>
      <c r="M1140" t="n">
        <v>0.092</v>
      </c>
    </row>
    <row r="1141" spans="1:13">
      <c r="A1141" s="1">
        <f>HYPERLINK("http://www.twitter.com/NathanBLawrence/status/991724323957243904", "991724323957243904")</f>
        <v/>
      </c>
      <c r="B1141" s="2" t="n">
        <v>43222.70923611111</v>
      </c>
      <c r="C1141" t="n">
        <v>0</v>
      </c>
      <c r="D1141" t="n">
        <v>1</v>
      </c>
      <c r="E1141" t="s">
        <v>1147</v>
      </c>
      <c r="F1141" t="s"/>
      <c r="G1141" t="s"/>
      <c r="H1141" t="s"/>
      <c r="I1141" t="s"/>
      <c r="J1141" t="n">
        <v>0.0258</v>
      </c>
      <c r="K1141" t="n">
        <v>0.067</v>
      </c>
      <c r="L1141" t="n">
        <v>0.861</v>
      </c>
      <c r="M1141" t="n">
        <v>0.07199999999999999</v>
      </c>
    </row>
    <row r="1142" spans="1:13">
      <c r="A1142" s="1">
        <f>HYPERLINK("http://www.twitter.com/NathanBLawrence/status/991724220311920642", "991724220311920642")</f>
        <v/>
      </c>
      <c r="B1142" s="2" t="n">
        <v>43222.70895833334</v>
      </c>
      <c r="C1142" t="n">
        <v>0</v>
      </c>
      <c r="D1142" t="n">
        <v>1</v>
      </c>
      <c r="E1142" t="s">
        <v>1148</v>
      </c>
      <c r="F1142" t="s"/>
      <c r="G1142" t="s"/>
      <c r="H1142" t="s"/>
      <c r="I1142" t="s"/>
      <c r="J1142" t="n">
        <v>0.8481</v>
      </c>
      <c r="K1142" t="n">
        <v>0.047</v>
      </c>
      <c r="L1142" t="n">
        <v>0.769</v>
      </c>
      <c r="M1142" t="n">
        <v>0.184</v>
      </c>
    </row>
    <row r="1143" spans="1:13">
      <c r="A1143" s="1">
        <f>HYPERLINK("http://www.twitter.com/NathanBLawrence/status/991722974389645313", "991722974389645313")</f>
        <v/>
      </c>
      <c r="B1143" s="2" t="n">
        <v>43222.70552083333</v>
      </c>
      <c r="C1143" t="n">
        <v>1</v>
      </c>
      <c r="D1143" t="n">
        <v>0</v>
      </c>
      <c r="E1143" t="s">
        <v>1149</v>
      </c>
      <c r="F1143" t="s"/>
      <c r="G1143" t="s"/>
      <c r="H1143" t="s"/>
      <c r="I1143" t="s"/>
      <c r="J1143" t="n">
        <v>-0.7096</v>
      </c>
      <c r="K1143" t="n">
        <v>0.123</v>
      </c>
      <c r="L1143" t="n">
        <v>0.877</v>
      </c>
      <c r="M1143" t="n">
        <v>0</v>
      </c>
    </row>
    <row r="1144" spans="1:13">
      <c r="A1144" s="1">
        <f>HYPERLINK("http://www.twitter.com/NathanBLawrence/status/991722376554524672", "991722376554524672")</f>
        <v/>
      </c>
      <c r="B1144" s="2" t="n">
        <v>43222.70386574074</v>
      </c>
      <c r="C1144" t="n">
        <v>1</v>
      </c>
      <c r="D1144" t="n">
        <v>0</v>
      </c>
      <c r="E1144" t="s">
        <v>1150</v>
      </c>
      <c r="F1144" t="s"/>
      <c r="G1144" t="s"/>
      <c r="H1144" t="s"/>
      <c r="I1144" t="s"/>
      <c r="J1144" t="n">
        <v>0.4215</v>
      </c>
      <c r="K1144" t="n">
        <v>0.051</v>
      </c>
      <c r="L1144" t="n">
        <v>0.833</v>
      </c>
      <c r="M1144" t="n">
        <v>0.116</v>
      </c>
    </row>
    <row r="1145" spans="1:13">
      <c r="A1145" s="1">
        <f>HYPERLINK("http://www.twitter.com/NathanBLawrence/status/991721668686045185", "991721668686045185")</f>
        <v/>
      </c>
      <c r="B1145" s="2" t="n">
        <v>43222.70190972222</v>
      </c>
      <c r="C1145" t="n">
        <v>0</v>
      </c>
      <c r="D1145" t="n">
        <v>1</v>
      </c>
      <c r="E1145" t="s">
        <v>1151</v>
      </c>
      <c r="F1145" t="s"/>
      <c r="G1145" t="s"/>
      <c r="H1145" t="s"/>
      <c r="I1145" t="s"/>
      <c r="J1145" t="n">
        <v>0</v>
      </c>
      <c r="K1145" t="n">
        <v>0</v>
      </c>
      <c r="L1145" t="n">
        <v>1</v>
      </c>
      <c r="M1145" t="n">
        <v>0</v>
      </c>
    </row>
    <row r="1146" spans="1:13">
      <c r="A1146" s="1">
        <f>HYPERLINK("http://www.twitter.com/NathanBLawrence/status/991721577816436736", "991721577816436736")</f>
        <v/>
      </c>
      <c r="B1146" s="2" t="n">
        <v>43222.70166666667</v>
      </c>
      <c r="C1146" t="n">
        <v>0</v>
      </c>
      <c r="D1146" t="n">
        <v>1</v>
      </c>
      <c r="E1146" t="s">
        <v>1152</v>
      </c>
      <c r="F1146" t="s"/>
      <c r="G1146" t="s"/>
      <c r="H1146" t="s"/>
      <c r="I1146" t="s"/>
      <c r="J1146" t="n">
        <v>0</v>
      </c>
      <c r="K1146" t="n">
        <v>0</v>
      </c>
      <c r="L1146" t="n">
        <v>1</v>
      </c>
      <c r="M1146" t="n">
        <v>0</v>
      </c>
    </row>
    <row r="1147" spans="1:13">
      <c r="A1147" s="1">
        <f>HYPERLINK("http://www.twitter.com/NathanBLawrence/status/991721286685614081", "991721286685614081")</f>
        <v/>
      </c>
      <c r="B1147" s="2" t="n">
        <v>43222.70085648148</v>
      </c>
      <c r="C1147" t="n">
        <v>0</v>
      </c>
      <c r="D1147" t="n">
        <v>4</v>
      </c>
      <c r="E1147" t="s">
        <v>1153</v>
      </c>
      <c r="F1147" t="s"/>
      <c r="G1147" t="s"/>
      <c r="H1147" t="s"/>
      <c r="I1147" t="s"/>
      <c r="J1147" t="n">
        <v>0</v>
      </c>
      <c r="K1147" t="n">
        <v>0</v>
      </c>
      <c r="L1147" t="n">
        <v>1</v>
      </c>
      <c r="M1147" t="n">
        <v>0</v>
      </c>
    </row>
    <row r="1148" spans="1:13">
      <c r="A1148" s="1">
        <f>HYPERLINK("http://www.twitter.com/NathanBLawrence/status/991721216166809600", "991721216166809600")</f>
        <v/>
      </c>
      <c r="B1148" s="2" t="n">
        <v>43222.70065972222</v>
      </c>
      <c r="C1148" t="n">
        <v>8</v>
      </c>
      <c r="D1148" t="n">
        <v>4</v>
      </c>
      <c r="E1148" t="s">
        <v>1154</v>
      </c>
      <c r="F1148" t="s"/>
      <c r="G1148" t="s"/>
      <c r="H1148" t="s"/>
      <c r="I1148" t="s"/>
      <c r="J1148" t="n">
        <v>0.08690000000000001</v>
      </c>
      <c r="K1148" t="n">
        <v>0.044</v>
      </c>
      <c r="L1148" t="n">
        <v>0.904</v>
      </c>
      <c r="M1148" t="n">
        <v>0.052</v>
      </c>
    </row>
    <row r="1149" spans="1:13">
      <c r="A1149" s="1">
        <f>HYPERLINK("http://www.twitter.com/NathanBLawrence/status/991720634286821376", "991720634286821376")</f>
        <v/>
      </c>
      <c r="B1149" s="2" t="n">
        <v>43222.6990625</v>
      </c>
      <c r="C1149" t="n">
        <v>0</v>
      </c>
      <c r="D1149" t="n">
        <v>7</v>
      </c>
      <c r="E1149" t="s">
        <v>1155</v>
      </c>
      <c r="F1149" t="s"/>
      <c r="G1149" t="s"/>
      <c r="H1149" t="s"/>
      <c r="I1149" t="s"/>
      <c r="J1149" t="n">
        <v>0</v>
      </c>
      <c r="K1149" t="n">
        <v>0</v>
      </c>
      <c r="L1149" t="n">
        <v>1</v>
      </c>
      <c r="M1149" t="n">
        <v>0</v>
      </c>
    </row>
    <row r="1150" spans="1:13">
      <c r="A1150" s="1">
        <f>HYPERLINK("http://www.twitter.com/NathanBLawrence/status/991720509929918465", "991720509929918465")</f>
        <v/>
      </c>
      <c r="B1150" s="2" t="n">
        <v>43222.69871527778</v>
      </c>
      <c r="C1150" t="n">
        <v>0</v>
      </c>
      <c r="D1150" t="n">
        <v>0</v>
      </c>
      <c r="E1150" t="s">
        <v>1156</v>
      </c>
      <c r="F1150" t="s"/>
      <c r="G1150" t="s"/>
      <c r="H1150" t="s"/>
      <c r="I1150" t="s"/>
      <c r="J1150" t="n">
        <v>0.5417</v>
      </c>
      <c r="K1150" t="n">
        <v>0.076</v>
      </c>
      <c r="L1150" t="n">
        <v>0.764</v>
      </c>
      <c r="M1150" t="n">
        <v>0.16</v>
      </c>
    </row>
    <row r="1151" spans="1:13">
      <c r="A1151" s="1">
        <f>HYPERLINK("http://www.twitter.com/NathanBLawrence/status/991719853852643331", "991719853852643331")</f>
        <v/>
      </c>
      <c r="B1151" s="2" t="n">
        <v>43222.69690972222</v>
      </c>
      <c r="C1151" t="n">
        <v>0</v>
      </c>
      <c r="D1151" t="n">
        <v>1</v>
      </c>
      <c r="E1151" t="s">
        <v>1157</v>
      </c>
      <c r="F1151" t="s"/>
      <c r="G1151" t="s"/>
      <c r="H1151" t="s"/>
      <c r="I1151" t="s"/>
      <c r="J1151" t="n">
        <v>-0.1027</v>
      </c>
      <c r="K1151" t="n">
        <v>0.076</v>
      </c>
      <c r="L1151" t="n">
        <v>0.924</v>
      </c>
      <c r="M1151" t="n">
        <v>0</v>
      </c>
    </row>
    <row r="1152" spans="1:13">
      <c r="A1152" s="1">
        <f>HYPERLINK("http://www.twitter.com/NathanBLawrence/status/991719814665326593", "991719814665326593")</f>
        <v/>
      </c>
      <c r="B1152" s="2" t="n">
        <v>43222.69679398148</v>
      </c>
      <c r="C1152" t="n">
        <v>0</v>
      </c>
      <c r="D1152" t="n">
        <v>1</v>
      </c>
      <c r="E1152" t="s">
        <v>1158</v>
      </c>
      <c r="F1152" t="s"/>
      <c r="G1152" t="s"/>
      <c r="H1152" t="s"/>
      <c r="I1152" t="s"/>
      <c r="J1152" t="n">
        <v>-0.1027</v>
      </c>
      <c r="K1152" t="n">
        <v>0.032</v>
      </c>
      <c r="L1152" t="n">
        <v>0.968</v>
      </c>
      <c r="M1152" t="n">
        <v>0</v>
      </c>
    </row>
    <row r="1153" spans="1:13">
      <c r="A1153" s="1">
        <f>HYPERLINK("http://www.twitter.com/NathanBLawrence/status/991719236165951488", "991719236165951488")</f>
        <v/>
      </c>
      <c r="B1153" s="2" t="n">
        <v>43222.69519675926</v>
      </c>
      <c r="C1153" t="n">
        <v>0</v>
      </c>
      <c r="D1153" t="n">
        <v>5</v>
      </c>
      <c r="E1153" t="s">
        <v>1159</v>
      </c>
      <c r="F1153" t="s"/>
      <c r="G1153" t="s"/>
      <c r="H1153" t="s"/>
      <c r="I1153" t="s"/>
      <c r="J1153" t="n">
        <v>-0.2732</v>
      </c>
      <c r="K1153" t="n">
        <v>0.08699999999999999</v>
      </c>
      <c r="L1153" t="n">
        <v>0.913</v>
      </c>
      <c r="M1153" t="n">
        <v>0</v>
      </c>
    </row>
    <row r="1154" spans="1:13">
      <c r="A1154" s="1">
        <f>HYPERLINK("http://www.twitter.com/NathanBLawrence/status/991719120109531136", "991719120109531136")</f>
        <v/>
      </c>
      <c r="B1154" s="2" t="n">
        <v>43222.69488425926</v>
      </c>
      <c r="C1154" t="n">
        <v>0</v>
      </c>
      <c r="D1154" t="n">
        <v>3</v>
      </c>
      <c r="E1154" t="s">
        <v>1160</v>
      </c>
      <c r="F1154" t="s"/>
      <c r="G1154" t="s"/>
      <c r="H1154" t="s"/>
      <c r="I1154" t="s"/>
      <c r="J1154" t="n">
        <v>-0.296</v>
      </c>
      <c r="K1154" t="n">
        <v>0.109</v>
      </c>
      <c r="L1154" t="n">
        <v>0.891</v>
      </c>
      <c r="M1154" t="n">
        <v>0</v>
      </c>
    </row>
    <row r="1155" spans="1:13">
      <c r="A1155" s="1">
        <f>HYPERLINK("http://www.twitter.com/NathanBLawrence/status/991718970976886786", "991718970976886786")</f>
        <v/>
      </c>
      <c r="B1155" s="2" t="n">
        <v>43222.69446759259</v>
      </c>
      <c r="C1155" t="n">
        <v>0</v>
      </c>
      <c r="D1155" t="n">
        <v>7</v>
      </c>
      <c r="E1155" t="s">
        <v>1161</v>
      </c>
      <c r="F1155">
        <f>HYPERLINK("http://pbs.twimg.com/media/DcNKoAkXcAEPK-1.jpg", "http://pbs.twimg.com/media/DcNKoAkXcAEPK-1.jpg")</f>
        <v/>
      </c>
      <c r="G1155">
        <f>HYPERLINK("http://pbs.twimg.com/media/DcNKo-wWAAEFM1V.jpg", "http://pbs.twimg.com/media/DcNKo-wWAAEFM1V.jpg")</f>
        <v/>
      </c>
      <c r="H1155">
        <f>HYPERLINK("http://pbs.twimg.com/media/DcNKp_AWkAIANO1.jpg", "http://pbs.twimg.com/media/DcNKp_AWkAIANO1.jpg")</f>
        <v/>
      </c>
      <c r="I1155" t="s"/>
      <c r="J1155" t="n">
        <v>0.4548</v>
      </c>
      <c r="K1155" t="n">
        <v>0.05</v>
      </c>
      <c r="L1155" t="n">
        <v>0.819</v>
      </c>
      <c r="M1155" t="n">
        <v>0.131</v>
      </c>
    </row>
    <row r="1156" spans="1:13">
      <c r="A1156" s="1">
        <f>HYPERLINK("http://www.twitter.com/NathanBLawrence/status/991718934373191680", "991718934373191680")</f>
        <v/>
      </c>
      <c r="B1156" s="2" t="n">
        <v>43222.69436342592</v>
      </c>
      <c r="C1156" t="n">
        <v>7</v>
      </c>
      <c r="D1156" t="n">
        <v>7</v>
      </c>
      <c r="E1156" t="s">
        <v>1162</v>
      </c>
      <c r="F1156">
        <f>HYPERLINK("http://pbs.twimg.com/media/DcNKoAkXcAEPK-1.jpg", "http://pbs.twimg.com/media/DcNKoAkXcAEPK-1.jpg")</f>
        <v/>
      </c>
      <c r="G1156">
        <f>HYPERLINK("http://pbs.twimg.com/media/DcNKo-wWAAEFM1V.jpg", "http://pbs.twimg.com/media/DcNKo-wWAAEFM1V.jpg")</f>
        <v/>
      </c>
      <c r="H1156">
        <f>HYPERLINK("http://pbs.twimg.com/media/DcNKp_AWkAIANO1.jpg", "http://pbs.twimg.com/media/DcNKp_AWkAIANO1.jpg")</f>
        <v/>
      </c>
      <c r="I1156" t="s"/>
      <c r="J1156" t="n">
        <v>0.6573</v>
      </c>
      <c r="K1156" t="n">
        <v>0.031</v>
      </c>
      <c r="L1156" t="n">
        <v>0.824</v>
      </c>
      <c r="M1156" t="n">
        <v>0.144</v>
      </c>
    </row>
    <row r="1157" spans="1:13">
      <c r="A1157" s="1">
        <f>HYPERLINK("http://www.twitter.com/NathanBLawrence/status/991716612326789120", "991716612326789120")</f>
        <v/>
      </c>
      <c r="B1157" s="2" t="n">
        <v>43222.68796296296</v>
      </c>
      <c r="C1157" t="n">
        <v>0</v>
      </c>
      <c r="D1157" t="n">
        <v>6</v>
      </c>
      <c r="E1157" t="s">
        <v>1163</v>
      </c>
      <c r="F1157" t="s"/>
      <c r="G1157" t="s"/>
      <c r="H1157" t="s"/>
      <c r="I1157" t="s"/>
      <c r="J1157" t="n">
        <v>0</v>
      </c>
      <c r="K1157" t="n">
        <v>0</v>
      </c>
      <c r="L1157" t="n">
        <v>1</v>
      </c>
      <c r="M1157" t="n">
        <v>0</v>
      </c>
    </row>
    <row r="1158" spans="1:13">
      <c r="A1158" s="1">
        <f>HYPERLINK("http://www.twitter.com/NathanBLawrence/status/991716584916946946", "991716584916946946")</f>
        <v/>
      </c>
      <c r="B1158" s="2" t="n">
        <v>43222.68788194445</v>
      </c>
      <c r="C1158" t="n">
        <v>5</v>
      </c>
      <c r="D1158" t="n">
        <v>6</v>
      </c>
      <c r="E1158" t="s">
        <v>1164</v>
      </c>
      <c r="F1158" t="s"/>
      <c r="G1158" t="s"/>
      <c r="H1158" t="s"/>
      <c r="I1158" t="s"/>
      <c r="J1158" t="n">
        <v>0</v>
      </c>
      <c r="K1158" t="n">
        <v>0</v>
      </c>
      <c r="L1158" t="n">
        <v>1</v>
      </c>
      <c r="M1158" t="n">
        <v>0</v>
      </c>
    </row>
    <row r="1159" spans="1:13">
      <c r="A1159" s="1">
        <f>HYPERLINK("http://www.twitter.com/NathanBLawrence/status/991712606380490752", "991712606380490752")</f>
        <v/>
      </c>
      <c r="B1159" s="2" t="n">
        <v>43222.67690972222</v>
      </c>
      <c r="C1159" t="n">
        <v>1</v>
      </c>
      <c r="D1159" t="n">
        <v>0</v>
      </c>
      <c r="E1159" t="s">
        <v>1165</v>
      </c>
      <c r="F1159" t="s"/>
      <c r="G1159" t="s"/>
      <c r="H1159" t="s"/>
      <c r="I1159" t="s"/>
      <c r="J1159" t="n">
        <v>0</v>
      </c>
      <c r="K1159" t="n">
        <v>0</v>
      </c>
      <c r="L1159" t="n">
        <v>1</v>
      </c>
      <c r="M1159" t="n">
        <v>0</v>
      </c>
    </row>
    <row r="1160" spans="1:13">
      <c r="A1160" s="1">
        <f>HYPERLINK("http://www.twitter.com/NathanBLawrence/status/991712122680856578", "991712122680856578")</f>
        <v/>
      </c>
      <c r="B1160" s="2" t="n">
        <v>43222.67556712963</v>
      </c>
      <c r="C1160" t="n">
        <v>0</v>
      </c>
      <c r="D1160" t="n">
        <v>8</v>
      </c>
      <c r="E1160" t="s">
        <v>1166</v>
      </c>
      <c r="F1160" t="s"/>
      <c r="G1160" t="s"/>
      <c r="H1160" t="s"/>
      <c r="I1160" t="s"/>
      <c r="J1160" t="n">
        <v>-0.1027</v>
      </c>
      <c r="K1160" t="n">
        <v>0.065</v>
      </c>
      <c r="L1160" t="n">
        <v>0.9350000000000001</v>
      </c>
      <c r="M1160" t="n">
        <v>0</v>
      </c>
    </row>
    <row r="1161" spans="1:13">
      <c r="A1161" s="1">
        <f>HYPERLINK("http://www.twitter.com/NathanBLawrence/status/991704206745759744", "991704206745759744")</f>
        <v/>
      </c>
      <c r="B1161" s="2" t="n">
        <v>43222.65372685185</v>
      </c>
      <c r="C1161" t="n">
        <v>0</v>
      </c>
      <c r="D1161" t="n">
        <v>11</v>
      </c>
      <c r="E1161" t="s">
        <v>1167</v>
      </c>
      <c r="F1161" t="s"/>
      <c r="G1161" t="s"/>
      <c r="H1161" t="s"/>
      <c r="I1161" t="s"/>
      <c r="J1161" t="n">
        <v>0</v>
      </c>
      <c r="K1161" t="n">
        <v>0</v>
      </c>
      <c r="L1161" t="n">
        <v>1</v>
      </c>
      <c r="M1161" t="n">
        <v>0</v>
      </c>
    </row>
    <row r="1162" spans="1:13">
      <c r="A1162" s="1">
        <f>HYPERLINK("http://www.twitter.com/NathanBLawrence/status/991704013975547904", "991704013975547904")</f>
        <v/>
      </c>
      <c r="B1162" s="2" t="n">
        <v>43222.65319444444</v>
      </c>
      <c r="C1162" t="n">
        <v>0</v>
      </c>
      <c r="D1162" t="n">
        <v>10</v>
      </c>
      <c r="E1162" t="s">
        <v>1168</v>
      </c>
      <c r="F1162">
        <f>HYPERLINK("http://pbs.twimg.com/media/DcM81TZW4A0X0eZ.jpg", "http://pbs.twimg.com/media/DcM81TZW4A0X0eZ.jpg")</f>
        <v/>
      </c>
      <c r="G1162">
        <f>HYPERLINK("http://pbs.twimg.com/media/DcM82eGX4AA8JZD.jpg", "http://pbs.twimg.com/media/DcM82eGX4AA8JZD.jpg")</f>
        <v/>
      </c>
      <c r="H1162" t="s"/>
      <c r="I1162" t="s"/>
      <c r="J1162" t="n">
        <v>-0.3818</v>
      </c>
      <c r="K1162" t="n">
        <v>0.178</v>
      </c>
      <c r="L1162" t="n">
        <v>0.822</v>
      </c>
      <c r="M1162" t="n">
        <v>0</v>
      </c>
    </row>
    <row r="1163" spans="1:13">
      <c r="A1163" s="1">
        <f>HYPERLINK("http://www.twitter.com/NathanBLawrence/status/991703986221780992", "991703986221780992")</f>
        <v/>
      </c>
      <c r="B1163" s="2" t="n">
        <v>43222.65311342593</v>
      </c>
      <c r="C1163" t="n">
        <v>15</v>
      </c>
      <c r="D1163" t="n">
        <v>10</v>
      </c>
      <c r="E1163" t="s">
        <v>1169</v>
      </c>
      <c r="F1163">
        <f>HYPERLINK("http://pbs.twimg.com/media/DcM81TZW4A0X0eZ.jpg", "http://pbs.twimg.com/media/DcM81TZW4A0X0eZ.jpg")</f>
        <v/>
      </c>
      <c r="G1163">
        <f>HYPERLINK("http://pbs.twimg.com/media/DcM82eGX4AA8JZD.jpg", "http://pbs.twimg.com/media/DcM82eGX4AA8JZD.jpg")</f>
        <v/>
      </c>
      <c r="H1163" t="s"/>
      <c r="I1163" t="s"/>
      <c r="J1163" t="n">
        <v>-0.3818</v>
      </c>
      <c r="K1163" t="n">
        <v>0.133</v>
      </c>
      <c r="L1163" t="n">
        <v>0.867</v>
      </c>
      <c r="M1163" t="n">
        <v>0</v>
      </c>
    </row>
    <row r="1164" spans="1:13">
      <c r="A1164" s="1">
        <f>HYPERLINK("http://www.twitter.com/NathanBLawrence/status/991703039353544705", "991703039353544705")</f>
        <v/>
      </c>
      <c r="B1164" s="2" t="n">
        <v>43222.65050925926</v>
      </c>
      <c r="C1164" t="n">
        <v>0</v>
      </c>
      <c r="D1164" t="n">
        <v>7</v>
      </c>
      <c r="E1164" t="s">
        <v>1170</v>
      </c>
      <c r="F1164">
        <f>HYPERLINK("http://pbs.twimg.com/media/DcM79T7WkAIBT7q.jpg", "http://pbs.twimg.com/media/DcM79T7WkAIBT7q.jpg")</f>
        <v/>
      </c>
      <c r="G1164">
        <f>HYPERLINK("http://pbs.twimg.com/media/DcM8hiSXUAE-8-4.jpg", "http://pbs.twimg.com/media/DcM8hiSXUAE-8-4.jpg")</f>
        <v/>
      </c>
      <c r="H1164" t="s"/>
      <c r="I1164" t="s"/>
      <c r="J1164" t="n">
        <v>-0.3818</v>
      </c>
      <c r="K1164" t="n">
        <v>0.167</v>
      </c>
      <c r="L1164" t="n">
        <v>0.833</v>
      </c>
      <c r="M1164" t="n">
        <v>0</v>
      </c>
    </row>
    <row r="1165" spans="1:13">
      <c r="A1165" s="1">
        <f>HYPERLINK("http://www.twitter.com/NathanBLawrence/status/991702954238402565", "991702954238402565")</f>
        <v/>
      </c>
      <c r="B1165" s="2" t="n">
        <v>43222.6502662037</v>
      </c>
      <c r="C1165" t="n">
        <v>4</v>
      </c>
      <c r="D1165" t="n">
        <v>7</v>
      </c>
      <c r="E1165" t="s">
        <v>1171</v>
      </c>
      <c r="F1165">
        <f>HYPERLINK("http://pbs.twimg.com/media/DcM79T7WkAIBT7q.jpg", "http://pbs.twimg.com/media/DcM79T7WkAIBT7q.jpg")</f>
        <v/>
      </c>
      <c r="G1165">
        <f>HYPERLINK("http://pbs.twimg.com/media/DcM8hiSXUAE-8-4.jpg", "http://pbs.twimg.com/media/DcM8hiSXUAE-8-4.jpg")</f>
        <v/>
      </c>
      <c r="H1165" t="s"/>
      <c r="I1165" t="s"/>
      <c r="J1165" t="n">
        <v>-0.3818</v>
      </c>
      <c r="K1165" t="n">
        <v>0.157</v>
      </c>
      <c r="L1165" t="n">
        <v>0.843</v>
      </c>
      <c r="M1165" t="n">
        <v>0</v>
      </c>
    </row>
    <row r="1166" spans="1:13">
      <c r="A1166" s="1">
        <f>HYPERLINK("http://www.twitter.com/NathanBLawrence/status/991695316050239489", "991695316050239489")</f>
        <v/>
      </c>
      <c r="B1166" s="2" t="n">
        <v>43222.62918981481</v>
      </c>
      <c r="C1166" t="n">
        <v>0</v>
      </c>
      <c r="D1166" t="n">
        <v>1</v>
      </c>
      <c r="E1166" t="s">
        <v>1172</v>
      </c>
      <c r="F1166" t="s"/>
      <c r="G1166" t="s"/>
      <c r="H1166" t="s"/>
      <c r="I1166" t="s"/>
      <c r="J1166" t="n">
        <v>0.4926</v>
      </c>
      <c r="K1166" t="n">
        <v>0</v>
      </c>
      <c r="L1166" t="n">
        <v>0.862</v>
      </c>
      <c r="M1166" t="n">
        <v>0.138</v>
      </c>
    </row>
    <row r="1167" spans="1:13">
      <c r="A1167" s="1">
        <f>HYPERLINK("http://www.twitter.com/NathanBLawrence/status/991695134814359552", "991695134814359552")</f>
        <v/>
      </c>
      <c r="B1167" s="2" t="n">
        <v>43222.62869212963</v>
      </c>
      <c r="C1167" t="n">
        <v>2</v>
      </c>
      <c r="D1167" t="n">
        <v>1</v>
      </c>
      <c r="E1167" t="s">
        <v>1173</v>
      </c>
      <c r="F1167" t="s"/>
      <c r="G1167" t="s"/>
      <c r="H1167" t="s"/>
      <c r="I1167" t="s"/>
      <c r="J1167" t="n">
        <v>0.4926</v>
      </c>
      <c r="K1167" t="n">
        <v>0</v>
      </c>
      <c r="L1167" t="n">
        <v>0.878</v>
      </c>
      <c r="M1167" t="n">
        <v>0.122</v>
      </c>
    </row>
    <row r="1168" spans="1:13">
      <c r="A1168" s="1">
        <f>HYPERLINK("http://www.twitter.com/NathanBLawrence/status/991694384222670848", "991694384222670848")</f>
        <v/>
      </c>
      <c r="B1168" s="2" t="n">
        <v>43222.62662037037</v>
      </c>
      <c r="C1168" t="n">
        <v>0</v>
      </c>
      <c r="D1168" t="n">
        <v>2</v>
      </c>
      <c r="E1168" t="s">
        <v>1174</v>
      </c>
      <c r="F1168" t="s"/>
      <c r="G1168" t="s"/>
      <c r="H1168" t="s"/>
      <c r="I1168" t="s"/>
      <c r="J1168" t="n">
        <v>0.4926</v>
      </c>
      <c r="K1168" t="n">
        <v>0</v>
      </c>
      <c r="L1168" t="n">
        <v>0.862</v>
      </c>
      <c r="M1168" t="n">
        <v>0.138</v>
      </c>
    </row>
    <row r="1169" spans="1:13">
      <c r="A1169" s="1">
        <f>HYPERLINK("http://www.twitter.com/NathanBLawrence/status/991694314563624962", "991694314563624962")</f>
        <v/>
      </c>
      <c r="B1169" s="2" t="n">
        <v>43222.62643518519</v>
      </c>
      <c r="C1169" t="n">
        <v>2</v>
      </c>
      <c r="D1169" t="n">
        <v>2</v>
      </c>
      <c r="E1169" t="s">
        <v>1175</v>
      </c>
      <c r="F1169" t="s"/>
      <c r="G1169" t="s"/>
      <c r="H1169" t="s"/>
      <c r="I1169" t="s"/>
      <c r="J1169" t="n">
        <v>0.4926</v>
      </c>
      <c r="K1169" t="n">
        <v>0</v>
      </c>
      <c r="L1169" t="n">
        <v>0.873</v>
      </c>
      <c r="M1169" t="n">
        <v>0.127</v>
      </c>
    </row>
    <row r="1170" spans="1:13">
      <c r="A1170" s="1">
        <f>HYPERLINK("http://www.twitter.com/NathanBLawrence/status/991692198772174849", "991692198772174849")</f>
        <v/>
      </c>
      <c r="B1170" s="2" t="n">
        <v>43222.62059027778</v>
      </c>
      <c r="C1170" t="n">
        <v>0</v>
      </c>
      <c r="D1170" t="n">
        <v>3</v>
      </c>
      <c r="E1170" t="s">
        <v>1176</v>
      </c>
      <c r="F1170" t="s"/>
      <c r="G1170" t="s"/>
      <c r="H1170" t="s"/>
      <c r="I1170" t="s"/>
      <c r="J1170" t="n">
        <v>0.7675999999999999</v>
      </c>
      <c r="K1170" t="n">
        <v>0.11</v>
      </c>
      <c r="L1170" t="n">
        <v>0.552</v>
      </c>
      <c r="M1170" t="n">
        <v>0.339</v>
      </c>
    </row>
    <row r="1171" spans="1:13">
      <c r="A1171" s="1">
        <f>HYPERLINK("http://www.twitter.com/NathanBLawrence/status/991692166543167488", "991692166543167488")</f>
        <v/>
      </c>
      <c r="B1171" s="2" t="n">
        <v>43222.62049768519</v>
      </c>
      <c r="C1171" t="n">
        <v>3</v>
      </c>
      <c r="D1171" t="n">
        <v>3</v>
      </c>
      <c r="E1171" t="s">
        <v>1177</v>
      </c>
      <c r="F1171" t="s"/>
      <c r="G1171" t="s"/>
      <c r="H1171" t="s"/>
      <c r="I1171" t="s"/>
      <c r="J1171" t="n">
        <v>0.7675999999999999</v>
      </c>
      <c r="K1171" t="n">
        <v>0.103</v>
      </c>
      <c r="L1171" t="n">
        <v>0.581</v>
      </c>
      <c r="M1171" t="n">
        <v>0.317</v>
      </c>
    </row>
    <row r="1172" spans="1:13">
      <c r="A1172" s="1">
        <f>HYPERLINK("http://www.twitter.com/NathanBLawrence/status/991691771406094336", "991691771406094336")</f>
        <v/>
      </c>
      <c r="B1172" s="2" t="n">
        <v>43222.61940972223</v>
      </c>
      <c r="C1172" t="n">
        <v>0</v>
      </c>
      <c r="D1172" t="n">
        <v>3</v>
      </c>
      <c r="E1172" t="s">
        <v>1178</v>
      </c>
      <c r="F1172" t="s"/>
      <c r="G1172" t="s"/>
      <c r="H1172" t="s"/>
      <c r="I1172" t="s"/>
      <c r="J1172" t="n">
        <v>0</v>
      </c>
      <c r="K1172" t="n">
        <v>0</v>
      </c>
      <c r="L1172" t="n">
        <v>1</v>
      </c>
      <c r="M1172" t="n">
        <v>0</v>
      </c>
    </row>
    <row r="1173" spans="1:13">
      <c r="A1173" s="1">
        <f>HYPERLINK("http://www.twitter.com/NathanBLawrence/status/991688094268186625", "991688094268186625")</f>
        <v/>
      </c>
      <c r="B1173" s="2" t="n">
        <v>43222.60927083333</v>
      </c>
      <c r="C1173" t="n">
        <v>0</v>
      </c>
      <c r="D1173" t="n">
        <v>2</v>
      </c>
      <c r="E1173" t="s">
        <v>1179</v>
      </c>
      <c r="F1173" t="s"/>
      <c r="G1173" t="s"/>
      <c r="H1173" t="s"/>
      <c r="I1173" t="s"/>
      <c r="J1173" t="n">
        <v>-0.8342000000000001</v>
      </c>
      <c r="K1173" t="n">
        <v>0.343</v>
      </c>
      <c r="L1173" t="n">
        <v>0.657</v>
      </c>
      <c r="M1173" t="n">
        <v>0</v>
      </c>
    </row>
    <row r="1174" spans="1:13">
      <c r="A1174" s="1">
        <f>HYPERLINK("http://www.twitter.com/NathanBLawrence/status/991688066925547523", "991688066925547523")</f>
        <v/>
      </c>
      <c r="B1174" s="2" t="n">
        <v>43222.60918981482</v>
      </c>
      <c r="C1174" t="n">
        <v>3</v>
      </c>
      <c r="D1174" t="n">
        <v>2</v>
      </c>
      <c r="E1174" t="s">
        <v>1180</v>
      </c>
      <c r="F1174" t="s"/>
      <c r="G1174" t="s"/>
      <c r="H1174" t="s"/>
      <c r="I1174" t="s"/>
      <c r="J1174" t="n">
        <v>-0.8342000000000001</v>
      </c>
      <c r="K1174" t="n">
        <v>0.318</v>
      </c>
      <c r="L1174" t="n">
        <v>0.6820000000000001</v>
      </c>
      <c r="M1174" t="n">
        <v>0</v>
      </c>
    </row>
    <row r="1175" spans="1:13">
      <c r="A1175" s="1">
        <f>HYPERLINK("http://www.twitter.com/NathanBLawrence/status/991687353277263872", "991687353277263872")</f>
        <v/>
      </c>
      <c r="B1175" s="2" t="n">
        <v>43222.60722222222</v>
      </c>
      <c r="C1175" t="n">
        <v>0</v>
      </c>
      <c r="D1175" t="n">
        <v>1</v>
      </c>
      <c r="E1175" t="s">
        <v>1181</v>
      </c>
      <c r="F1175" t="s"/>
      <c r="G1175" t="s"/>
      <c r="H1175" t="s"/>
      <c r="I1175" t="s"/>
      <c r="J1175" t="n">
        <v>0.4404</v>
      </c>
      <c r="K1175" t="n">
        <v>0</v>
      </c>
      <c r="L1175" t="n">
        <v>0.861</v>
      </c>
      <c r="M1175" t="n">
        <v>0.139</v>
      </c>
    </row>
    <row r="1176" spans="1:13">
      <c r="A1176" s="1">
        <f>HYPERLINK("http://www.twitter.com/NathanBLawrence/status/991687329613012993", "991687329613012993")</f>
        <v/>
      </c>
      <c r="B1176" s="2" t="n">
        <v>43222.60715277777</v>
      </c>
      <c r="C1176" t="n">
        <v>2</v>
      </c>
      <c r="D1176" t="n">
        <v>1</v>
      </c>
      <c r="E1176" t="s">
        <v>1182</v>
      </c>
      <c r="F1176" t="s"/>
      <c r="G1176" t="s"/>
      <c r="H1176" t="s"/>
      <c r="I1176" t="s"/>
      <c r="J1176" t="n">
        <v>-0.672</v>
      </c>
      <c r="K1176" t="n">
        <v>0.22</v>
      </c>
      <c r="L1176" t="n">
        <v>0.705</v>
      </c>
      <c r="M1176" t="n">
        <v>0.076</v>
      </c>
    </row>
    <row r="1177" spans="1:13">
      <c r="A1177" s="1">
        <f>HYPERLINK("http://www.twitter.com/NathanBLawrence/status/991660180373999616", "991660180373999616")</f>
        <v/>
      </c>
      <c r="B1177" s="2" t="n">
        <v>43222.53223379629</v>
      </c>
      <c r="C1177" t="n">
        <v>0</v>
      </c>
      <c r="D1177" t="n">
        <v>7</v>
      </c>
      <c r="E1177" t="s">
        <v>1183</v>
      </c>
      <c r="F1177">
        <f>HYPERLINK("http://pbs.twimg.com/media/DcMVo5xXUAAhmN6.jpg", "http://pbs.twimg.com/media/DcMVo5xXUAAhmN6.jpg")</f>
        <v/>
      </c>
      <c r="G1177" t="s"/>
      <c r="H1177" t="s"/>
      <c r="I1177" t="s"/>
      <c r="J1177" t="n">
        <v>-0.296</v>
      </c>
      <c r="K1177" t="n">
        <v>0.08400000000000001</v>
      </c>
      <c r="L1177" t="n">
        <v>0.916</v>
      </c>
      <c r="M1177" t="n">
        <v>0</v>
      </c>
    </row>
    <row r="1178" spans="1:13">
      <c r="A1178" s="1">
        <f>HYPERLINK("http://www.twitter.com/NathanBLawrence/status/991660152943271936", "991660152943271936")</f>
        <v/>
      </c>
      <c r="B1178" s="2" t="n">
        <v>43222.53216435185</v>
      </c>
      <c r="C1178" t="n">
        <v>5</v>
      </c>
      <c r="D1178" t="n">
        <v>7</v>
      </c>
      <c r="E1178" t="s">
        <v>1184</v>
      </c>
      <c r="F1178">
        <f>HYPERLINK("http://pbs.twimg.com/media/DcMVo5xXUAAhmN6.jpg", "http://pbs.twimg.com/media/DcMVo5xXUAAhmN6.jpg")</f>
        <v/>
      </c>
      <c r="G1178" t="s"/>
      <c r="H1178" t="s"/>
      <c r="I1178" t="s"/>
      <c r="J1178" t="n">
        <v>-0.6298</v>
      </c>
      <c r="K1178" t="n">
        <v>0.109</v>
      </c>
      <c r="L1178" t="n">
        <v>0.891</v>
      </c>
      <c r="M1178" t="n">
        <v>0</v>
      </c>
    </row>
    <row r="1179" spans="1:13">
      <c r="A1179" s="1">
        <f>HYPERLINK("http://www.twitter.com/NathanBLawrence/status/991655930810060800", "991655930810060800")</f>
        <v/>
      </c>
      <c r="B1179" s="2" t="n">
        <v>43222.52050925926</v>
      </c>
      <c r="C1179" t="n">
        <v>0</v>
      </c>
      <c r="D1179" t="n">
        <v>2</v>
      </c>
      <c r="E1179" t="s">
        <v>1185</v>
      </c>
      <c r="F1179" t="s"/>
      <c r="G1179" t="s"/>
      <c r="H1179" t="s"/>
      <c r="I1179" t="s"/>
      <c r="J1179" t="n">
        <v>-0.3595</v>
      </c>
      <c r="K1179" t="n">
        <v>0.172</v>
      </c>
      <c r="L1179" t="n">
        <v>0.828</v>
      </c>
      <c r="M1179" t="n">
        <v>0</v>
      </c>
    </row>
    <row r="1180" spans="1:13">
      <c r="A1180" s="1">
        <f>HYPERLINK("http://www.twitter.com/NathanBLawrence/status/991655879127830528", "991655879127830528")</f>
        <v/>
      </c>
      <c r="B1180" s="2" t="n">
        <v>43222.52037037037</v>
      </c>
      <c r="C1180" t="n">
        <v>1</v>
      </c>
      <c r="D1180" t="n">
        <v>2</v>
      </c>
      <c r="E1180" t="s">
        <v>1186</v>
      </c>
      <c r="F1180" t="s"/>
      <c r="G1180" t="s"/>
      <c r="H1180" t="s"/>
      <c r="I1180" t="s"/>
      <c r="J1180" t="n">
        <v>-0.3595</v>
      </c>
      <c r="K1180" t="n">
        <v>0.199</v>
      </c>
      <c r="L1180" t="n">
        <v>0.801</v>
      </c>
      <c r="M1180" t="n">
        <v>0</v>
      </c>
    </row>
    <row r="1181" spans="1:13">
      <c r="A1181" s="1">
        <f>HYPERLINK("http://www.twitter.com/NathanBLawrence/status/991654474447032321", "991654474447032321")</f>
        <v/>
      </c>
      <c r="B1181" s="2" t="n">
        <v>43222.51649305555</v>
      </c>
      <c r="C1181" t="n">
        <v>0</v>
      </c>
      <c r="D1181" t="n">
        <v>2</v>
      </c>
      <c r="E1181" t="s">
        <v>1187</v>
      </c>
      <c r="F1181" t="s"/>
      <c r="G1181" t="s"/>
      <c r="H1181" t="s"/>
      <c r="I1181" t="s"/>
      <c r="J1181" t="n">
        <v>-0.5709</v>
      </c>
      <c r="K1181" t="n">
        <v>0.15</v>
      </c>
      <c r="L1181" t="n">
        <v>0.85</v>
      </c>
      <c r="M1181" t="n">
        <v>0</v>
      </c>
    </row>
    <row r="1182" spans="1:13">
      <c r="A1182" s="1">
        <f>HYPERLINK("http://www.twitter.com/NathanBLawrence/status/991654424052490240", "991654424052490240")</f>
        <v/>
      </c>
      <c r="B1182" s="2" t="n">
        <v>43222.51635416667</v>
      </c>
      <c r="C1182" t="n">
        <v>4</v>
      </c>
      <c r="D1182" t="n">
        <v>2</v>
      </c>
      <c r="E1182" t="s">
        <v>1188</v>
      </c>
      <c r="F1182" t="s"/>
      <c r="G1182" t="s"/>
      <c r="H1182" t="s"/>
      <c r="I1182" t="s"/>
      <c r="J1182" t="n">
        <v>-0.4561</v>
      </c>
      <c r="K1182" t="n">
        <v>0.114</v>
      </c>
      <c r="L1182" t="n">
        <v>0.829</v>
      </c>
      <c r="M1182" t="n">
        <v>0.057</v>
      </c>
    </row>
    <row r="1183" spans="1:13">
      <c r="A1183" s="1">
        <f>HYPERLINK("http://www.twitter.com/NathanBLawrence/status/991635982016446470", "991635982016446470")</f>
        <v/>
      </c>
      <c r="B1183" s="2" t="n">
        <v>43222.46546296297</v>
      </c>
      <c r="C1183" t="n">
        <v>0</v>
      </c>
      <c r="D1183" t="n">
        <v>3</v>
      </c>
      <c r="E1183" t="s">
        <v>1189</v>
      </c>
      <c r="F1183" t="s"/>
      <c r="G1183" t="s"/>
      <c r="H1183" t="s"/>
      <c r="I1183" t="s"/>
      <c r="J1183" t="n">
        <v>0.5574</v>
      </c>
      <c r="K1183" t="n">
        <v>0</v>
      </c>
      <c r="L1183" t="n">
        <v>0.805</v>
      </c>
      <c r="M1183" t="n">
        <v>0.195</v>
      </c>
    </row>
    <row r="1184" spans="1:13">
      <c r="A1184" s="1">
        <f>HYPERLINK("http://www.twitter.com/NathanBLawrence/status/991632373690372096", "991632373690372096")</f>
        <v/>
      </c>
      <c r="B1184" s="2" t="n">
        <v>43222.45550925926</v>
      </c>
      <c r="C1184" t="n">
        <v>0</v>
      </c>
      <c r="D1184" t="n">
        <v>3</v>
      </c>
      <c r="E1184" t="s">
        <v>1190</v>
      </c>
      <c r="F1184">
        <f>HYPERLINK("http://pbs.twimg.com/media/DcJYgrKXcAEL8yB.jpg", "http://pbs.twimg.com/media/DcJYgrKXcAEL8yB.jpg")</f>
        <v/>
      </c>
      <c r="G1184" t="s"/>
      <c r="H1184" t="s"/>
      <c r="I1184" t="s"/>
      <c r="J1184" t="n">
        <v>0</v>
      </c>
      <c r="K1184" t="n">
        <v>0</v>
      </c>
      <c r="L1184" t="n">
        <v>1</v>
      </c>
      <c r="M1184" t="n">
        <v>0</v>
      </c>
    </row>
    <row r="1185" spans="1:13">
      <c r="A1185" s="1">
        <f>HYPERLINK("http://www.twitter.com/NathanBLawrence/status/991630081335398400", "991630081335398400")</f>
        <v/>
      </c>
      <c r="B1185" s="2" t="n">
        <v>43222.44917824074</v>
      </c>
      <c r="C1185" t="n">
        <v>0</v>
      </c>
      <c r="D1185" t="n">
        <v>1</v>
      </c>
      <c r="E1185" t="s">
        <v>1191</v>
      </c>
      <c r="F1185" t="s"/>
      <c r="G1185" t="s"/>
      <c r="H1185" t="s"/>
      <c r="I1185" t="s"/>
      <c r="J1185" t="n">
        <v>0</v>
      </c>
      <c r="K1185" t="n">
        <v>0</v>
      </c>
      <c r="L1185" t="n">
        <v>1</v>
      </c>
      <c r="M1185" t="n">
        <v>0</v>
      </c>
    </row>
    <row r="1186" spans="1:13">
      <c r="A1186" s="1">
        <f>HYPERLINK("http://www.twitter.com/NathanBLawrence/status/991630069146767362", "991630069146767362")</f>
        <v/>
      </c>
      <c r="B1186" s="2" t="n">
        <v>43222.44914351852</v>
      </c>
      <c r="C1186" t="n">
        <v>0</v>
      </c>
      <c r="D1186" t="n">
        <v>3</v>
      </c>
      <c r="E1186" t="s">
        <v>1192</v>
      </c>
      <c r="F1186" t="s"/>
      <c r="G1186" t="s"/>
      <c r="H1186" t="s"/>
      <c r="I1186" t="s"/>
      <c r="J1186" t="n">
        <v>0.4449</v>
      </c>
      <c r="K1186" t="n">
        <v>0</v>
      </c>
      <c r="L1186" t="n">
        <v>0.887</v>
      </c>
      <c r="M1186" t="n">
        <v>0.113</v>
      </c>
    </row>
    <row r="1187" spans="1:13">
      <c r="A1187" s="1">
        <f>HYPERLINK("http://www.twitter.com/NathanBLawrence/status/991629413493215232", "991629413493215232")</f>
        <v/>
      </c>
      <c r="B1187" s="2" t="n">
        <v>43222.44733796296</v>
      </c>
      <c r="C1187" t="n">
        <v>0</v>
      </c>
      <c r="D1187" t="n">
        <v>1</v>
      </c>
      <c r="E1187" t="s">
        <v>1193</v>
      </c>
      <c r="F1187" t="s"/>
      <c r="G1187" t="s"/>
      <c r="H1187" t="s"/>
      <c r="I1187" t="s"/>
      <c r="J1187" t="n">
        <v>0</v>
      </c>
      <c r="K1187" t="n">
        <v>0</v>
      </c>
      <c r="L1187" t="n">
        <v>1</v>
      </c>
      <c r="M1187" t="n">
        <v>0</v>
      </c>
    </row>
    <row r="1188" spans="1:13">
      <c r="A1188" s="1">
        <f>HYPERLINK("http://www.twitter.com/NathanBLawrence/status/991629403376553984", "991629403376553984")</f>
        <v/>
      </c>
      <c r="B1188" s="2" t="n">
        <v>43222.44731481482</v>
      </c>
      <c r="C1188" t="n">
        <v>0</v>
      </c>
      <c r="D1188" t="n">
        <v>2</v>
      </c>
      <c r="E1188" t="s">
        <v>1194</v>
      </c>
      <c r="F1188" t="s"/>
      <c r="G1188" t="s"/>
      <c r="H1188" t="s"/>
      <c r="I1188" t="s"/>
      <c r="J1188" t="n">
        <v>0</v>
      </c>
      <c r="K1188" t="n">
        <v>0</v>
      </c>
      <c r="L1188" t="n">
        <v>1</v>
      </c>
      <c r="M1188" t="n">
        <v>0</v>
      </c>
    </row>
    <row r="1189" spans="1:13">
      <c r="A1189" s="1">
        <f>HYPERLINK("http://www.twitter.com/NathanBLawrence/status/991629269339164672", "991629269339164672")</f>
        <v/>
      </c>
      <c r="B1189" s="2" t="n">
        <v>43222.44694444445</v>
      </c>
      <c r="C1189" t="n">
        <v>2</v>
      </c>
      <c r="D1189" t="n">
        <v>2</v>
      </c>
      <c r="E1189" t="s">
        <v>1195</v>
      </c>
      <c r="F1189" t="s"/>
      <c r="G1189" t="s"/>
      <c r="H1189" t="s"/>
      <c r="I1189" t="s"/>
      <c r="J1189" t="n">
        <v>0</v>
      </c>
      <c r="K1189" t="n">
        <v>0</v>
      </c>
      <c r="L1189" t="n">
        <v>1</v>
      </c>
      <c r="M1189" t="n">
        <v>0</v>
      </c>
    </row>
    <row r="1190" spans="1:13">
      <c r="A1190" s="1">
        <f>HYPERLINK("http://www.twitter.com/NathanBLawrence/status/991629216906141701", "991629216906141701")</f>
        <v/>
      </c>
      <c r="B1190" s="2" t="n">
        <v>43222.44679398148</v>
      </c>
      <c r="C1190" t="n">
        <v>0</v>
      </c>
      <c r="D1190" t="n">
        <v>1</v>
      </c>
      <c r="E1190" t="s">
        <v>1196</v>
      </c>
      <c r="F1190" t="s"/>
      <c r="G1190" t="s"/>
      <c r="H1190" t="s"/>
      <c r="I1190" t="s"/>
      <c r="J1190" t="n">
        <v>0</v>
      </c>
      <c r="K1190" t="n">
        <v>0</v>
      </c>
      <c r="L1190" t="n">
        <v>1</v>
      </c>
      <c r="M1190" t="n">
        <v>0</v>
      </c>
    </row>
    <row r="1191" spans="1:13">
      <c r="A1191" s="1">
        <f>HYPERLINK("http://www.twitter.com/NathanBLawrence/status/991606436345073664", "991606436345073664")</f>
        <v/>
      </c>
      <c r="B1191" s="2" t="n">
        <v>43222.38393518519</v>
      </c>
      <c r="C1191" t="n">
        <v>0</v>
      </c>
      <c r="D1191" t="n">
        <v>4</v>
      </c>
      <c r="E1191" t="s">
        <v>1197</v>
      </c>
      <c r="F1191" t="s"/>
      <c r="G1191" t="s"/>
      <c r="H1191" t="s"/>
      <c r="I1191" t="s"/>
      <c r="J1191" t="n">
        <v>0</v>
      </c>
      <c r="K1191" t="n">
        <v>0</v>
      </c>
      <c r="L1191" t="n">
        <v>1</v>
      </c>
      <c r="M1191" t="n">
        <v>0</v>
      </c>
    </row>
    <row r="1192" spans="1:13">
      <c r="A1192" s="1">
        <f>HYPERLINK("http://www.twitter.com/NathanBLawrence/status/991590993769238529", "991590993769238529")</f>
        <v/>
      </c>
      <c r="B1192" s="2" t="n">
        <v>43222.34131944444</v>
      </c>
      <c r="C1192" t="n">
        <v>0</v>
      </c>
      <c r="D1192" t="n">
        <v>2</v>
      </c>
      <c r="E1192" t="s">
        <v>1198</v>
      </c>
      <c r="F1192" t="s"/>
      <c r="G1192" t="s"/>
      <c r="H1192" t="s"/>
      <c r="I1192" t="s"/>
      <c r="J1192" t="n">
        <v>0.4019</v>
      </c>
      <c r="K1192" t="n">
        <v>0</v>
      </c>
      <c r="L1192" t="n">
        <v>0.881</v>
      </c>
      <c r="M1192" t="n">
        <v>0.119</v>
      </c>
    </row>
    <row r="1193" spans="1:13">
      <c r="A1193" s="1">
        <f>HYPERLINK("http://www.twitter.com/NathanBLawrence/status/991590920972898305", "991590920972898305")</f>
        <v/>
      </c>
      <c r="B1193" s="2" t="n">
        <v>43222.34112268518</v>
      </c>
      <c r="C1193" t="n">
        <v>0</v>
      </c>
      <c r="D1193" t="n">
        <v>2</v>
      </c>
      <c r="E1193" t="s">
        <v>1199</v>
      </c>
      <c r="F1193" t="s"/>
      <c r="G1193" t="s"/>
      <c r="H1193" t="s"/>
      <c r="I1193" t="s"/>
      <c r="J1193" t="n">
        <v>0.4767</v>
      </c>
      <c r="K1193" t="n">
        <v>0</v>
      </c>
      <c r="L1193" t="n">
        <v>0.86</v>
      </c>
      <c r="M1193" t="n">
        <v>0.14</v>
      </c>
    </row>
    <row r="1194" spans="1:13">
      <c r="A1194" s="1">
        <f>HYPERLINK("http://www.twitter.com/NathanBLawrence/status/991518250952544256", "991518250952544256")</f>
        <v/>
      </c>
      <c r="B1194" s="2" t="n">
        <v>43222.14059027778</v>
      </c>
      <c r="C1194" t="n">
        <v>0</v>
      </c>
      <c r="D1194" t="n">
        <v>13</v>
      </c>
      <c r="E1194" t="s">
        <v>1200</v>
      </c>
      <c r="F1194">
        <f>HYPERLINK("http://pbs.twimg.com/media/DcKUW7mWAAA7Osp.jpg", "http://pbs.twimg.com/media/DcKUW7mWAAA7Osp.jpg")</f>
        <v/>
      </c>
      <c r="G1194" t="s"/>
      <c r="H1194" t="s"/>
      <c r="I1194" t="s"/>
      <c r="J1194" t="n">
        <v>0.4404</v>
      </c>
      <c r="K1194" t="n">
        <v>0</v>
      </c>
      <c r="L1194" t="n">
        <v>0.854</v>
      </c>
      <c r="M1194" t="n">
        <v>0.146</v>
      </c>
    </row>
    <row r="1195" spans="1:13">
      <c r="A1195" s="1">
        <f>HYPERLINK("http://www.twitter.com/NathanBLawrence/status/991510829660065792", "991510829660065792")</f>
        <v/>
      </c>
      <c r="B1195" s="2" t="n">
        <v>43222.12010416666</v>
      </c>
      <c r="C1195" t="n">
        <v>0</v>
      </c>
      <c r="D1195" t="n">
        <v>1</v>
      </c>
      <c r="E1195" t="s">
        <v>1201</v>
      </c>
      <c r="F1195" t="s"/>
      <c r="G1195" t="s"/>
      <c r="H1195" t="s"/>
      <c r="I1195" t="s"/>
      <c r="J1195" t="n">
        <v>0.6588000000000001</v>
      </c>
      <c r="K1195" t="n">
        <v>0</v>
      </c>
      <c r="L1195" t="n">
        <v>0.532</v>
      </c>
      <c r="M1195" t="n">
        <v>0.468</v>
      </c>
    </row>
    <row r="1196" spans="1:13">
      <c r="A1196" s="1">
        <f>HYPERLINK("http://www.twitter.com/NathanBLawrence/status/991479342084579328", "991479342084579328")</f>
        <v/>
      </c>
      <c r="B1196" s="2" t="n">
        <v>43222.03321759259</v>
      </c>
      <c r="C1196" t="n">
        <v>0</v>
      </c>
      <c r="D1196" t="n">
        <v>1</v>
      </c>
      <c r="E1196" t="s">
        <v>1202</v>
      </c>
      <c r="F1196" t="s"/>
      <c r="G1196" t="s"/>
      <c r="H1196" t="s"/>
      <c r="I1196" t="s"/>
      <c r="J1196" t="n">
        <v>-0.4926</v>
      </c>
      <c r="K1196" t="n">
        <v>0.39</v>
      </c>
      <c r="L1196" t="n">
        <v>0.61</v>
      </c>
      <c r="M1196" t="n">
        <v>0</v>
      </c>
    </row>
    <row r="1197" spans="1:13">
      <c r="A1197" s="1">
        <f>HYPERLINK("http://www.twitter.com/NathanBLawrence/status/991478260239425536", "991478260239425536")</f>
        <v/>
      </c>
      <c r="B1197" s="2" t="n">
        <v>43222.03023148148</v>
      </c>
      <c r="C1197" t="n">
        <v>0</v>
      </c>
      <c r="D1197" t="n">
        <v>1</v>
      </c>
      <c r="E1197" t="s">
        <v>1203</v>
      </c>
      <c r="F1197" t="s"/>
      <c r="G1197" t="s"/>
      <c r="H1197" t="s"/>
      <c r="I1197" t="s"/>
      <c r="J1197" t="n">
        <v>-0.5562</v>
      </c>
      <c r="K1197" t="n">
        <v>0.216</v>
      </c>
      <c r="L1197" t="n">
        <v>0.784</v>
      </c>
      <c r="M1197" t="n">
        <v>0</v>
      </c>
    </row>
    <row r="1198" spans="1:13">
      <c r="A1198" s="1">
        <f>HYPERLINK("http://www.twitter.com/NathanBLawrence/status/991476092329439232", "991476092329439232")</f>
        <v/>
      </c>
      <c r="B1198" s="2" t="n">
        <v>43222.02424768519</v>
      </c>
      <c r="C1198" t="n">
        <v>0</v>
      </c>
      <c r="D1198" t="n">
        <v>5</v>
      </c>
      <c r="E1198" t="s">
        <v>1204</v>
      </c>
      <c r="F1198" t="s"/>
      <c r="G1198" t="s"/>
      <c r="H1198" t="s"/>
      <c r="I1198" t="s"/>
      <c r="J1198" t="n">
        <v>0.8481</v>
      </c>
      <c r="K1198" t="n">
        <v>0</v>
      </c>
      <c r="L1198" t="n">
        <v>0.545</v>
      </c>
      <c r="M1198" t="n">
        <v>0.455</v>
      </c>
    </row>
    <row r="1199" spans="1:13">
      <c r="A1199" s="1">
        <f>HYPERLINK("http://www.twitter.com/NathanBLawrence/status/991475713197924358", "991475713197924358")</f>
        <v/>
      </c>
      <c r="B1199" s="2" t="n">
        <v>43222.02320601852</v>
      </c>
      <c r="C1199" t="n">
        <v>0</v>
      </c>
      <c r="D1199" t="n">
        <v>4</v>
      </c>
      <c r="E1199" t="s">
        <v>1205</v>
      </c>
      <c r="F1199" t="s"/>
      <c r="G1199" t="s"/>
      <c r="H1199" t="s"/>
      <c r="I1199" t="s"/>
      <c r="J1199" t="n">
        <v>0</v>
      </c>
      <c r="K1199" t="n">
        <v>0</v>
      </c>
      <c r="L1199" t="n">
        <v>1</v>
      </c>
      <c r="M1199" t="n">
        <v>0</v>
      </c>
    </row>
    <row r="1200" spans="1:13">
      <c r="A1200" s="1">
        <f>HYPERLINK("http://www.twitter.com/NathanBLawrence/status/991467928792043520", "991467928792043520")</f>
        <v/>
      </c>
      <c r="B1200" s="2" t="n">
        <v>43222.00172453704</v>
      </c>
      <c r="C1200" t="n">
        <v>0</v>
      </c>
      <c r="D1200" t="n">
        <v>2</v>
      </c>
      <c r="E1200" t="s">
        <v>1206</v>
      </c>
      <c r="F1200" t="s"/>
      <c r="G1200" t="s"/>
      <c r="H1200" t="s"/>
      <c r="I1200" t="s"/>
      <c r="J1200" t="n">
        <v>0.5707</v>
      </c>
      <c r="K1200" t="n">
        <v>0</v>
      </c>
      <c r="L1200" t="n">
        <v>0.836</v>
      </c>
      <c r="M1200" t="n">
        <v>0.164</v>
      </c>
    </row>
    <row r="1201" spans="1:13">
      <c r="A1201" s="1">
        <f>HYPERLINK("http://www.twitter.com/NathanBLawrence/status/991467898936922114", "991467898936922114")</f>
        <v/>
      </c>
      <c r="B1201" s="2" t="n">
        <v>43222.00164351852</v>
      </c>
      <c r="C1201" t="n">
        <v>3</v>
      </c>
      <c r="D1201" t="n">
        <v>2</v>
      </c>
      <c r="E1201" t="s">
        <v>1207</v>
      </c>
      <c r="F1201" t="s"/>
      <c r="G1201" t="s"/>
      <c r="H1201" t="s"/>
      <c r="I1201" t="s"/>
      <c r="J1201" t="n">
        <v>0.8101</v>
      </c>
      <c r="K1201" t="n">
        <v>0.035</v>
      </c>
      <c r="L1201" t="n">
        <v>0.781</v>
      </c>
      <c r="M1201" t="n">
        <v>0.184</v>
      </c>
    </row>
    <row r="1202" spans="1:13">
      <c r="A1202" s="1">
        <f>HYPERLINK("http://www.twitter.com/NathanBLawrence/status/991463742922723329", "991463742922723329")</f>
        <v/>
      </c>
      <c r="B1202" s="2" t="n">
        <v>43221.99017361111</v>
      </c>
      <c r="C1202" t="n">
        <v>0</v>
      </c>
      <c r="D1202" t="n">
        <v>2</v>
      </c>
      <c r="E1202" t="s">
        <v>1208</v>
      </c>
      <c r="F1202" t="s"/>
      <c r="G1202" t="s"/>
      <c r="H1202" t="s"/>
      <c r="I1202" t="s"/>
      <c r="J1202" t="n">
        <v>0</v>
      </c>
      <c r="K1202" t="n">
        <v>0</v>
      </c>
      <c r="L1202" t="n">
        <v>1</v>
      </c>
      <c r="M1202" t="n">
        <v>0</v>
      </c>
    </row>
    <row r="1203" spans="1:13">
      <c r="A1203" s="1">
        <f>HYPERLINK("http://www.twitter.com/NathanBLawrence/status/991463696034664449", "991463696034664449")</f>
        <v/>
      </c>
      <c r="B1203" s="2" t="n">
        <v>43221.9900462963</v>
      </c>
      <c r="C1203" t="n">
        <v>6</v>
      </c>
      <c r="D1203" t="n">
        <v>2</v>
      </c>
      <c r="E1203" t="s">
        <v>1209</v>
      </c>
      <c r="F1203" t="s"/>
      <c r="G1203" t="s"/>
      <c r="H1203" t="s"/>
      <c r="I1203" t="s"/>
      <c r="J1203" t="n">
        <v>-0.22</v>
      </c>
      <c r="K1203" t="n">
        <v>0.052</v>
      </c>
      <c r="L1203" t="n">
        <v>0.914</v>
      </c>
      <c r="M1203" t="n">
        <v>0.034</v>
      </c>
    </row>
    <row r="1204" spans="1:13">
      <c r="A1204" s="1">
        <f>HYPERLINK("http://www.twitter.com/NathanBLawrence/status/991443209648857089", "991443209648857089")</f>
        <v/>
      </c>
      <c r="B1204" s="2" t="n">
        <v>43221.93350694444</v>
      </c>
      <c r="C1204" t="n">
        <v>0</v>
      </c>
      <c r="D1204" t="n">
        <v>12</v>
      </c>
      <c r="E1204" t="s">
        <v>1210</v>
      </c>
      <c r="F1204">
        <f>HYPERLINK("http://pbs.twimg.com/media/DcJPxa6XkAAtM2v.jpg", "http://pbs.twimg.com/media/DcJPxa6XkAAtM2v.jpg")</f>
        <v/>
      </c>
      <c r="G1204">
        <f>HYPERLINK("http://pbs.twimg.com/media/DcJPxa1WkAA61X8.jpg", "http://pbs.twimg.com/media/DcJPxa1WkAA61X8.jpg")</f>
        <v/>
      </c>
      <c r="H1204">
        <f>HYPERLINK("http://pbs.twimg.com/media/DcJPxa7WsAAhNiX.jpg", "http://pbs.twimg.com/media/DcJPxa7WsAAhNiX.jpg")</f>
        <v/>
      </c>
      <c r="I1204">
        <f>HYPERLINK("http://pbs.twimg.com/media/DcJPxbTX0AEdE77.jpg", "http://pbs.twimg.com/media/DcJPxbTX0AEdE77.jpg")</f>
        <v/>
      </c>
      <c r="J1204" t="n">
        <v>0</v>
      </c>
      <c r="K1204" t="n">
        <v>0</v>
      </c>
      <c r="L1204" t="n">
        <v>1</v>
      </c>
      <c r="M1204" t="n">
        <v>0</v>
      </c>
    </row>
    <row r="1205" spans="1:13">
      <c r="A1205" s="1">
        <f>HYPERLINK("http://www.twitter.com/NathanBLawrence/status/991430309001465856", "991430309001465856")</f>
        <v/>
      </c>
      <c r="B1205" s="2" t="n">
        <v>43221.89791666667</v>
      </c>
      <c r="C1205" t="n">
        <v>0</v>
      </c>
      <c r="D1205" t="n">
        <v>1</v>
      </c>
      <c r="E1205" t="s">
        <v>1211</v>
      </c>
      <c r="F1205" t="s"/>
      <c r="G1205" t="s"/>
      <c r="H1205" t="s"/>
      <c r="I1205" t="s"/>
      <c r="J1205" t="n">
        <v>-0.3382</v>
      </c>
      <c r="K1205" t="n">
        <v>0.224</v>
      </c>
      <c r="L1205" t="n">
        <v>0.619</v>
      </c>
      <c r="M1205" t="n">
        <v>0.157</v>
      </c>
    </row>
    <row r="1206" spans="1:13">
      <c r="A1206" s="1">
        <f>HYPERLINK("http://www.twitter.com/NathanBLawrence/status/991424826903597056", "991424826903597056")</f>
        <v/>
      </c>
      <c r="B1206" s="2" t="n">
        <v>43221.88278935185</v>
      </c>
      <c r="C1206" t="n">
        <v>0</v>
      </c>
      <c r="D1206" t="n">
        <v>5</v>
      </c>
      <c r="E1206" t="s">
        <v>1212</v>
      </c>
      <c r="F1206" t="s"/>
      <c r="G1206" t="s"/>
      <c r="H1206" t="s"/>
      <c r="I1206" t="s"/>
      <c r="J1206" t="n">
        <v>0.2023</v>
      </c>
      <c r="K1206" t="n">
        <v>0</v>
      </c>
      <c r="L1206" t="n">
        <v>0.859</v>
      </c>
      <c r="M1206" t="n">
        <v>0.141</v>
      </c>
    </row>
    <row r="1207" spans="1:13">
      <c r="A1207" s="1">
        <f>HYPERLINK("http://www.twitter.com/NathanBLawrence/status/991411978898993152", "991411978898993152")</f>
        <v/>
      </c>
      <c r="B1207" s="2" t="n">
        <v>43221.84732638889</v>
      </c>
      <c r="C1207" t="n">
        <v>0</v>
      </c>
      <c r="D1207" t="n">
        <v>3</v>
      </c>
      <c r="E1207" t="s">
        <v>1213</v>
      </c>
      <c r="F1207" t="s"/>
      <c r="G1207" t="s"/>
      <c r="H1207" t="s"/>
      <c r="I1207" t="s"/>
      <c r="J1207" t="n">
        <v>0.8687</v>
      </c>
      <c r="K1207" t="n">
        <v>0</v>
      </c>
      <c r="L1207" t="n">
        <v>0.551</v>
      </c>
      <c r="M1207" t="n">
        <v>0.449</v>
      </c>
    </row>
    <row r="1208" spans="1:13">
      <c r="A1208" s="1">
        <f>HYPERLINK("http://www.twitter.com/NathanBLawrence/status/991411745016238085", "991411745016238085")</f>
        <v/>
      </c>
      <c r="B1208" s="2" t="n">
        <v>43221.84668981482</v>
      </c>
      <c r="C1208" t="n">
        <v>0</v>
      </c>
      <c r="D1208" t="n">
        <v>9</v>
      </c>
      <c r="E1208" t="s">
        <v>1214</v>
      </c>
      <c r="F1208" t="s"/>
      <c r="G1208" t="s"/>
      <c r="H1208" t="s"/>
      <c r="I1208" t="s"/>
      <c r="J1208" t="n">
        <v>0.2023</v>
      </c>
      <c r="K1208" t="n">
        <v>0.118</v>
      </c>
      <c r="L1208" t="n">
        <v>0.6909999999999999</v>
      </c>
      <c r="M1208" t="n">
        <v>0.191</v>
      </c>
    </row>
    <row r="1209" spans="1:13">
      <c r="A1209" s="1">
        <f>HYPERLINK("http://www.twitter.com/NathanBLawrence/status/991409538552287232", "991409538552287232")</f>
        <v/>
      </c>
      <c r="B1209" s="2" t="n">
        <v>43221.84060185185</v>
      </c>
      <c r="C1209" t="n">
        <v>0</v>
      </c>
      <c r="D1209" t="n">
        <v>12</v>
      </c>
      <c r="E1209" t="s">
        <v>1215</v>
      </c>
      <c r="F1209" t="s"/>
      <c r="G1209" t="s"/>
      <c r="H1209" t="s"/>
      <c r="I1209" t="s"/>
      <c r="J1209" t="n">
        <v>0.4019</v>
      </c>
      <c r="K1209" t="n">
        <v>0</v>
      </c>
      <c r="L1209" t="n">
        <v>0.803</v>
      </c>
      <c r="M1209" t="n">
        <v>0.197</v>
      </c>
    </row>
    <row r="1210" spans="1:13">
      <c r="A1210" s="1">
        <f>HYPERLINK("http://www.twitter.com/NathanBLawrence/status/991409453655314433", "991409453655314433")</f>
        <v/>
      </c>
      <c r="B1210" s="2" t="n">
        <v>43221.8403587963</v>
      </c>
      <c r="C1210" t="n">
        <v>0</v>
      </c>
      <c r="D1210" t="n">
        <v>13</v>
      </c>
      <c r="E1210" t="s">
        <v>1216</v>
      </c>
      <c r="F1210">
        <f>HYPERLINK("http://pbs.twimg.com/media/DcHyA84X0AAHWib.jpg", "http://pbs.twimg.com/media/DcHyA84X0AAHWib.jpg")</f>
        <v/>
      </c>
      <c r="G1210" t="s"/>
      <c r="H1210" t="s"/>
      <c r="I1210" t="s"/>
      <c r="J1210" t="n">
        <v>0.8201000000000001</v>
      </c>
      <c r="K1210" t="n">
        <v>0</v>
      </c>
      <c r="L1210" t="n">
        <v>0.63</v>
      </c>
      <c r="M1210" t="n">
        <v>0.37</v>
      </c>
    </row>
    <row r="1211" spans="1:13">
      <c r="A1211" s="1">
        <f>HYPERLINK("http://www.twitter.com/NathanBLawrence/status/991406449703247873", "991406449703247873")</f>
        <v/>
      </c>
      <c r="B1211" s="2" t="n">
        <v>43221.83207175926</v>
      </c>
      <c r="C1211" t="n">
        <v>0</v>
      </c>
      <c r="D1211" t="n">
        <v>1</v>
      </c>
      <c r="E1211" t="s">
        <v>1217</v>
      </c>
      <c r="F1211" t="s"/>
      <c r="G1211" t="s"/>
      <c r="H1211" t="s"/>
      <c r="I1211" t="s"/>
      <c r="J1211" t="n">
        <v>-0.8126</v>
      </c>
      <c r="K1211" t="n">
        <v>0.393</v>
      </c>
      <c r="L1211" t="n">
        <v>0.607</v>
      </c>
      <c r="M1211" t="n">
        <v>0</v>
      </c>
    </row>
    <row r="1212" spans="1:13">
      <c r="A1212" s="1">
        <f>HYPERLINK("http://www.twitter.com/NathanBLawrence/status/991406325119766530", "991406325119766530")</f>
        <v/>
      </c>
      <c r="B1212" s="2" t="n">
        <v>43221.83173611111</v>
      </c>
      <c r="C1212" t="n">
        <v>1</v>
      </c>
      <c r="D1212" t="n">
        <v>1</v>
      </c>
      <c r="E1212" t="s">
        <v>1218</v>
      </c>
      <c r="F1212" t="s"/>
      <c r="G1212" t="s"/>
      <c r="H1212" t="s"/>
      <c r="I1212" t="s"/>
      <c r="J1212" t="n">
        <v>-0.8442</v>
      </c>
      <c r="K1212" t="n">
        <v>0.288</v>
      </c>
      <c r="L1212" t="n">
        <v>0.712</v>
      </c>
      <c r="M1212" t="n">
        <v>0</v>
      </c>
    </row>
    <row r="1213" spans="1:13">
      <c r="A1213" s="1">
        <f>HYPERLINK("http://www.twitter.com/NathanBLawrence/status/991403388385587200", "991403388385587200")</f>
        <v/>
      </c>
      <c r="B1213" s="2" t="n">
        <v>43221.82362268519</v>
      </c>
      <c r="C1213" t="n">
        <v>0</v>
      </c>
      <c r="D1213" t="n">
        <v>0</v>
      </c>
      <c r="E1213" t="s">
        <v>1219</v>
      </c>
      <c r="F1213" t="s"/>
      <c r="G1213" t="s"/>
      <c r="H1213" t="s"/>
      <c r="I1213" t="s"/>
      <c r="J1213" t="n">
        <v>0</v>
      </c>
      <c r="K1213" t="n">
        <v>0</v>
      </c>
      <c r="L1213" t="n">
        <v>1</v>
      </c>
      <c r="M1213" t="n">
        <v>0</v>
      </c>
    </row>
    <row r="1214" spans="1:13">
      <c r="A1214" s="1">
        <f>HYPERLINK("http://www.twitter.com/NathanBLawrence/status/991400451173158912", "991400451173158912")</f>
        <v/>
      </c>
      <c r="B1214" s="2" t="n">
        <v>43221.81552083333</v>
      </c>
      <c r="C1214" t="n">
        <v>0</v>
      </c>
      <c r="D1214" t="n">
        <v>10</v>
      </c>
      <c r="E1214" t="s">
        <v>1220</v>
      </c>
      <c r="F1214" t="s"/>
      <c r="G1214" t="s"/>
      <c r="H1214" t="s"/>
      <c r="I1214" t="s"/>
      <c r="J1214" t="n">
        <v>0</v>
      </c>
      <c r="K1214" t="n">
        <v>0</v>
      </c>
      <c r="L1214" t="n">
        <v>1</v>
      </c>
      <c r="M1214" t="n">
        <v>0</v>
      </c>
    </row>
    <row r="1215" spans="1:13">
      <c r="A1215" s="1">
        <f>HYPERLINK("http://www.twitter.com/NathanBLawrence/status/991400427680825355", "991400427680825355")</f>
        <v/>
      </c>
      <c r="B1215" s="2" t="n">
        <v>43221.81545138889</v>
      </c>
      <c r="C1215" t="n">
        <v>12</v>
      </c>
      <c r="D1215" t="n">
        <v>10</v>
      </c>
      <c r="E1215" t="s">
        <v>1221</v>
      </c>
      <c r="F1215" t="s"/>
      <c r="G1215" t="s"/>
      <c r="H1215" t="s"/>
      <c r="I1215" t="s"/>
      <c r="J1215" t="n">
        <v>0.3382</v>
      </c>
      <c r="K1215" t="n">
        <v>0</v>
      </c>
      <c r="L1215" t="n">
        <v>0.9360000000000001</v>
      </c>
      <c r="M1215" t="n">
        <v>0.064</v>
      </c>
    </row>
    <row r="1216" spans="1:13">
      <c r="A1216" s="1">
        <f>HYPERLINK("http://www.twitter.com/NathanBLawrence/status/991399100519206912", "991399100519206912")</f>
        <v/>
      </c>
      <c r="B1216" s="2" t="n">
        <v>43221.81179398148</v>
      </c>
      <c r="C1216" t="n">
        <v>0</v>
      </c>
      <c r="D1216" t="n">
        <v>10</v>
      </c>
      <c r="E1216" t="s">
        <v>1222</v>
      </c>
      <c r="F1216" t="s"/>
      <c r="G1216" t="s"/>
      <c r="H1216" t="s"/>
      <c r="I1216" t="s"/>
      <c r="J1216" t="n">
        <v>0</v>
      </c>
      <c r="K1216" t="n">
        <v>0</v>
      </c>
      <c r="L1216" t="n">
        <v>1</v>
      </c>
      <c r="M1216" t="n">
        <v>0</v>
      </c>
    </row>
    <row r="1217" spans="1:13">
      <c r="A1217" s="1">
        <f>HYPERLINK("http://www.twitter.com/NathanBLawrence/status/991395902408585221", "991395902408585221")</f>
        <v/>
      </c>
      <c r="B1217" s="2" t="n">
        <v>43221.80297453704</v>
      </c>
      <c r="C1217" t="n">
        <v>0</v>
      </c>
      <c r="D1217" t="n">
        <v>15</v>
      </c>
      <c r="E1217" t="s">
        <v>1223</v>
      </c>
      <c r="F1217">
        <f>HYPERLINK("https://video.twimg.com/ext_tw_video/991391719127072768/pu/vid/720x1280/lLpeUpqUbbZPI0Qm.mp4?tag=3", "https://video.twimg.com/ext_tw_video/991391719127072768/pu/vid/720x1280/lLpeUpqUbbZPI0Qm.mp4?tag=3")</f>
        <v/>
      </c>
      <c r="G1217" t="s"/>
      <c r="H1217" t="s"/>
      <c r="I1217" t="s"/>
      <c r="J1217" t="n">
        <v>0.9657</v>
      </c>
      <c r="K1217" t="n">
        <v>0</v>
      </c>
      <c r="L1217" t="n">
        <v>0.467</v>
      </c>
      <c r="M1217" t="n">
        <v>0.533</v>
      </c>
    </row>
    <row r="1218" spans="1:13">
      <c r="A1218" s="1">
        <f>HYPERLINK("http://www.twitter.com/NathanBLawrence/status/991395178618478592", "991395178618478592")</f>
        <v/>
      </c>
      <c r="B1218" s="2" t="n">
        <v>43221.80097222222</v>
      </c>
      <c r="C1218" t="n">
        <v>10</v>
      </c>
      <c r="D1218" t="n">
        <v>5</v>
      </c>
      <c r="E1218" t="s">
        <v>1224</v>
      </c>
      <c r="F1218" t="s"/>
      <c r="G1218" t="s"/>
      <c r="H1218" t="s"/>
      <c r="I1218" t="s"/>
      <c r="J1218" t="n">
        <v>0.9022</v>
      </c>
      <c r="K1218" t="n">
        <v>0</v>
      </c>
      <c r="L1218" t="n">
        <v>0.736</v>
      </c>
      <c r="M1218" t="n">
        <v>0.264</v>
      </c>
    </row>
    <row r="1219" spans="1:13">
      <c r="A1219" s="1">
        <f>HYPERLINK("http://www.twitter.com/NathanBLawrence/status/991390211140616192", "991390211140616192")</f>
        <v/>
      </c>
      <c r="B1219" s="2" t="n">
        <v>43221.78726851852</v>
      </c>
      <c r="C1219" t="n">
        <v>0</v>
      </c>
      <c r="D1219" t="n">
        <v>1</v>
      </c>
      <c r="E1219" t="s">
        <v>1225</v>
      </c>
      <c r="F1219" t="s"/>
      <c r="G1219" t="s"/>
      <c r="H1219" t="s"/>
      <c r="I1219" t="s"/>
      <c r="J1219" t="n">
        <v>0.1761</v>
      </c>
      <c r="K1219" t="n">
        <v>0.118</v>
      </c>
      <c r="L1219" t="n">
        <v>0.719</v>
      </c>
      <c r="M1219" t="n">
        <v>0.163</v>
      </c>
    </row>
    <row r="1220" spans="1:13">
      <c r="A1220" s="1">
        <f>HYPERLINK("http://www.twitter.com/NathanBLawrence/status/991390077745057793", "991390077745057793")</f>
        <v/>
      </c>
      <c r="B1220" s="2" t="n">
        <v>43221.78689814815</v>
      </c>
      <c r="C1220" t="n">
        <v>5</v>
      </c>
      <c r="D1220" t="n">
        <v>1</v>
      </c>
      <c r="E1220" t="s">
        <v>1226</v>
      </c>
      <c r="F1220" t="s"/>
      <c r="G1220" t="s"/>
      <c r="H1220" t="s"/>
      <c r="I1220" t="s"/>
      <c r="J1220" t="n">
        <v>0.1761</v>
      </c>
      <c r="K1220" t="n">
        <v>0.136</v>
      </c>
      <c r="L1220" t="n">
        <v>0.676</v>
      </c>
      <c r="M1220" t="n">
        <v>0.188</v>
      </c>
    </row>
    <row r="1221" spans="1:13">
      <c r="A1221" s="1">
        <f>HYPERLINK("http://www.twitter.com/NathanBLawrence/status/991383448270065664", "991383448270065664")</f>
        <v/>
      </c>
      <c r="B1221" s="2" t="n">
        <v>43221.76859953703</v>
      </c>
      <c r="C1221" t="n">
        <v>0</v>
      </c>
      <c r="D1221" t="n">
        <v>1</v>
      </c>
      <c r="E1221" t="s">
        <v>1227</v>
      </c>
      <c r="F1221" t="s"/>
      <c r="G1221" t="s"/>
      <c r="H1221" t="s"/>
      <c r="I1221" t="s"/>
      <c r="J1221" t="n">
        <v>-0.4404</v>
      </c>
      <c r="K1221" t="n">
        <v>0.116</v>
      </c>
      <c r="L1221" t="n">
        <v>0.884</v>
      </c>
      <c r="M1221" t="n">
        <v>0</v>
      </c>
    </row>
    <row r="1222" spans="1:13">
      <c r="A1222" s="1">
        <f>HYPERLINK("http://www.twitter.com/NathanBLawrence/status/991383398437523466", "991383398437523466")</f>
        <v/>
      </c>
      <c r="B1222" s="2" t="n">
        <v>43221.76846064815</v>
      </c>
      <c r="C1222" t="n">
        <v>0</v>
      </c>
      <c r="D1222" t="n">
        <v>1</v>
      </c>
      <c r="E1222" t="s">
        <v>1228</v>
      </c>
      <c r="F1222" t="s"/>
      <c r="G1222" t="s"/>
      <c r="H1222" t="s"/>
      <c r="I1222" t="s"/>
      <c r="J1222" t="n">
        <v>-0.4404</v>
      </c>
      <c r="K1222" t="n">
        <v>0.127</v>
      </c>
      <c r="L1222" t="n">
        <v>0.873</v>
      </c>
      <c r="M1222" t="n">
        <v>0</v>
      </c>
    </row>
    <row r="1223" spans="1:13">
      <c r="A1223" s="1">
        <f>HYPERLINK("http://www.twitter.com/NathanBLawrence/status/991382104607985664", "991382104607985664")</f>
        <v/>
      </c>
      <c r="B1223" s="2" t="n">
        <v>43221.76489583333</v>
      </c>
      <c r="C1223" t="n">
        <v>1</v>
      </c>
      <c r="D1223" t="n">
        <v>1</v>
      </c>
      <c r="E1223" t="s">
        <v>1229</v>
      </c>
      <c r="F1223" t="s"/>
      <c r="G1223" t="s"/>
      <c r="H1223" t="s"/>
      <c r="I1223" t="s"/>
      <c r="J1223" t="n">
        <v>-0.4404</v>
      </c>
      <c r="K1223" t="n">
        <v>0.112</v>
      </c>
      <c r="L1223" t="n">
        <v>0.888</v>
      </c>
      <c r="M1223" t="n">
        <v>0</v>
      </c>
    </row>
    <row r="1224" spans="1:13">
      <c r="A1224" s="1">
        <f>HYPERLINK("http://www.twitter.com/NathanBLawrence/status/991379859938136067", "991379859938136067")</f>
        <v/>
      </c>
      <c r="B1224" s="2" t="n">
        <v>43221.7587037037</v>
      </c>
      <c r="C1224" t="n">
        <v>0</v>
      </c>
      <c r="D1224" t="n">
        <v>0</v>
      </c>
      <c r="E1224" t="s">
        <v>1230</v>
      </c>
      <c r="F1224" t="s"/>
      <c r="G1224" t="s"/>
      <c r="H1224" t="s"/>
      <c r="I1224" t="s"/>
      <c r="J1224" t="n">
        <v>0</v>
      </c>
      <c r="K1224" t="n">
        <v>0</v>
      </c>
      <c r="L1224" t="n">
        <v>1</v>
      </c>
      <c r="M1224" t="n">
        <v>0</v>
      </c>
    </row>
    <row r="1225" spans="1:13">
      <c r="A1225" s="1">
        <f>HYPERLINK("http://www.twitter.com/NathanBLawrence/status/991374719671853058", "991374719671853058")</f>
        <v/>
      </c>
      <c r="B1225" s="2" t="n">
        <v>43221.74451388889</v>
      </c>
      <c r="C1225" t="n">
        <v>0</v>
      </c>
      <c r="D1225" t="n">
        <v>3</v>
      </c>
      <c r="E1225" t="s">
        <v>1231</v>
      </c>
      <c r="F1225" t="s"/>
      <c r="G1225" t="s"/>
      <c r="H1225" t="s"/>
      <c r="I1225" t="s"/>
      <c r="J1225" t="n">
        <v>0</v>
      </c>
      <c r="K1225" t="n">
        <v>0</v>
      </c>
      <c r="L1225" t="n">
        <v>1</v>
      </c>
      <c r="M1225" t="n">
        <v>0</v>
      </c>
    </row>
    <row r="1226" spans="1:13">
      <c r="A1226" s="1">
        <f>HYPERLINK("http://www.twitter.com/NathanBLawrence/status/991374550226128897", "991374550226128897")</f>
        <v/>
      </c>
      <c r="B1226" s="2" t="n">
        <v>43221.74405092592</v>
      </c>
      <c r="C1226" t="n">
        <v>4</v>
      </c>
      <c r="D1226" t="n">
        <v>3</v>
      </c>
      <c r="E1226" t="s">
        <v>1232</v>
      </c>
      <c r="F1226" t="s"/>
      <c r="G1226" t="s"/>
      <c r="H1226" t="s"/>
      <c r="I1226" t="s"/>
      <c r="J1226" t="n">
        <v>-0.3089</v>
      </c>
      <c r="K1226" t="n">
        <v>0.042</v>
      </c>
      <c r="L1226" t="n">
        <v>0.958</v>
      </c>
      <c r="M1226" t="n">
        <v>0</v>
      </c>
    </row>
    <row r="1227" spans="1:13">
      <c r="A1227" s="1">
        <f>HYPERLINK("http://www.twitter.com/NathanBLawrence/status/991363297525026816", "991363297525026816")</f>
        <v/>
      </c>
      <c r="B1227" s="2" t="n">
        <v>43221.71299768519</v>
      </c>
      <c r="C1227" t="n">
        <v>0</v>
      </c>
      <c r="D1227" t="n">
        <v>14</v>
      </c>
      <c r="E1227" t="s">
        <v>1233</v>
      </c>
      <c r="F1227" t="s"/>
      <c r="G1227" t="s"/>
      <c r="H1227" t="s"/>
      <c r="I1227" t="s"/>
      <c r="J1227" t="n">
        <v>-0.7315</v>
      </c>
      <c r="K1227" t="n">
        <v>0.23</v>
      </c>
      <c r="L1227" t="n">
        <v>0.77</v>
      </c>
      <c r="M1227" t="n">
        <v>0</v>
      </c>
    </row>
    <row r="1228" spans="1:13">
      <c r="A1228" s="1">
        <f>HYPERLINK("http://www.twitter.com/NathanBLawrence/status/991360353710854147", "991360353710854147")</f>
        <v/>
      </c>
      <c r="B1228" s="2" t="n">
        <v>43221.70487268519</v>
      </c>
      <c r="C1228" t="n">
        <v>0</v>
      </c>
      <c r="D1228" t="n">
        <v>1</v>
      </c>
      <c r="E1228" t="s">
        <v>1234</v>
      </c>
      <c r="F1228" t="s"/>
      <c r="G1228" t="s"/>
      <c r="H1228" t="s"/>
      <c r="I1228" t="s"/>
      <c r="J1228" t="n">
        <v>-0.4019</v>
      </c>
      <c r="K1228" t="n">
        <v>0.119</v>
      </c>
      <c r="L1228" t="n">
        <v>0.881</v>
      </c>
      <c r="M1228" t="n">
        <v>0</v>
      </c>
    </row>
    <row r="1229" spans="1:13">
      <c r="A1229" s="1">
        <f>HYPERLINK("http://www.twitter.com/NathanBLawrence/status/991349021930409985", "991349021930409985")</f>
        <v/>
      </c>
      <c r="B1229" s="2" t="n">
        <v>43221.67359953704</v>
      </c>
      <c r="C1229" t="n">
        <v>0</v>
      </c>
      <c r="D1229" t="n">
        <v>1</v>
      </c>
      <c r="E1229" t="s">
        <v>1235</v>
      </c>
      <c r="F1229" t="s"/>
      <c r="G1229" t="s"/>
      <c r="H1229" t="s"/>
      <c r="I1229" t="s"/>
      <c r="J1229" t="n">
        <v>0.2732</v>
      </c>
      <c r="K1229" t="n">
        <v>0</v>
      </c>
      <c r="L1229" t="n">
        <v>0.877</v>
      </c>
      <c r="M1229" t="n">
        <v>0.123</v>
      </c>
    </row>
    <row r="1230" spans="1:13">
      <c r="A1230" s="1">
        <f>HYPERLINK("http://www.twitter.com/NathanBLawrence/status/991348796549459968", "991348796549459968")</f>
        <v/>
      </c>
      <c r="B1230" s="2" t="n">
        <v>43221.67298611111</v>
      </c>
      <c r="C1230" t="n">
        <v>2</v>
      </c>
      <c r="D1230" t="n">
        <v>1</v>
      </c>
      <c r="E1230" t="s">
        <v>1236</v>
      </c>
      <c r="F1230" t="s"/>
      <c r="G1230" t="s"/>
      <c r="H1230" t="s"/>
      <c r="I1230" t="s"/>
      <c r="J1230" t="n">
        <v>0.2732</v>
      </c>
      <c r="K1230" t="n">
        <v>0</v>
      </c>
      <c r="L1230" t="n">
        <v>0.861</v>
      </c>
      <c r="M1230" t="n">
        <v>0.139</v>
      </c>
    </row>
    <row r="1231" spans="1:13">
      <c r="A1231" s="1">
        <f>HYPERLINK("http://www.twitter.com/NathanBLawrence/status/991306113516822528", "991306113516822528")</f>
        <v/>
      </c>
      <c r="B1231" s="2" t="n">
        <v>43221.55519675926</v>
      </c>
      <c r="C1231" t="n">
        <v>0</v>
      </c>
      <c r="D1231" t="n">
        <v>2</v>
      </c>
      <c r="E1231" t="s">
        <v>1237</v>
      </c>
      <c r="F1231" t="s"/>
      <c r="G1231" t="s"/>
      <c r="H1231" t="s"/>
      <c r="I1231" t="s"/>
      <c r="J1231" t="n">
        <v>0.2732</v>
      </c>
      <c r="K1231" t="n">
        <v>0</v>
      </c>
      <c r="L1231" t="n">
        <v>0.9</v>
      </c>
      <c r="M1231" t="n">
        <v>0.1</v>
      </c>
    </row>
    <row r="1232" spans="1:13">
      <c r="A1232" s="1">
        <f>HYPERLINK("http://www.twitter.com/NathanBLawrence/status/991298819110395905", "991298819110395905")</f>
        <v/>
      </c>
      <c r="B1232" s="2" t="n">
        <v>43221.53506944444</v>
      </c>
      <c r="C1232" t="n">
        <v>0</v>
      </c>
      <c r="D1232" t="n">
        <v>3</v>
      </c>
      <c r="E1232" t="s">
        <v>1238</v>
      </c>
      <c r="F1232" t="s"/>
      <c r="G1232" t="s"/>
      <c r="H1232" t="s"/>
      <c r="I1232" t="s"/>
      <c r="J1232" t="n">
        <v>0</v>
      </c>
      <c r="K1232" t="n">
        <v>0</v>
      </c>
      <c r="L1232" t="n">
        <v>1</v>
      </c>
      <c r="M1232" t="n">
        <v>0</v>
      </c>
    </row>
    <row r="1233" spans="1:13">
      <c r="A1233" s="1">
        <f>HYPERLINK("http://www.twitter.com/NathanBLawrence/status/991298246814392320", "991298246814392320")</f>
        <v/>
      </c>
      <c r="B1233" s="2" t="n">
        <v>43221.53349537037</v>
      </c>
      <c r="C1233" t="n">
        <v>4</v>
      </c>
      <c r="D1233" t="n">
        <v>3</v>
      </c>
      <c r="E1233" t="s">
        <v>1239</v>
      </c>
      <c r="F1233" t="s"/>
      <c r="G1233" t="s"/>
      <c r="H1233" t="s"/>
      <c r="I1233" t="s"/>
      <c r="J1233" t="n">
        <v>0</v>
      </c>
      <c r="K1233" t="n">
        <v>0</v>
      </c>
      <c r="L1233" t="n">
        <v>1</v>
      </c>
      <c r="M1233" t="n">
        <v>0</v>
      </c>
    </row>
    <row r="1234" spans="1:13">
      <c r="A1234" s="1">
        <f>HYPERLINK("http://www.twitter.com/NathanBLawrence/status/991296787842588673", "991296787842588673")</f>
        <v/>
      </c>
      <c r="B1234" s="2" t="n">
        <v>43221.52946759259</v>
      </c>
      <c r="C1234" t="n">
        <v>0</v>
      </c>
      <c r="D1234" t="n">
        <v>5</v>
      </c>
      <c r="E1234" t="s">
        <v>1240</v>
      </c>
      <c r="F1234" t="s"/>
      <c r="G1234" t="s"/>
      <c r="H1234" t="s"/>
      <c r="I1234" t="s"/>
      <c r="J1234" t="n">
        <v>0.4767</v>
      </c>
      <c r="K1234" t="n">
        <v>0</v>
      </c>
      <c r="L1234" t="n">
        <v>0.837</v>
      </c>
      <c r="M1234" t="n">
        <v>0.163</v>
      </c>
    </row>
    <row r="1235" spans="1:13">
      <c r="A1235" s="1">
        <f>HYPERLINK("http://www.twitter.com/NathanBLawrence/status/991296739280900096", "991296739280900096")</f>
        <v/>
      </c>
      <c r="B1235" s="2" t="n">
        <v>43221.52932870371</v>
      </c>
      <c r="C1235" t="n">
        <v>7</v>
      </c>
      <c r="D1235" t="n">
        <v>5</v>
      </c>
      <c r="E1235" t="s">
        <v>1241</v>
      </c>
      <c r="F1235" t="s"/>
      <c r="G1235" t="s"/>
      <c r="H1235" t="s"/>
      <c r="I1235" t="s"/>
      <c r="J1235" t="n">
        <v>-0.6751</v>
      </c>
      <c r="K1235" t="n">
        <v>0.209</v>
      </c>
      <c r="L1235" t="n">
        <v>0.653</v>
      </c>
      <c r="M1235" t="n">
        <v>0.138</v>
      </c>
    </row>
    <row r="1236" spans="1:13">
      <c r="A1236" s="1">
        <f>HYPERLINK("http://www.twitter.com/NathanBLawrence/status/991288171202826241", "991288171202826241")</f>
        <v/>
      </c>
      <c r="B1236" s="2" t="n">
        <v>43221.50568287037</v>
      </c>
      <c r="C1236" t="n">
        <v>0</v>
      </c>
      <c r="D1236" t="n">
        <v>2</v>
      </c>
      <c r="E1236" t="s">
        <v>1242</v>
      </c>
      <c r="F1236" t="s"/>
      <c r="G1236" t="s"/>
      <c r="H1236" t="s"/>
      <c r="I1236" t="s"/>
      <c r="J1236" t="n">
        <v>-0.25</v>
      </c>
      <c r="K1236" t="n">
        <v>0.091</v>
      </c>
      <c r="L1236" t="n">
        <v>0.909</v>
      </c>
      <c r="M1236" t="n">
        <v>0</v>
      </c>
    </row>
    <row r="1237" spans="1:13">
      <c r="A1237" s="1">
        <f>HYPERLINK("http://www.twitter.com/NathanBLawrence/status/991281584576843777", "991281584576843777")</f>
        <v/>
      </c>
      <c r="B1237" s="2" t="n">
        <v>43221.48751157407</v>
      </c>
      <c r="C1237" t="n">
        <v>0</v>
      </c>
      <c r="D1237" t="n">
        <v>1</v>
      </c>
      <c r="E1237" t="s">
        <v>1243</v>
      </c>
      <c r="F1237" t="s"/>
      <c r="G1237" t="s"/>
      <c r="H1237" t="s"/>
      <c r="I1237" t="s"/>
      <c r="J1237" t="n">
        <v>0</v>
      </c>
      <c r="K1237" t="n">
        <v>0</v>
      </c>
      <c r="L1237" t="n">
        <v>1</v>
      </c>
      <c r="M1237" t="n">
        <v>0</v>
      </c>
    </row>
    <row r="1238" spans="1:13">
      <c r="A1238" s="1">
        <f>HYPERLINK("http://www.twitter.com/NathanBLawrence/status/991281333270990848", "991281333270990848")</f>
        <v/>
      </c>
      <c r="B1238" s="2" t="n">
        <v>43221.48681712963</v>
      </c>
      <c r="C1238" t="n">
        <v>0</v>
      </c>
      <c r="D1238" t="n">
        <v>1</v>
      </c>
      <c r="E1238" t="s">
        <v>1244</v>
      </c>
      <c r="F1238" t="s"/>
      <c r="G1238" t="s"/>
      <c r="H1238" t="s"/>
      <c r="I1238" t="s"/>
      <c r="J1238" t="n">
        <v>0</v>
      </c>
      <c r="K1238" t="n">
        <v>0</v>
      </c>
      <c r="L1238" t="n">
        <v>1</v>
      </c>
      <c r="M1238" t="n">
        <v>0</v>
      </c>
    </row>
    <row r="1239" spans="1:13">
      <c r="A1239" s="1">
        <f>HYPERLINK("http://www.twitter.com/NathanBLawrence/status/991263832445157376", "991263832445157376")</f>
        <v/>
      </c>
      <c r="B1239" s="2" t="n">
        <v>43221.43853009259</v>
      </c>
      <c r="C1239" t="n">
        <v>0</v>
      </c>
      <c r="D1239" t="n">
        <v>13</v>
      </c>
      <c r="E1239" t="s">
        <v>1245</v>
      </c>
      <c r="F1239">
        <f>HYPERLINK("http://pbs.twimg.com/media/DcGp-MGWAAAhVJz.jpg", "http://pbs.twimg.com/media/DcGp-MGWAAAhVJz.jpg")</f>
        <v/>
      </c>
      <c r="G1239" t="s"/>
      <c r="H1239" t="s"/>
      <c r="I1239" t="s"/>
      <c r="J1239" t="n">
        <v>0</v>
      </c>
      <c r="K1239" t="n">
        <v>0</v>
      </c>
      <c r="L1239" t="n">
        <v>1</v>
      </c>
      <c r="M1239" t="n">
        <v>0</v>
      </c>
    </row>
    <row r="1240" spans="1:13">
      <c r="A1240" s="1">
        <f>HYPERLINK("http://www.twitter.com/NathanBLawrence/status/991263774328881152", "991263774328881152")</f>
        <v/>
      </c>
      <c r="B1240" s="2" t="n">
        <v>43221.43836805555</v>
      </c>
      <c r="C1240" t="n">
        <v>0</v>
      </c>
      <c r="D1240" t="n">
        <v>13</v>
      </c>
      <c r="E1240" t="s">
        <v>1246</v>
      </c>
      <c r="F1240">
        <f>HYPERLINK("http://pbs.twimg.com/media/DcGsH0VX0AABr6d.jpg", "http://pbs.twimg.com/media/DcGsH0VX0AABr6d.jpg")</f>
        <v/>
      </c>
      <c r="G1240" t="s"/>
      <c r="H1240" t="s"/>
      <c r="I1240" t="s"/>
      <c r="J1240" t="n">
        <v>-0.3818</v>
      </c>
      <c r="K1240" t="n">
        <v>0.133</v>
      </c>
      <c r="L1240" t="n">
        <v>0.867</v>
      </c>
      <c r="M1240" t="n">
        <v>0</v>
      </c>
    </row>
    <row r="1241" spans="1:13">
      <c r="A1241" s="1">
        <f>HYPERLINK("http://www.twitter.com/NathanBLawrence/status/991263594170986496", "991263594170986496")</f>
        <v/>
      </c>
      <c r="B1241" s="2" t="n">
        <v>43221.43787037037</v>
      </c>
      <c r="C1241" t="n">
        <v>11</v>
      </c>
      <c r="D1241" t="n">
        <v>13</v>
      </c>
      <c r="E1241" t="s">
        <v>1247</v>
      </c>
      <c r="F1241">
        <f>HYPERLINK("http://pbs.twimg.com/media/DcGsH0VX0AABr6d.jpg", "http://pbs.twimg.com/media/DcGsH0VX0AABr6d.jpg")</f>
        <v/>
      </c>
      <c r="G1241" t="s"/>
      <c r="H1241" t="s"/>
      <c r="I1241" t="s"/>
      <c r="J1241" t="n">
        <v>0.34</v>
      </c>
      <c r="K1241" t="n">
        <v>0.112</v>
      </c>
      <c r="L1241" t="n">
        <v>0.724</v>
      </c>
      <c r="M1241" t="n">
        <v>0.164</v>
      </c>
    </row>
    <row r="1242" spans="1:13">
      <c r="A1242" s="1">
        <f>HYPERLINK("http://www.twitter.com/NathanBLawrence/status/991260732602896386", "991260732602896386")</f>
        <v/>
      </c>
      <c r="B1242" s="2" t="n">
        <v>43221.42997685185</v>
      </c>
      <c r="C1242" t="n">
        <v>11</v>
      </c>
      <c r="D1242" t="n">
        <v>13</v>
      </c>
      <c r="E1242" t="s">
        <v>1248</v>
      </c>
      <c r="F1242">
        <f>HYPERLINK("http://pbs.twimg.com/media/DcGp-MGWAAAhVJz.jpg", "http://pbs.twimg.com/media/DcGp-MGWAAAhVJz.jpg")</f>
        <v/>
      </c>
      <c r="G1242" t="s"/>
      <c r="H1242" t="s"/>
      <c r="I1242" t="s"/>
      <c r="J1242" t="n">
        <v>0.5171</v>
      </c>
      <c r="K1242" t="n">
        <v>0</v>
      </c>
      <c r="L1242" t="n">
        <v>0.923</v>
      </c>
      <c r="M1242" t="n">
        <v>0.077</v>
      </c>
    </row>
    <row r="1243" spans="1:13">
      <c r="A1243" s="1">
        <f>HYPERLINK("http://www.twitter.com/NathanBLawrence/status/991252952017985536", "991252952017985536")</f>
        <v/>
      </c>
      <c r="B1243" s="2" t="n">
        <v>43221.40850694444</v>
      </c>
      <c r="C1243" t="n">
        <v>0</v>
      </c>
      <c r="D1243" t="n">
        <v>5</v>
      </c>
      <c r="E1243" t="s">
        <v>1249</v>
      </c>
      <c r="F1243" t="s"/>
      <c r="G1243" t="s"/>
      <c r="H1243" t="s"/>
      <c r="I1243" t="s"/>
      <c r="J1243" t="n">
        <v>-0.3182</v>
      </c>
      <c r="K1243" t="n">
        <v>0.091</v>
      </c>
      <c r="L1243" t="n">
        <v>0.909</v>
      </c>
      <c r="M1243" t="n">
        <v>0</v>
      </c>
    </row>
    <row r="1244" spans="1:13">
      <c r="A1244" s="1">
        <f>HYPERLINK("http://www.twitter.com/NathanBLawrence/status/991169370951946240", "991169370951946240")</f>
        <v/>
      </c>
      <c r="B1244" s="2" t="n">
        <v>43221.1778587963</v>
      </c>
      <c r="C1244" t="n">
        <v>0</v>
      </c>
      <c r="D1244" t="n">
        <v>2</v>
      </c>
      <c r="E1244" t="s">
        <v>1250</v>
      </c>
      <c r="F1244" t="s"/>
      <c r="G1244" t="s"/>
      <c r="H1244" t="s"/>
      <c r="I1244" t="s"/>
      <c r="J1244" t="n">
        <v>0.2732</v>
      </c>
      <c r="K1244" t="n">
        <v>0.064</v>
      </c>
      <c r="L1244" t="n">
        <v>0.83</v>
      </c>
      <c r="M1244" t="n">
        <v>0.106</v>
      </c>
    </row>
    <row r="1245" spans="1:13">
      <c r="A1245" s="1">
        <f>HYPERLINK("http://www.twitter.com/NathanBLawrence/status/991169354950733824", "991169354950733824")</f>
        <v/>
      </c>
      <c r="B1245" s="2" t="n">
        <v>43221.1778125</v>
      </c>
      <c r="C1245" t="n">
        <v>2</v>
      </c>
      <c r="D1245" t="n">
        <v>2</v>
      </c>
      <c r="E1245" t="s">
        <v>1251</v>
      </c>
      <c r="F1245" t="s"/>
      <c r="G1245" t="s"/>
      <c r="H1245" t="s"/>
      <c r="I1245" t="s"/>
      <c r="J1245" t="n">
        <v>0.2732</v>
      </c>
      <c r="K1245" t="n">
        <v>0.06900000000000001</v>
      </c>
      <c r="L1245" t="n">
        <v>0.8159999999999999</v>
      </c>
      <c r="M1245" t="n">
        <v>0.114</v>
      </c>
    </row>
    <row r="1246" spans="1:13">
      <c r="A1246" s="1">
        <f>HYPERLINK("http://www.twitter.com/NathanBLawrence/status/991153548816736256", "991153548816736256")</f>
        <v/>
      </c>
      <c r="B1246" s="2" t="n">
        <v>43221.13420138889</v>
      </c>
      <c r="C1246" t="n">
        <v>0</v>
      </c>
      <c r="D1246" t="n">
        <v>2</v>
      </c>
      <c r="E1246" t="s">
        <v>1252</v>
      </c>
      <c r="F1246" t="s"/>
      <c r="G1246" t="s"/>
      <c r="H1246" t="s"/>
      <c r="I1246" t="s"/>
      <c r="J1246" t="n">
        <v>0.485</v>
      </c>
      <c r="K1246" t="n">
        <v>0</v>
      </c>
      <c r="L1246" t="n">
        <v>0.792</v>
      </c>
      <c r="M1246" t="n">
        <v>0.208</v>
      </c>
    </row>
    <row r="1247" spans="1:13">
      <c r="A1247" s="1">
        <f>HYPERLINK("http://www.twitter.com/NathanBLawrence/status/991149586973675520", "991149586973675520")</f>
        <v/>
      </c>
      <c r="B1247" s="2" t="n">
        <v>43221.12326388889</v>
      </c>
      <c r="C1247" t="n">
        <v>0</v>
      </c>
      <c r="D1247" t="n">
        <v>4</v>
      </c>
      <c r="E1247" t="s">
        <v>1253</v>
      </c>
      <c r="F1247" t="s"/>
      <c r="G1247" t="s"/>
      <c r="H1247" t="s"/>
      <c r="I1247" t="s"/>
      <c r="J1247" t="n">
        <v>0.1531</v>
      </c>
      <c r="K1247" t="n">
        <v>0.132</v>
      </c>
      <c r="L1247" t="n">
        <v>0.752</v>
      </c>
      <c r="M1247" t="n">
        <v>0.117</v>
      </c>
    </row>
    <row r="1248" spans="1:13">
      <c r="A1248" s="1">
        <f>HYPERLINK("http://www.twitter.com/NathanBLawrence/status/991149355116658688", "991149355116658688")</f>
        <v/>
      </c>
      <c r="B1248" s="2" t="n">
        <v>43221.12262731481</v>
      </c>
      <c r="C1248" t="n">
        <v>5</v>
      </c>
      <c r="D1248" t="n">
        <v>4</v>
      </c>
      <c r="E1248" t="s">
        <v>1254</v>
      </c>
      <c r="F1248" t="s"/>
      <c r="G1248" t="s"/>
      <c r="H1248" t="s"/>
      <c r="I1248" t="s"/>
      <c r="J1248" t="n">
        <v>0.1531</v>
      </c>
      <c r="K1248" t="n">
        <v>0.127</v>
      </c>
      <c r="L1248" t="n">
        <v>0.761</v>
      </c>
      <c r="M1248" t="n">
        <v>0.112</v>
      </c>
    </row>
    <row r="1249" spans="1:13">
      <c r="A1249" s="1">
        <f>HYPERLINK("http://www.twitter.com/NathanBLawrence/status/991148168522944513", "991148168522944513")</f>
        <v/>
      </c>
      <c r="B1249" s="2" t="n">
        <v>43221.11935185185</v>
      </c>
      <c r="C1249" t="n">
        <v>0</v>
      </c>
      <c r="D1249" t="n">
        <v>0</v>
      </c>
      <c r="E1249" t="s">
        <v>1255</v>
      </c>
      <c r="F1249" t="s"/>
      <c r="G1249" t="s"/>
      <c r="H1249" t="s"/>
      <c r="I1249" t="s"/>
      <c r="J1249" t="n">
        <v>0.4215</v>
      </c>
      <c r="K1249" t="n">
        <v>0</v>
      </c>
      <c r="L1249" t="n">
        <v>0.517</v>
      </c>
      <c r="M1249" t="n">
        <v>0.483</v>
      </c>
    </row>
    <row r="1250" spans="1:13">
      <c r="A1250" s="1">
        <f>HYPERLINK("http://www.twitter.com/NathanBLawrence/status/991147968173629444", "991147968173629444")</f>
        <v/>
      </c>
      <c r="B1250" s="2" t="n">
        <v>43221.11879629629</v>
      </c>
      <c r="C1250" t="n">
        <v>0</v>
      </c>
      <c r="D1250" t="n">
        <v>1</v>
      </c>
      <c r="E1250" t="s">
        <v>1256</v>
      </c>
      <c r="F1250" t="s"/>
      <c r="G1250" t="s"/>
      <c r="H1250" t="s"/>
      <c r="I1250" t="s"/>
      <c r="J1250" t="n">
        <v>0</v>
      </c>
      <c r="K1250" t="n">
        <v>0.139</v>
      </c>
      <c r="L1250" t="n">
        <v>0.722</v>
      </c>
      <c r="M1250" t="n">
        <v>0.139</v>
      </c>
    </row>
    <row r="1251" spans="1:13">
      <c r="A1251" s="1">
        <f>HYPERLINK("http://www.twitter.com/NathanBLawrence/status/991146690362167297", "991146690362167297")</f>
        <v/>
      </c>
      <c r="B1251" s="2" t="n">
        <v>43221.11527777778</v>
      </c>
      <c r="C1251" t="n">
        <v>1</v>
      </c>
      <c r="D1251" t="n">
        <v>0</v>
      </c>
      <c r="E1251" t="s">
        <v>1257</v>
      </c>
      <c r="F1251" t="s"/>
      <c r="G1251" t="s"/>
      <c r="H1251" t="s"/>
      <c r="I1251" t="s"/>
      <c r="J1251" t="n">
        <v>0.128</v>
      </c>
      <c r="K1251" t="n">
        <v>0.103</v>
      </c>
      <c r="L1251" t="n">
        <v>0.773</v>
      </c>
      <c r="M1251" t="n">
        <v>0.124</v>
      </c>
    </row>
    <row r="1252" spans="1:13">
      <c r="A1252" s="1">
        <f>HYPERLINK("http://www.twitter.com/NathanBLawrence/status/991143053451776001", "991143053451776001")</f>
        <v/>
      </c>
      <c r="B1252" s="2" t="n">
        <v>43221.10524305556</v>
      </c>
      <c r="C1252" t="n">
        <v>0</v>
      </c>
      <c r="D1252" t="n">
        <v>1</v>
      </c>
      <c r="E1252" t="s">
        <v>1258</v>
      </c>
      <c r="F1252" t="s"/>
      <c r="G1252" t="s"/>
      <c r="H1252" t="s"/>
      <c r="I1252" t="s"/>
      <c r="J1252" t="n">
        <v>0</v>
      </c>
      <c r="K1252" t="n">
        <v>0</v>
      </c>
      <c r="L1252" t="n">
        <v>1</v>
      </c>
      <c r="M1252" t="n">
        <v>0</v>
      </c>
    </row>
    <row r="1253" spans="1:13">
      <c r="A1253" s="1">
        <f>HYPERLINK("http://www.twitter.com/NathanBLawrence/status/991141668735905792", "991141668735905792")</f>
        <v/>
      </c>
      <c r="B1253" s="2" t="n">
        <v>43221.10142361111</v>
      </c>
      <c r="C1253" t="n">
        <v>0</v>
      </c>
      <c r="D1253" t="n">
        <v>1</v>
      </c>
      <c r="E1253" t="s">
        <v>1259</v>
      </c>
      <c r="F1253" t="s"/>
      <c r="G1253" t="s"/>
      <c r="H1253" t="s"/>
      <c r="I1253" t="s"/>
      <c r="J1253" t="n">
        <v>-0.34</v>
      </c>
      <c r="K1253" t="n">
        <v>0.179</v>
      </c>
      <c r="L1253" t="n">
        <v>0.821</v>
      </c>
      <c r="M1253" t="n">
        <v>0</v>
      </c>
    </row>
    <row r="1254" spans="1:13">
      <c r="A1254" s="1">
        <f>HYPERLINK("http://www.twitter.com/NathanBLawrence/status/991140351833452544", "991140351833452544")</f>
        <v/>
      </c>
      <c r="B1254" s="2" t="n">
        <v>43221.09778935185</v>
      </c>
      <c r="C1254" t="n">
        <v>0</v>
      </c>
      <c r="D1254" t="n">
        <v>1</v>
      </c>
      <c r="E1254" t="s">
        <v>1260</v>
      </c>
      <c r="F1254" t="s"/>
      <c r="G1254" t="s"/>
      <c r="H1254" t="s"/>
      <c r="I1254" t="s"/>
      <c r="J1254" t="n">
        <v>0.1531</v>
      </c>
      <c r="K1254" t="n">
        <v>0.134</v>
      </c>
      <c r="L1254" t="n">
        <v>0.698</v>
      </c>
      <c r="M1254" t="n">
        <v>0.169</v>
      </c>
    </row>
    <row r="1255" spans="1:13">
      <c r="A1255" s="1">
        <f>HYPERLINK("http://www.twitter.com/NathanBLawrence/status/991140261353967616", "991140261353967616")</f>
        <v/>
      </c>
      <c r="B1255" s="2" t="n">
        <v>43221.09753472222</v>
      </c>
      <c r="C1255" t="n">
        <v>6</v>
      </c>
      <c r="D1255" t="n">
        <v>1</v>
      </c>
      <c r="E1255" t="s">
        <v>1261</v>
      </c>
      <c r="F1255" t="s"/>
      <c r="G1255" t="s"/>
      <c r="H1255" t="s"/>
      <c r="I1255" t="s"/>
      <c r="J1255" t="n">
        <v>-0.4019</v>
      </c>
      <c r="K1255" t="n">
        <v>0.196</v>
      </c>
      <c r="L1255" t="n">
        <v>0.702</v>
      </c>
      <c r="M1255" t="n">
        <v>0.102</v>
      </c>
    </row>
    <row r="1256" spans="1:13">
      <c r="A1256" s="1">
        <f>HYPERLINK("http://www.twitter.com/NathanBLawrence/status/991139106381029381", "991139106381029381")</f>
        <v/>
      </c>
      <c r="B1256" s="2" t="n">
        <v>43221.09435185185</v>
      </c>
      <c r="C1256" t="n">
        <v>0</v>
      </c>
      <c r="D1256" t="n">
        <v>1</v>
      </c>
      <c r="E1256" t="s">
        <v>1262</v>
      </c>
      <c r="F1256" t="s"/>
      <c r="G1256" t="s"/>
      <c r="H1256" t="s"/>
      <c r="I1256" t="s"/>
      <c r="J1256" t="n">
        <v>0.7579</v>
      </c>
      <c r="K1256" t="n">
        <v>0.076</v>
      </c>
      <c r="L1256" t="n">
        <v>0.623</v>
      </c>
      <c r="M1256" t="n">
        <v>0.301</v>
      </c>
    </row>
    <row r="1257" spans="1:13">
      <c r="A1257" s="1">
        <f>HYPERLINK("http://www.twitter.com/NathanBLawrence/status/991139013443670018", "991139013443670018")</f>
        <v/>
      </c>
      <c r="B1257" s="2" t="n">
        <v>43221.09408564815</v>
      </c>
      <c r="C1257" t="n">
        <v>1</v>
      </c>
      <c r="D1257" t="n">
        <v>1</v>
      </c>
      <c r="E1257" t="s">
        <v>1263</v>
      </c>
      <c r="F1257" t="s"/>
      <c r="G1257" t="s"/>
      <c r="H1257" t="s"/>
      <c r="I1257" t="s"/>
      <c r="J1257" t="n">
        <v>0.7579</v>
      </c>
      <c r="K1257" t="n">
        <v>0.074</v>
      </c>
      <c r="L1257" t="n">
        <v>0.635</v>
      </c>
      <c r="M1257" t="n">
        <v>0.291</v>
      </c>
    </row>
    <row r="1258" spans="1:13">
      <c r="A1258" s="1">
        <f>HYPERLINK("http://www.twitter.com/NathanBLawrence/status/991138391851982848", "991138391851982848")</f>
        <v/>
      </c>
      <c r="B1258" s="2" t="n">
        <v>43221.09237268518</v>
      </c>
      <c r="C1258" t="n">
        <v>0</v>
      </c>
      <c r="D1258" t="n">
        <v>3</v>
      </c>
      <c r="E1258" t="s">
        <v>1264</v>
      </c>
      <c r="F1258" t="s"/>
      <c r="G1258" t="s"/>
      <c r="H1258" t="s"/>
      <c r="I1258" t="s"/>
      <c r="J1258" t="n">
        <v>-0.0572</v>
      </c>
      <c r="K1258" t="n">
        <v>0.058</v>
      </c>
      <c r="L1258" t="n">
        <v>0.9419999999999999</v>
      </c>
      <c r="M1258" t="n">
        <v>0</v>
      </c>
    </row>
    <row r="1259" spans="1:13">
      <c r="A1259" s="1">
        <f>HYPERLINK("http://www.twitter.com/NathanBLawrence/status/991138277490135041", "991138277490135041")</f>
        <v/>
      </c>
      <c r="B1259" s="2" t="n">
        <v>43221.09206018518</v>
      </c>
      <c r="C1259" t="n">
        <v>5</v>
      </c>
      <c r="D1259" t="n">
        <v>3</v>
      </c>
      <c r="E1259" t="s">
        <v>1265</v>
      </c>
      <c r="F1259" t="s"/>
      <c r="G1259" t="s"/>
      <c r="H1259" t="s"/>
      <c r="I1259" t="s"/>
      <c r="J1259" t="n">
        <v>-0.0572</v>
      </c>
      <c r="K1259" t="n">
        <v>0.027</v>
      </c>
      <c r="L1259" t="n">
        <v>0.973</v>
      </c>
      <c r="M1259" t="n">
        <v>0</v>
      </c>
    </row>
    <row r="1260" spans="1:13">
      <c r="A1260" s="1">
        <f>HYPERLINK("http://www.twitter.com/NathanBLawrence/status/991137320161234944", "991137320161234944")</f>
        <v/>
      </c>
      <c r="B1260" s="2" t="n">
        <v>43221.0894212963</v>
      </c>
      <c r="C1260" t="n">
        <v>0</v>
      </c>
      <c r="D1260" t="n">
        <v>5</v>
      </c>
      <c r="E1260" t="s">
        <v>1266</v>
      </c>
      <c r="F1260" t="s"/>
      <c r="G1260" t="s"/>
      <c r="H1260" t="s"/>
      <c r="I1260" t="s"/>
      <c r="J1260" t="n">
        <v>-0.8899</v>
      </c>
      <c r="K1260" t="n">
        <v>0.37</v>
      </c>
      <c r="L1260" t="n">
        <v>0.63</v>
      </c>
      <c r="M1260" t="n">
        <v>0</v>
      </c>
    </row>
    <row r="1261" spans="1:13">
      <c r="A1261" s="1">
        <f>HYPERLINK("http://www.twitter.com/NathanBLawrence/status/991134661257646081", "991134661257646081")</f>
        <v/>
      </c>
      <c r="B1261" s="2" t="n">
        <v>43221.08208333333</v>
      </c>
      <c r="C1261" t="n">
        <v>0</v>
      </c>
      <c r="D1261" t="n">
        <v>1</v>
      </c>
      <c r="E1261" t="s">
        <v>1267</v>
      </c>
      <c r="F1261" t="s"/>
      <c r="G1261" t="s"/>
      <c r="H1261" t="s"/>
      <c r="I1261" t="s"/>
      <c r="J1261" t="n">
        <v>0.128</v>
      </c>
      <c r="K1261" t="n">
        <v>0.091</v>
      </c>
      <c r="L1261" t="n">
        <v>0.798</v>
      </c>
      <c r="M1261" t="n">
        <v>0.11</v>
      </c>
    </row>
    <row r="1262" spans="1:13">
      <c r="A1262" s="1">
        <f>HYPERLINK("http://www.twitter.com/NathanBLawrence/status/991134577837203457", "991134577837203457")</f>
        <v/>
      </c>
      <c r="B1262" s="2" t="n">
        <v>43221.08185185185</v>
      </c>
      <c r="C1262" t="n">
        <v>4</v>
      </c>
      <c r="D1262" t="n">
        <v>1</v>
      </c>
      <c r="E1262" t="s">
        <v>1268</v>
      </c>
      <c r="F1262" t="s"/>
      <c r="G1262" t="s"/>
      <c r="H1262" t="s"/>
      <c r="I1262" t="s"/>
      <c r="J1262" t="n">
        <v>-0.3818</v>
      </c>
      <c r="K1262" t="n">
        <v>0.247</v>
      </c>
      <c r="L1262" t="n">
        <v>0.753</v>
      </c>
      <c r="M1262" t="n">
        <v>0</v>
      </c>
    </row>
    <row r="1263" spans="1:13">
      <c r="A1263" s="1">
        <f>HYPERLINK("http://www.twitter.com/NathanBLawrence/status/991133786996924417", "991133786996924417")</f>
        <v/>
      </c>
      <c r="B1263" s="2" t="n">
        <v>43221.07966435186</v>
      </c>
      <c r="C1263" t="n">
        <v>3</v>
      </c>
      <c r="D1263" t="n">
        <v>3</v>
      </c>
      <c r="E1263" t="s">
        <v>1269</v>
      </c>
      <c r="F1263" t="s"/>
      <c r="G1263" t="s"/>
      <c r="H1263" t="s"/>
      <c r="I1263" t="s"/>
      <c r="J1263" t="n">
        <v>0</v>
      </c>
      <c r="K1263" t="n">
        <v>0</v>
      </c>
      <c r="L1263" t="n">
        <v>1</v>
      </c>
      <c r="M1263" t="n">
        <v>0</v>
      </c>
    </row>
    <row r="1264" spans="1:13">
      <c r="A1264" s="1">
        <f>HYPERLINK("http://www.twitter.com/NathanBLawrence/status/991122133236551682", "991122133236551682")</f>
        <v/>
      </c>
      <c r="B1264" s="2" t="n">
        <v>43221.04751157408</v>
      </c>
      <c r="C1264" t="n">
        <v>6</v>
      </c>
      <c r="D1264" t="n">
        <v>5</v>
      </c>
      <c r="E1264" t="s">
        <v>1270</v>
      </c>
      <c r="F1264" t="s"/>
      <c r="G1264" t="s"/>
      <c r="H1264" t="s"/>
      <c r="I1264" t="s"/>
      <c r="J1264" t="n">
        <v>-0.5423</v>
      </c>
      <c r="K1264" t="n">
        <v>0.153</v>
      </c>
      <c r="L1264" t="n">
        <v>0.847</v>
      </c>
      <c r="M1264" t="n">
        <v>0</v>
      </c>
    </row>
    <row r="1265" spans="1:13">
      <c r="A1265" s="1">
        <f>HYPERLINK("http://www.twitter.com/NathanBLawrence/status/991121311899553793", "991121311899553793")</f>
        <v/>
      </c>
      <c r="B1265" s="2" t="n">
        <v>43221.04524305555</v>
      </c>
      <c r="C1265" t="n">
        <v>0</v>
      </c>
      <c r="D1265" t="n">
        <v>8</v>
      </c>
      <c r="E1265" t="s">
        <v>1271</v>
      </c>
      <c r="F1265" t="s"/>
      <c r="G1265" t="s"/>
      <c r="H1265" t="s"/>
      <c r="I1265" t="s"/>
      <c r="J1265" t="n">
        <v>-0.2411</v>
      </c>
      <c r="K1265" t="n">
        <v>0.076</v>
      </c>
      <c r="L1265" t="n">
        <v>0.924</v>
      </c>
      <c r="M1265" t="n">
        <v>0</v>
      </c>
    </row>
    <row r="1266" spans="1:13">
      <c r="A1266" s="1">
        <f>HYPERLINK("http://www.twitter.com/NathanBLawrence/status/991117916203560960", "991117916203560960")</f>
        <v/>
      </c>
      <c r="B1266" s="2" t="n">
        <v>43221.03586805556</v>
      </c>
      <c r="C1266" t="n">
        <v>0</v>
      </c>
      <c r="D1266" t="n">
        <v>2</v>
      </c>
      <c r="E1266" t="s">
        <v>1272</v>
      </c>
      <c r="F1266" t="s"/>
      <c r="G1266" t="s"/>
      <c r="H1266" t="s"/>
      <c r="I1266" t="s"/>
      <c r="J1266" t="n">
        <v>0.2975</v>
      </c>
      <c r="K1266" t="n">
        <v>0</v>
      </c>
      <c r="L1266" t="n">
        <v>0.912</v>
      </c>
      <c r="M1266" t="n">
        <v>0.08799999999999999</v>
      </c>
    </row>
    <row r="1267" spans="1:13">
      <c r="A1267" s="1">
        <f>HYPERLINK("http://www.twitter.com/NathanBLawrence/status/991117905097117703", "991117905097117703")</f>
        <v/>
      </c>
      <c r="B1267" s="2" t="n">
        <v>43221.0358449074</v>
      </c>
      <c r="C1267" t="n">
        <v>3</v>
      </c>
      <c r="D1267" t="n">
        <v>2</v>
      </c>
      <c r="E1267" t="s">
        <v>1273</v>
      </c>
      <c r="F1267" t="s"/>
      <c r="G1267" t="s"/>
      <c r="H1267" t="s"/>
      <c r="I1267" t="s"/>
      <c r="J1267" t="n">
        <v>0.4228</v>
      </c>
      <c r="K1267" t="n">
        <v>0</v>
      </c>
      <c r="L1267" t="n">
        <v>0.876</v>
      </c>
      <c r="M1267" t="n">
        <v>0.124</v>
      </c>
    </row>
    <row r="1268" spans="1:13">
      <c r="A1268" s="1">
        <f>HYPERLINK("http://www.twitter.com/NathanBLawrence/status/991117838801887232", "991117838801887232")</f>
        <v/>
      </c>
      <c r="B1268" s="2" t="n">
        <v>43221.03565972222</v>
      </c>
      <c r="C1268" t="n">
        <v>0</v>
      </c>
      <c r="D1268" t="n">
        <v>2</v>
      </c>
      <c r="E1268" t="s">
        <v>1274</v>
      </c>
      <c r="F1268" t="s"/>
      <c r="G1268" t="s"/>
      <c r="H1268" t="s"/>
      <c r="I1268" t="s"/>
      <c r="J1268" t="n">
        <v>0.2975</v>
      </c>
      <c r="K1268" t="n">
        <v>0</v>
      </c>
      <c r="L1268" t="n">
        <v>0.916</v>
      </c>
      <c r="M1268" t="n">
        <v>0.08400000000000001</v>
      </c>
    </row>
    <row r="1269" spans="1:13">
      <c r="A1269" s="1">
        <f>HYPERLINK("http://www.twitter.com/NathanBLawrence/status/991117811299835904", "991117811299835904")</f>
        <v/>
      </c>
      <c r="B1269" s="2" t="n">
        <v>43221.0355787037</v>
      </c>
      <c r="C1269" t="n">
        <v>3</v>
      </c>
      <c r="D1269" t="n">
        <v>2</v>
      </c>
      <c r="E1269" t="s">
        <v>1275</v>
      </c>
      <c r="F1269" t="s"/>
      <c r="G1269" t="s"/>
      <c r="H1269" t="s"/>
      <c r="I1269" t="s"/>
      <c r="J1269" t="n">
        <v>0.4228</v>
      </c>
      <c r="K1269" t="n">
        <v>0</v>
      </c>
      <c r="L1269" t="n">
        <v>0.876</v>
      </c>
      <c r="M1269" t="n">
        <v>0.124</v>
      </c>
    </row>
    <row r="1270" spans="1:13">
      <c r="A1270" s="1">
        <f>HYPERLINK("http://www.twitter.com/NathanBLawrence/status/991113788832342016", "991113788832342016")</f>
        <v/>
      </c>
      <c r="B1270" s="2" t="n">
        <v>43221.02447916667</v>
      </c>
      <c r="C1270" t="n">
        <v>0</v>
      </c>
      <c r="D1270" t="n">
        <v>1</v>
      </c>
      <c r="E1270" t="s">
        <v>1276</v>
      </c>
      <c r="F1270" t="s"/>
      <c r="G1270" t="s"/>
      <c r="H1270" t="s"/>
      <c r="I1270" t="s"/>
      <c r="J1270" t="n">
        <v>0</v>
      </c>
      <c r="K1270" t="n">
        <v>0</v>
      </c>
      <c r="L1270" t="n">
        <v>1</v>
      </c>
      <c r="M1270" t="n">
        <v>0</v>
      </c>
    </row>
    <row r="1271" spans="1:13">
      <c r="A1271" s="1">
        <f>HYPERLINK("http://www.twitter.com/NathanBLawrence/status/991113545847853056", "991113545847853056")</f>
        <v/>
      </c>
      <c r="B1271" s="2" t="n">
        <v>43221.02380787037</v>
      </c>
      <c r="C1271" t="n">
        <v>0</v>
      </c>
      <c r="D1271" t="n">
        <v>13</v>
      </c>
      <c r="E1271" t="s">
        <v>1277</v>
      </c>
      <c r="F1271" t="s"/>
      <c r="G1271" t="s"/>
      <c r="H1271" t="s"/>
      <c r="I1271" t="s"/>
      <c r="J1271" t="n">
        <v>0</v>
      </c>
      <c r="K1271" t="n">
        <v>0</v>
      </c>
      <c r="L1271" t="n">
        <v>1</v>
      </c>
      <c r="M1271" t="n">
        <v>0</v>
      </c>
    </row>
    <row r="1272" spans="1:13">
      <c r="A1272" s="1">
        <f>HYPERLINK("http://www.twitter.com/NathanBLawrence/status/991110299326480386", "991110299326480386")</f>
        <v/>
      </c>
      <c r="B1272" s="2" t="n">
        <v>43221.01484953704</v>
      </c>
      <c r="C1272" t="n">
        <v>0</v>
      </c>
      <c r="D1272" t="n">
        <v>1</v>
      </c>
      <c r="E1272" t="s">
        <v>1278</v>
      </c>
      <c r="F1272" t="s"/>
      <c r="G1272" t="s"/>
      <c r="H1272" t="s"/>
      <c r="I1272" t="s"/>
      <c r="J1272" t="n">
        <v>0.2235</v>
      </c>
      <c r="K1272" t="n">
        <v>0</v>
      </c>
      <c r="L1272" t="n">
        <v>0.905</v>
      </c>
      <c r="M1272" t="n">
        <v>0.095</v>
      </c>
    </row>
    <row r="1273" spans="1:13">
      <c r="A1273" s="1">
        <f>HYPERLINK("http://www.twitter.com/NathanBLawrence/status/991106571961864192", "991106571961864192")</f>
        <v/>
      </c>
      <c r="B1273" s="2" t="n">
        <v>43221.00457175926</v>
      </c>
      <c r="C1273" t="n">
        <v>5</v>
      </c>
      <c r="D1273" t="n">
        <v>1</v>
      </c>
      <c r="E1273" t="s">
        <v>1279</v>
      </c>
      <c r="F1273" t="s"/>
      <c r="G1273" t="s"/>
      <c r="H1273" t="s"/>
      <c r="I1273" t="s"/>
      <c r="J1273" t="n">
        <v>-0.0547</v>
      </c>
      <c r="K1273" t="n">
        <v>0.091</v>
      </c>
      <c r="L1273" t="n">
        <v>0.794</v>
      </c>
      <c r="M1273" t="n">
        <v>0.114</v>
      </c>
    </row>
    <row r="1274" spans="1:13">
      <c r="A1274" s="1">
        <f>HYPERLINK("http://www.twitter.com/NathanBLawrence/status/991106219233435653", "991106219233435653")</f>
        <v/>
      </c>
      <c r="B1274" s="2" t="n">
        <v>43221.00359953703</v>
      </c>
      <c r="C1274" t="n">
        <v>0</v>
      </c>
      <c r="D1274" t="n">
        <v>32</v>
      </c>
      <c r="E1274" t="s">
        <v>1280</v>
      </c>
      <c r="F1274" t="s"/>
      <c r="G1274" t="s"/>
      <c r="H1274" t="s"/>
      <c r="I1274" t="s"/>
      <c r="J1274" t="n">
        <v>0</v>
      </c>
      <c r="K1274" t="n">
        <v>0</v>
      </c>
      <c r="L1274" t="n">
        <v>1</v>
      </c>
      <c r="M1274" t="n">
        <v>0</v>
      </c>
    </row>
    <row r="1275" spans="1:13">
      <c r="A1275" s="1">
        <f>HYPERLINK("http://www.twitter.com/NathanBLawrence/status/991094369888473088", "991094369888473088")</f>
        <v/>
      </c>
      <c r="B1275" s="2" t="n">
        <v>43220.97090277778</v>
      </c>
      <c r="C1275" t="n">
        <v>0</v>
      </c>
      <c r="D1275" t="n">
        <v>8</v>
      </c>
      <c r="E1275" t="s">
        <v>1281</v>
      </c>
      <c r="F1275">
        <f>HYPERLINK("http://pbs.twimg.com/media/DcEL7k6X0AM5OL9.jpg", "http://pbs.twimg.com/media/DcEL7k6X0AM5OL9.jpg")</f>
        <v/>
      </c>
      <c r="G1275" t="s"/>
      <c r="H1275" t="s"/>
      <c r="I1275" t="s"/>
      <c r="J1275" t="n">
        <v>0.128</v>
      </c>
      <c r="K1275" t="n">
        <v>0</v>
      </c>
      <c r="L1275" t="n">
        <v>0.927</v>
      </c>
      <c r="M1275" t="n">
        <v>0.073</v>
      </c>
    </row>
    <row r="1276" spans="1:13">
      <c r="A1276" s="1">
        <f>HYPERLINK("http://www.twitter.com/NathanBLawrence/status/991093324835622912", "991093324835622912")</f>
        <v/>
      </c>
      <c r="B1276" s="2" t="n">
        <v>43220.96800925926</v>
      </c>
      <c r="C1276" t="n">
        <v>0</v>
      </c>
      <c r="D1276" t="n">
        <v>1</v>
      </c>
      <c r="E1276" t="s">
        <v>1282</v>
      </c>
      <c r="F1276" t="s"/>
      <c r="G1276" t="s"/>
      <c r="H1276" t="s"/>
      <c r="I1276" t="s"/>
      <c r="J1276" t="n">
        <v>0</v>
      </c>
      <c r="K1276" t="n">
        <v>0</v>
      </c>
      <c r="L1276" t="n">
        <v>1</v>
      </c>
      <c r="M1276" t="n">
        <v>0</v>
      </c>
    </row>
    <row r="1277" spans="1:13">
      <c r="A1277" s="1">
        <f>HYPERLINK("http://www.twitter.com/NathanBLawrence/status/991093273379921921", "991093273379921921")</f>
        <v/>
      </c>
      <c r="B1277" s="2" t="n">
        <v>43220.96787037037</v>
      </c>
      <c r="C1277" t="n">
        <v>0</v>
      </c>
      <c r="D1277" t="n">
        <v>1</v>
      </c>
      <c r="E1277" t="s">
        <v>1283</v>
      </c>
      <c r="F1277" t="s"/>
      <c r="G1277" t="s"/>
      <c r="H1277" t="s"/>
      <c r="I1277" t="s"/>
      <c r="J1277" t="n">
        <v>0</v>
      </c>
      <c r="K1277" t="n">
        <v>0</v>
      </c>
      <c r="L1277" t="n">
        <v>1</v>
      </c>
      <c r="M1277" t="n">
        <v>0</v>
      </c>
    </row>
    <row r="1278" spans="1:13">
      <c r="A1278" s="1">
        <f>HYPERLINK("http://www.twitter.com/NathanBLawrence/status/991079962445795330", "991079962445795330")</f>
        <v/>
      </c>
      <c r="B1278" s="2" t="n">
        <v>43220.93114583333</v>
      </c>
      <c r="C1278" t="n">
        <v>5</v>
      </c>
      <c r="D1278" t="n">
        <v>5</v>
      </c>
      <c r="E1278" t="s">
        <v>1284</v>
      </c>
      <c r="F1278">
        <f>HYPERLINK("http://pbs.twimg.com/media/DcEF9s1WAAEyQ3E.jpg", "http://pbs.twimg.com/media/DcEF9s1WAAEyQ3E.jpg")</f>
        <v/>
      </c>
      <c r="G1278" t="s"/>
      <c r="H1278" t="s"/>
      <c r="I1278" t="s"/>
      <c r="J1278" t="n">
        <v>-0.3818</v>
      </c>
      <c r="K1278" t="n">
        <v>0.133</v>
      </c>
      <c r="L1278" t="n">
        <v>0.867</v>
      </c>
      <c r="M1278" t="n">
        <v>0</v>
      </c>
    </row>
    <row r="1279" spans="1:13">
      <c r="A1279" s="1">
        <f>HYPERLINK("http://www.twitter.com/NathanBLawrence/status/991078694134349825", "991078694134349825")</f>
        <v/>
      </c>
      <c r="B1279" s="2" t="n">
        <v>43220.92763888889</v>
      </c>
      <c r="C1279" t="n">
        <v>0</v>
      </c>
      <c r="D1279" t="n">
        <v>2</v>
      </c>
      <c r="E1279" t="s">
        <v>1285</v>
      </c>
      <c r="F1279" t="s"/>
      <c r="G1279" t="s"/>
      <c r="H1279" t="s"/>
      <c r="I1279" t="s"/>
      <c r="J1279" t="n">
        <v>-0.5423</v>
      </c>
      <c r="K1279" t="n">
        <v>0.189</v>
      </c>
      <c r="L1279" t="n">
        <v>0.8110000000000001</v>
      </c>
      <c r="M1279" t="n">
        <v>0</v>
      </c>
    </row>
    <row r="1280" spans="1:13">
      <c r="A1280" s="1">
        <f>HYPERLINK("http://www.twitter.com/NathanBLawrence/status/991078656427675648", "991078656427675648")</f>
        <v/>
      </c>
      <c r="B1280" s="2" t="n">
        <v>43220.92753472222</v>
      </c>
      <c r="C1280" t="n">
        <v>1</v>
      </c>
      <c r="D1280" t="n">
        <v>0</v>
      </c>
      <c r="E1280" t="s">
        <v>1286</v>
      </c>
      <c r="F1280" t="s"/>
      <c r="G1280" t="s"/>
      <c r="H1280" t="s"/>
      <c r="I1280" t="s"/>
      <c r="J1280" t="n">
        <v>-0.2737</v>
      </c>
      <c r="K1280" t="n">
        <v>0.14</v>
      </c>
      <c r="L1280" t="n">
        <v>0.722</v>
      </c>
      <c r="M1280" t="n">
        <v>0.138</v>
      </c>
    </row>
    <row r="1281" spans="1:13">
      <c r="A1281" s="1">
        <f>HYPERLINK("http://www.twitter.com/NathanBLawrence/status/991078655328649216", "991078655328649216")</f>
        <v/>
      </c>
      <c r="B1281" s="2" t="n">
        <v>43220.92753472222</v>
      </c>
      <c r="C1281" t="n">
        <v>1</v>
      </c>
      <c r="D1281" t="n">
        <v>2</v>
      </c>
      <c r="E1281" t="s">
        <v>1287</v>
      </c>
      <c r="F1281" t="s"/>
      <c r="G1281" t="s"/>
      <c r="H1281" t="s"/>
      <c r="I1281" t="s"/>
      <c r="J1281" t="n">
        <v>-0.1531</v>
      </c>
      <c r="K1281" t="n">
        <v>0.08500000000000001</v>
      </c>
      <c r="L1281" t="n">
        <v>0.845</v>
      </c>
      <c r="M1281" t="n">
        <v>0.07000000000000001</v>
      </c>
    </row>
    <row r="1282" spans="1:13">
      <c r="A1282" s="1">
        <f>HYPERLINK("http://www.twitter.com/NathanBLawrence/status/991075717566947329", "991075717566947329")</f>
        <v/>
      </c>
      <c r="B1282" s="2" t="n">
        <v>43220.91943287037</v>
      </c>
      <c r="C1282" t="n">
        <v>0</v>
      </c>
      <c r="D1282" t="n">
        <v>5</v>
      </c>
      <c r="E1282" t="s">
        <v>1288</v>
      </c>
      <c r="F1282" t="s"/>
      <c r="G1282" t="s"/>
      <c r="H1282" t="s"/>
      <c r="I1282" t="s"/>
      <c r="J1282" t="n">
        <v>-0.34</v>
      </c>
      <c r="K1282" t="n">
        <v>0.124</v>
      </c>
      <c r="L1282" t="n">
        <v>0.876</v>
      </c>
      <c r="M1282" t="n">
        <v>0</v>
      </c>
    </row>
    <row r="1283" spans="1:13">
      <c r="A1283" s="1">
        <f>HYPERLINK("http://www.twitter.com/NathanBLawrence/status/991075652827828230", "991075652827828230")</f>
        <v/>
      </c>
      <c r="B1283" s="2" t="n">
        <v>43220.91924768518</v>
      </c>
      <c r="C1283" t="n">
        <v>7</v>
      </c>
      <c r="D1283" t="n">
        <v>5</v>
      </c>
      <c r="E1283" t="s">
        <v>1289</v>
      </c>
      <c r="F1283" t="s"/>
      <c r="G1283" t="s"/>
      <c r="H1283" t="s"/>
      <c r="I1283" t="s"/>
      <c r="J1283" t="n">
        <v>-0.1027</v>
      </c>
      <c r="K1283" t="n">
        <v>0.076</v>
      </c>
      <c r="L1283" t="n">
        <v>0.86</v>
      </c>
      <c r="M1283" t="n">
        <v>0.064</v>
      </c>
    </row>
    <row r="1284" spans="1:13">
      <c r="A1284" s="1">
        <f>HYPERLINK("http://www.twitter.com/NathanBLawrence/status/991074616302034944", "991074616302034944")</f>
        <v/>
      </c>
      <c r="B1284" s="2" t="n">
        <v>43220.91638888889</v>
      </c>
      <c r="C1284" t="n">
        <v>0</v>
      </c>
      <c r="D1284" t="n">
        <v>11</v>
      </c>
      <c r="E1284" t="s">
        <v>1290</v>
      </c>
      <c r="F1284" t="s"/>
      <c r="G1284" t="s"/>
      <c r="H1284" t="s"/>
      <c r="I1284" t="s"/>
      <c r="J1284" t="n">
        <v>-0.296</v>
      </c>
      <c r="K1284" t="n">
        <v>0.104</v>
      </c>
      <c r="L1284" t="n">
        <v>0.896</v>
      </c>
      <c r="M1284" t="n">
        <v>0</v>
      </c>
    </row>
    <row r="1285" spans="1:13">
      <c r="A1285" s="1">
        <f>HYPERLINK("http://www.twitter.com/NathanBLawrence/status/991074585893376000", "991074585893376000")</f>
        <v/>
      </c>
      <c r="B1285" s="2" t="n">
        <v>43220.91630787037</v>
      </c>
      <c r="C1285" t="n">
        <v>11</v>
      </c>
      <c r="D1285" t="n">
        <v>11</v>
      </c>
      <c r="E1285" t="s">
        <v>1291</v>
      </c>
      <c r="F1285" t="s"/>
      <c r="G1285" t="s"/>
      <c r="H1285" t="s"/>
      <c r="I1285" t="s"/>
      <c r="J1285" t="n">
        <v>0.2023</v>
      </c>
      <c r="K1285" t="n">
        <v>0.053</v>
      </c>
      <c r="L1285" t="n">
        <v>0.85</v>
      </c>
      <c r="M1285" t="n">
        <v>0.097</v>
      </c>
    </row>
    <row r="1286" spans="1:13">
      <c r="A1286" s="1">
        <f>HYPERLINK("http://www.twitter.com/NathanBLawrence/status/991073419872686080", "991073419872686080")</f>
        <v/>
      </c>
      <c r="B1286" s="2" t="n">
        <v>43220.91309027778</v>
      </c>
      <c r="C1286" t="n">
        <v>0</v>
      </c>
      <c r="D1286" t="n">
        <v>11</v>
      </c>
      <c r="E1286" t="s">
        <v>1292</v>
      </c>
      <c r="F1286" t="s"/>
      <c r="G1286" t="s"/>
      <c r="H1286" t="s"/>
      <c r="I1286" t="s"/>
      <c r="J1286" t="n">
        <v>-0.5106000000000001</v>
      </c>
      <c r="K1286" t="n">
        <v>0.121</v>
      </c>
      <c r="L1286" t="n">
        <v>0.879</v>
      </c>
      <c r="M1286" t="n">
        <v>0</v>
      </c>
    </row>
    <row r="1287" spans="1:13">
      <c r="A1287" s="1">
        <f>HYPERLINK("http://www.twitter.com/NathanBLawrence/status/991073401572872192", "991073401572872192")</f>
        <v/>
      </c>
      <c r="B1287" s="2" t="n">
        <v>43220.91303240741</v>
      </c>
      <c r="C1287" t="n">
        <v>12</v>
      </c>
      <c r="D1287" t="n">
        <v>11</v>
      </c>
      <c r="E1287" t="s">
        <v>1293</v>
      </c>
      <c r="F1287" t="s"/>
      <c r="G1287" t="s"/>
      <c r="H1287" t="s"/>
      <c r="I1287" t="s"/>
      <c r="J1287" t="n">
        <v>-0.5106000000000001</v>
      </c>
      <c r="K1287" t="n">
        <v>0.073</v>
      </c>
      <c r="L1287" t="n">
        <v>0.927</v>
      </c>
      <c r="M1287" t="n">
        <v>0</v>
      </c>
    </row>
    <row r="1288" spans="1:13">
      <c r="A1288" s="1">
        <f>HYPERLINK("http://www.twitter.com/NathanBLawrence/status/991054734135119872", "991054734135119872")</f>
        <v/>
      </c>
      <c r="B1288" s="2" t="n">
        <v>43220.86152777778</v>
      </c>
      <c r="C1288" t="n">
        <v>3</v>
      </c>
      <c r="D1288" t="n">
        <v>1</v>
      </c>
      <c r="E1288" t="s">
        <v>1294</v>
      </c>
      <c r="F1288" t="s"/>
      <c r="G1288" t="s"/>
      <c r="H1288" t="s"/>
      <c r="I1288" t="s"/>
      <c r="J1288" t="n">
        <v>0.8709</v>
      </c>
      <c r="K1288" t="n">
        <v>0</v>
      </c>
      <c r="L1288" t="n">
        <v>0.527</v>
      </c>
      <c r="M1288" t="n">
        <v>0.473</v>
      </c>
    </row>
    <row r="1289" spans="1:13">
      <c r="A1289" s="1">
        <f>HYPERLINK("http://www.twitter.com/NathanBLawrence/status/991050139489001472", "991050139489001472")</f>
        <v/>
      </c>
      <c r="B1289" s="2" t="n">
        <v>43220.84884259259</v>
      </c>
      <c r="C1289" t="n">
        <v>0</v>
      </c>
      <c r="D1289" t="n">
        <v>1</v>
      </c>
      <c r="E1289" t="s">
        <v>1295</v>
      </c>
      <c r="F1289" t="s"/>
      <c r="G1289" t="s"/>
      <c r="H1289" t="s"/>
      <c r="I1289" t="s"/>
      <c r="J1289" t="n">
        <v>0</v>
      </c>
      <c r="K1289" t="n">
        <v>0</v>
      </c>
      <c r="L1289" t="n">
        <v>1</v>
      </c>
      <c r="M1289" t="n">
        <v>0</v>
      </c>
    </row>
    <row r="1290" spans="1:13">
      <c r="A1290" s="1">
        <f>HYPERLINK("http://www.twitter.com/NathanBLawrence/status/991050029820530688", "991050029820530688")</f>
        <v/>
      </c>
      <c r="B1290" s="2" t="n">
        <v>43220.84854166667</v>
      </c>
      <c r="C1290" t="n">
        <v>3</v>
      </c>
      <c r="D1290" t="n">
        <v>1</v>
      </c>
      <c r="E1290" t="s">
        <v>1296</v>
      </c>
      <c r="F1290" t="s"/>
      <c r="G1290" t="s"/>
      <c r="H1290" t="s"/>
      <c r="I1290" t="s"/>
      <c r="J1290" t="n">
        <v>0</v>
      </c>
      <c r="K1290" t="n">
        <v>0</v>
      </c>
      <c r="L1290" t="n">
        <v>1</v>
      </c>
      <c r="M1290" t="n">
        <v>0</v>
      </c>
    </row>
    <row r="1291" spans="1:13">
      <c r="A1291" s="1">
        <f>HYPERLINK("http://www.twitter.com/NathanBLawrence/status/991049519084310528", "991049519084310528")</f>
        <v/>
      </c>
      <c r="B1291" s="2" t="n">
        <v>43220.84712962963</v>
      </c>
      <c r="C1291" t="n">
        <v>0</v>
      </c>
      <c r="D1291" t="n">
        <v>2</v>
      </c>
      <c r="E1291" t="s">
        <v>1297</v>
      </c>
      <c r="F1291" t="s"/>
      <c r="G1291" t="s"/>
      <c r="H1291" t="s"/>
      <c r="I1291" t="s"/>
      <c r="J1291" t="n">
        <v>0.8074</v>
      </c>
      <c r="K1291" t="n">
        <v>0</v>
      </c>
      <c r="L1291" t="n">
        <v>0.6840000000000001</v>
      </c>
      <c r="M1291" t="n">
        <v>0.316</v>
      </c>
    </row>
    <row r="1292" spans="1:13">
      <c r="A1292" s="1">
        <f>HYPERLINK("http://www.twitter.com/NathanBLawrence/status/991049497454227456", "991049497454227456")</f>
        <v/>
      </c>
      <c r="B1292" s="2" t="n">
        <v>43220.84707175926</v>
      </c>
      <c r="C1292" t="n">
        <v>2</v>
      </c>
      <c r="D1292" t="n">
        <v>2</v>
      </c>
      <c r="E1292" t="s">
        <v>1298</v>
      </c>
      <c r="F1292" t="s"/>
      <c r="G1292" t="s"/>
      <c r="H1292" t="s"/>
      <c r="I1292" t="s"/>
      <c r="J1292" t="n">
        <v>0.8074</v>
      </c>
      <c r="K1292" t="n">
        <v>0</v>
      </c>
      <c r="L1292" t="n">
        <v>0.717</v>
      </c>
      <c r="M1292" t="n">
        <v>0.283</v>
      </c>
    </row>
    <row r="1293" spans="1:13">
      <c r="A1293" s="1">
        <f>HYPERLINK("http://www.twitter.com/NathanBLawrence/status/991036737962106882", "991036737962106882")</f>
        <v/>
      </c>
      <c r="B1293" s="2" t="n">
        <v>43220.81186342592</v>
      </c>
      <c r="C1293" t="n">
        <v>0</v>
      </c>
      <c r="D1293" t="n">
        <v>2</v>
      </c>
      <c r="E1293" t="s">
        <v>1299</v>
      </c>
      <c r="F1293">
        <f>HYPERLINK("http://pbs.twimg.com/media/DcDdYoYUwAAaSUQ.jpg", "http://pbs.twimg.com/media/DcDdYoYUwAAaSUQ.jpg")</f>
        <v/>
      </c>
      <c r="G1293" t="s"/>
      <c r="H1293" t="s"/>
      <c r="I1293" t="s"/>
      <c r="J1293" t="n">
        <v>0</v>
      </c>
      <c r="K1293" t="n">
        <v>0</v>
      </c>
      <c r="L1293" t="n">
        <v>1</v>
      </c>
      <c r="M1293" t="n">
        <v>0</v>
      </c>
    </row>
    <row r="1294" spans="1:13">
      <c r="A1294" s="1">
        <f>HYPERLINK("http://www.twitter.com/NathanBLawrence/status/991036690440613888", "991036690440613888")</f>
        <v/>
      </c>
      <c r="B1294" s="2" t="n">
        <v>43220.81173611111</v>
      </c>
      <c r="C1294" t="n">
        <v>0</v>
      </c>
      <c r="D1294" t="n">
        <v>1</v>
      </c>
      <c r="E1294" t="s">
        <v>1300</v>
      </c>
      <c r="F1294" t="s"/>
      <c r="G1294" t="s"/>
      <c r="H1294" t="s"/>
      <c r="I1294" t="s"/>
      <c r="J1294" t="n">
        <v>0</v>
      </c>
      <c r="K1294" t="n">
        <v>0</v>
      </c>
      <c r="L1294" t="n">
        <v>1</v>
      </c>
      <c r="M1294" t="n">
        <v>0</v>
      </c>
    </row>
    <row r="1295" spans="1:13">
      <c r="A1295" s="1">
        <f>HYPERLINK("http://www.twitter.com/NathanBLawrence/status/991007531353935872", "991007531353935872")</f>
        <v/>
      </c>
      <c r="B1295" s="2" t="n">
        <v>43220.73127314815</v>
      </c>
      <c r="C1295" t="n">
        <v>0</v>
      </c>
      <c r="D1295" t="n">
        <v>4</v>
      </c>
      <c r="E1295" t="s">
        <v>1301</v>
      </c>
      <c r="F1295" t="s"/>
      <c r="G1295" t="s"/>
      <c r="H1295" t="s"/>
      <c r="I1295" t="s"/>
      <c r="J1295" t="n">
        <v>0.6705</v>
      </c>
      <c r="K1295" t="n">
        <v>0</v>
      </c>
      <c r="L1295" t="n">
        <v>0.756</v>
      </c>
      <c r="M1295" t="n">
        <v>0.244</v>
      </c>
    </row>
    <row r="1296" spans="1:13">
      <c r="A1296" s="1">
        <f>HYPERLINK("http://www.twitter.com/NathanBLawrence/status/991007520994091009", "991007520994091009")</f>
        <v/>
      </c>
      <c r="B1296" s="2" t="n">
        <v>43220.73123842593</v>
      </c>
      <c r="C1296" t="n">
        <v>0</v>
      </c>
      <c r="D1296" t="n">
        <v>28</v>
      </c>
      <c r="E1296" t="s">
        <v>1302</v>
      </c>
      <c r="F1296" t="s"/>
      <c r="G1296" t="s"/>
      <c r="H1296" t="s"/>
      <c r="I1296" t="s"/>
      <c r="J1296" t="n">
        <v>0</v>
      </c>
      <c r="K1296" t="n">
        <v>0</v>
      </c>
      <c r="L1296" t="n">
        <v>1</v>
      </c>
      <c r="M1296" t="n">
        <v>0</v>
      </c>
    </row>
    <row r="1297" spans="1:13">
      <c r="A1297" s="1">
        <f>HYPERLINK("http://www.twitter.com/NathanBLawrence/status/990996493527142401", "990996493527142401")</f>
        <v/>
      </c>
      <c r="B1297" s="2" t="n">
        <v>43220.70081018518</v>
      </c>
      <c r="C1297" t="n">
        <v>0</v>
      </c>
      <c r="D1297" t="n">
        <v>1</v>
      </c>
      <c r="E1297" t="s">
        <v>1303</v>
      </c>
      <c r="F1297" t="s"/>
      <c r="G1297" t="s"/>
      <c r="H1297" t="s"/>
      <c r="I1297" t="s"/>
      <c r="J1297" t="n">
        <v>-0.3612</v>
      </c>
      <c r="K1297" t="n">
        <v>0.135</v>
      </c>
      <c r="L1297" t="n">
        <v>0.865</v>
      </c>
      <c r="M1297" t="n">
        <v>0</v>
      </c>
    </row>
    <row r="1298" spans="1:13">
      <c r="A1298" s="1">
        <f>HYPERLINK("http://www.twitter.com/NathanBLawrence/status/990988774158069761", "990988774158069761")</f>
        <v/>
      </c>
      <c r="B1298" s="2" t="n">
        <v>43220.67951388889</v>
      </c>
      <c r="C1298" t="n">
        <v>0</v>
      </c>
      <c r="D1298" t="n">
        <v>1</v>
      </c>
      <c r="E1298" t="s">
        <v>1304</v>
      </c>
      <c r="F1298" t="s"/>
      <c r="G1298" t="s"/>
      <c r="H1298" t="s"/>
      <c r="I1298" t="s"/>
      <c r="J1298" t="n">
        <v>0</v>
      </c>
      <c r="K1298" t="n">
        <v>0</v>
      </c>
      <c r="L1298" t="n">
        <v>1</v>
      </c>
      <c r="M1298" t="n">
        <v>0</v>
      </c>
    </row>
    <row r="1299" spans="1:13">
      <c r="A1299" s="1">
        <f>HYPERLINK("http://www.twitter.com/NathanBLawrence/status/990977217399263232", "990977217399263232")</f>
        <v/>
      </c>
      <c r="B1299" s="2" t="n">
        <v>43220.64761574074</v>
      </c>
      <c r="C1299" t="n">
        <v>0</v>
      </c>
      <c r="D1299" t="n">
        <v>1</v>
      </c>
      <c r="E1299" t="s">
        <v>1305</v>
      </c>
      <c r="F1299" t="s"/>
      <c r="G1299" t="s"/>
      <c r="H1299" t="s"/>
      <c r="I1299" t="s"/>
      <c r="J1299" t="n">
        <v>0</v>
      </c>
      <c r="K1299" t="n">
        <v>0</v>
      </c>
      <c r="L1299" t="n">
        <v>1</v>
      </c>
      <c r="M1299" t="n">
        <v>0</v>
      </c>
    </row>
    <row r="1300" spans="1:13">
      <c r="A1300" s="1">
        <f>HYPERLINK("http://www.twitter.com/NathanBLawrence/status/990977195832238087", "990977195832238087")</f>
        <v/>
      </c>
      <c r="B1300" s="2" t="n">
        <v>43220.64755787037</v>
      </c>
      <c r="C1300" t="n">
        <v>1</v>
      </c>
      <c r="D1300" t="n">
        <v>1</v>
      </c>
      <c r="E1300" t="s">
        <v>1306</v>
      </c>
      <c r="F1300" t="s"/>
      <c r="G1300" t="s"/>
      <c r="H1300" t="s"/>
      <c r="I1300" t="s"/>
      <c r="J1300" t="n">
        <v>0</v>
      </c>
      <c r="K1300" t="n">
        <v>0</v>
      </c>
      <c r="L1300" t="n">
        <v>1</v>
      </c>
      <c r="M1300" t="n">
        <v>0</v>
      </c>
    </row>
    <row r="1301" spans="1:13">
      <c r="A1301" s="1">
        <f>HYPERLINK("http://www.twitter.com/NathanBLawrence/status/990955269386653696", "990955269386653696")</f>
        <v/>
      </c>
      <c r="B1301" s="2" t="n">
        <v>43220.58704861111</v>
      </c>
      <c r="C1301" t="n">
        <v>0</v>
      </c>
      <c r="D1301" t="n">
        <v>3</v>
      </c>
      <c r="E1301" t="s">
        <v>1307</v>
      </c>
      <c r="F1301" t="s"/>
      <c r="G1301" t="s"/>
      <c r="H1301" t="s"/>
      <c r="I1301" t="s"/>
      <c r="J1301" t="n">
        <v>0.4019</v>
      </c>
      <c r="K1301" t="n">
        <v>0</v>
      </c>
      <c r="L1301" t="n">
        <v>0.886</v>
      </c>
      <c r="M1301" t="n">
        <v>0.114</v>
      </c>
    </row>
    <row r="1302" spans="1:13">
      <c r="A1302" s="1">
        <f>HYPERLINK("http://www.twitter.com/NathanBLawrence/status/990955245835640833", "990955245835640833")</f>
        <v/>
      </c>
      <c r="B1302" s="2" t="n">
        <v>43220.58699074074</v>
      </c>
      <c r="C1302" t="n">
        <v>3</v>
      </c>
      <c r="D1302" t="n">
        <v>3</v>
      </c>
      <c r="E1302" t="s">
        <v>1308</v>
      </c>
      <c r="F1302" t="s"/>
      <c r="G1302" t="s"/>
      <c r="H1302" t="s"/>
      <c r="I1302" t="s"/>
      <c r="J1302" t="n">
        <v>-0.2732</v>
      </c>
      <c r="K1302" t="n">
        <v>0.08500000000000001</v>
      </c>
      <c r="L1302" t="n">
        <v>0.854</v>
      </c>
      <c r="M1302" t="n">
        <v>0.061</v>
      </c>
    </row>
    <row r="1303" spans="1:13">
      <c r="A1303" s="1">
        <f>HYPERLINK("http://www.twitter.com/NathanBLawrence/status/990919368468033536", "990919368468033536")</f>
        <v/>
      </c>
      <c r="B1303" s="2" t="n">
        <v>43220.48798611111</v>
      </c>
      <c r="C1303" t="n">
        <v>0</v>
      </c>
      <c r="D1303" t="n">
        <v>1</v>
      </c>
      <c r="E1303" t="s">
        <v>1309</v>
      </c>
      <c r="F1303" t="s"/>
      <c r="G1303" t="s"/>
      <c r="H1303" t="s"/>
      <c r="I1303" t="s"/>
      <c r="J1303" t="n">
        <v>-0.6707</v>
      </c>
      <c r="K1303" t="n">
        <v>0.216</v>
      </c>
      <c r="L1303" t="n">
        <v>0.784</v>
      </c>
      <c r="M1303" t="n">
        <v>0</v>
      </c>
    </row>
    <row r="1304" spans="1:13">
      <c r="A1304" s="1">
        <f>HYPERLINK("http://www.twitter.com/NathanBLawrence/status/990919274440089600", "990919274440089600")</f>
        <v/>
      </c>
      <c r="B1304" s="2" t="n">
        <v>43220.48773148148</v>
      </c>
      <c r="C1304" t="n">
        <v>0</v>
      </c>
      <c r="D1304" t="n">
        <v>1</v>
      </c>
      <c r="E1304" t="s">
        <v>1310</v>
      </c>
      <c r="F1304" t="s"/>
      <c r="G1304" t="s"/>
      <c r="H1304" t="s"/>
      <c r="I1304" t="s"/>
      <c r="J1304" t="n">
        <v>0</v>
      </c>
      <c r="K1304" t="n">
        <v>0</v>
      </c>
      <c r="L1304" t="n">
        <v>1</v>
      </c>
      <c r="M1304" t="n">
        <v>0</v>
      </c>
    </row>
    <row r="1305" spans="1:13">
      <c r="A1305" s="1">
        <f>HYPERLINK("http://www.twitter.com/NathanBLawrence/status/990919067694444544", "990919067694444544")</f>
        <v/>
      </c>
      <c r="B1305" s="2" t="n">
        <v>43220.48715277778</v>
      </c>
      <c r="C1305" t="n">
        <v>1</v>
      </c>
      <c r="D1305" t="n">
        <v>1</v>
      </c>
      <c r="E1305" t="s">
        <v>1311</v>
      </c>
      <c r="F1305" t="s"/>
      <c r="G1305" t="s"/>
      <c r="H1305" t="s"/>
      <c r="I1305" t="s"/>
      <c r="J1305" t="n">
        <v>-0.6707</v>
      </c>
      <c r="K1305" t="n">
        <v>0.234</v>
      </c>
      <c r="L1305" t="n">
        <v>0.766</v>
      </c>
      <c r="M1305" t="n">
        <v>0</v>
      </c>
    </row>
    <row r="1306" spans="1:13">
      <c r="A1306" s="1">
        <f>HYPERLINK("http://www.twitter.com/NathanBLawrence/status/990904543385972736", "990904543385972736")</f>
        <v/>
      </c>
      <c r="B1306" s="2" t="n">
        <v>43220.44707175926</v>
      </c>
      <c r="C1306" t="n">
        <v>0</v>
      </c>
      <c r="D1306" t="n">
        <v>1</v>
      </c>
      <c r="E1306" t="s">
        <v>1312</v>
      </c>
      <c r="F1306" t="s"/>
      <c r="G1306" t="s"/>
      <c r="H1306" t="s"/>
      <c r="I1306" t="s"/>
      <c r="J1306" t="n">
        <v>-0.1027</v>
      </c>
      <c r="K1306" t="n">
        <v>0.099</v>
      </c>
      <c r="L1306" t="n">
        <v>0.8159999999999999</v>
      </c>
      <c r="M1306" t="n">
        <v>0.08500000000000001</v>
      </c>
    </row>
    <row r="1307" spans="1:13">
      <c r="A1307" s="1">
        <f>HYPERLINK("http://www.twitter.com/NathanBLawrence/status/990904474720985095", "990904474720985095")</f>
        <v/>
      </c>
      <c r="B1307" s="2" t="n">
        <v>43220.44688657407</v>
      </c>
      <c r="C1307" t="n">
        <v>1</v>
      </c>
      <c r="D1307" t="n">
        <v>1</v>
      </c>
      <c r="E1307" t="s">
        <v>1313</v>
      </c>
      <c r="F1307" t="s"/>
      <c r="G1307" t="s"/>
      <c r="H1307" t="s"/>
      <c r="I1307" t="s"/>
      <c r="J1307" t="n">
        <v>0.1803</v>
      </c>
      <c r="K1307" t="n">
        <v>0.054</v>
      </c>
      <c r="L1307" t="n">
        <v>0.86</v>
      </c>
      <c r="M1307" t="n">
        <v>0.08599999999999999</v>
      </c>
    </row>
    <row r="1308" spans="1:13">
      <c r="A1308" s="1">
        <f>HYPERLINK("http://www.twitter.com/NathanBLawrence/status/990903556088717312", "990903556088717312")</f>
        <v/>
      </c>
      <c r="B1308" s="2" t="n">
        <v>43220.44435185185</v>
      </c>
      <c r="C1308" t="n">
        <v>0</v>
      </c>
      <c r="D1308" t="n">
        <v>9</v>
      </c>
      <c r="E1308" t="s">
        <v>1314</v>
      </c>
      <c r="F1308" t="s"/>
      <c r="G1308" t="s"/>
      <c r="H1308" t="s"/>
      <c r="I1308" t="s"/>
      <c r="J1308" t="n">
        <v>0.6808</v>
      </c>
      <c r="K1308" t="n">
        <v>0</v>
      </c>
      <c r="L1308" t="n">
        <v>0.663</v>
      </c>
      <c r="M1308" t="n">
        <v>0.337</v>
      </c>
    </row>
    <row r="1309" spans="1:13">
      <c r="A1309" s="1">
        <f>HYPERLINK("http://www.twitter.com/NathanBLawrence/status/990891218065387521", "990891218065387521")</f>
        <v/>
      </c>
      <c r="B1309" s="2" t="n">
        <v>43220.41030092593</v>
      </c>
      <c r="C1309" t="n">
        <v>0</v>
      </c>
      <c r="D1309" t="n">
        <v>12</v>
      </c>
      <c r="E1309" t="s">
        <v>1315</v>
      </c>
      <c r="F1309" t="s"/>
      <c r="G1309" t="s"/>
      <c r="H1309" t="s"/>
      <c r="I1309" t="s"/>
      <c r="J1309" t="n">
        <v>-0.296</v>
      </c>
      <c r="K1309" t="n">
        <v>0.095</v>
      </c>
      <c r="L1309" t="n">
        <v>0.905</v>
      </c>
      <c r="M1309" t="n">
        <v>0</v>
      </c>
    </row>
    <row r="1310" spans="1:13">
      <c r="A1310" s="1">
        <f>HYPERLINK("http://www.twitter.com/NathanBLawrence/status/990891087320567808", "990891087320567808")</f>
        <v/>
      </c>
      <c r="B1310" s="2" t="n">
        <v>43220.40994212963</v>
      </c>
      <c r="C1310" t="n">
        <v>0</v>
      </c>
      <c r="D1310" t="n">
        <v>0</v>
      </c>
      <c r="E1310" t="s">
        <v>1316</v>
      </c>
      <c r="F1310" t="s"/>
      <c r="G1310" t="s"/>
      <c r="H1310" t="s"/>
      <c r="I1310" t="s"/>
      <c r="J1310" t="n">
        <v>0.5023</v>
      </c>
      <c r="K1310" t="n">
        <v>0</v>
      </c>
      <c r="L1310" t="n">
        <v>0.896</v>
      </c>
      <c r="M1310" t="n">
        <v>0.104</v>
      </c>
    </row>
    <row r="1311" spans="1:13">
      <c r="A1311" s="1">
        <f>HYPERLINK("http://www.twitter.com/NathanBLawrence/status/990887079239389185", "990887079239389185")</f>
        <v/>
      </c>
      <c r="B1311" s="2" t="n">
        <v>43220.39888888889</v>
      </c>
      <c r="C1311" t="n">
        <v>0</v>
      </c>
      <c r="D1311" t="n">
        <v>2</v>
      </c>
      <c r="E1311" t="s">
        <v>1317</v>
      </c>
      <c r="F1311" t="s"/>
      <c r="G1311" t="s"/>
      <c r="H1311" t="s"/>
      <c r="I1311" t="s"/>
      <c r="J1311" t="n">
        <v>-0.296</v>
      </c>
      <c r="K1311" t="n">
        <v>0.167</v>
      </c>
      <c r="L1311" t="n">
        <v>0.833</v>
      </c>
      <c r="M1311" t="n">
        <v>0</v>
      </c>
    </row>
    <row r="1312" spans="1:13">
      <c r="A1312" s="1">
        <f>HYPERLINK("http://www.twitter.com/NathanBLawrence/status/990886612769869824", "990886612769869824")</f>
        <v/>
      </c>
      <c r="B1312" s="2" t="n">
        <v>43220.39759259259</v>
      </c>
      <c r="C1312" t="n">
        <v>0</v>
      </c>
      <c r="D1312" t="n">
        <v>18</v>
      </c>
      <c r="E1312" t="s">
        <v>1318</v>
      </c>
      <c r="F1312" t="s"/>
      <c r="G1312" t="s"/>
      <c r="H1312" t="s"/>
      <c r="I1312" t="s"/>
      <c r="J1312" t="n">
        <v>-0.128</v>
      </c>
      <c r="K1312" t="n">
        <v>0.077</v>
      </c>
      <c r="L1312" t="n">
        <v>0.923</v>
      </c>
      <c r="M1312" t="n">
        <v>0</v>
      </c>
    </row>
    <row r="1313" spans="1:13">
      <c r="A1313" s="1">
        <f>HYPERLINK("http://www.twitter.com/NathanBLawrence/status/990773785975578625", "990773785975578625")</f>
        <v/>
      </c>
      <c r="B1313" s="2" t="n">
        <v>43220.08625</v>
      </c>
      <c r="C1313" t="n">
        <v>0</v>
      </c>
      <c r="D1313" t="n">
        <v>3</v>
      </c>
      <c r="E1313" t="s">
        <v>1319</v>
      </c>
      <c r="F1313" t="s"/>
      <c r="G1313" t="s"/>
      <c r="H1313" t="s"/>
      <c r="I1313" t="s"/>
      <c r="J1313" t="n">
        <v>0.7783</v>
      </c>
      <c r="K1313" t="n">
        <v>0</v>
      </c>
      <c r="L1313" t="n">
        <v>0.698</v>
      </c>
      <c r="M1313" t="n">
        <v>0.302</v>
      </c>
    </row>
    <row r="1314" spans="1:13">
      <c r="A1314" s="1">
        <f>HYPERLINK("http://www.twitter.com/NathanBLawrence/status/990738610868707328", "990738610868707328")</f>
        <v/>
      </c>
      <c r="B1314" s="2" t="n">
        <v>43219.98918981481</v>
      </c>
      <c r="C1314" t="n">
        <v>0</v>
      </c>
      <c r="D1314" t="n">
        <v>1</v>
      </c>
      <c r="E1314" t="s">
        <v>1320</v>
      </c>
      <c r="F1314" t="s"/>
      <c r="G1314" t="s"/>
      <c r="H1314" t="s"/>
      <c r="I1314" t="s"/>
      <c r="J1314" t="n">
        <v>0.4678</v>
      </c>
      <c r="K1314" t="n">
        <v>0.168</v>
      </c>
      <c r="L1314" t="n">
        <v>0.48</v>
      </c>
      <c r="M1314" t="n">
        <v>0.351</v>
      </c>
    </row>
    <row r="1315" spans="1:13">
      <c r="A1315" s="1">
        <f>HYPERLINK("http://www.twitter.com/NathanBLawrence/status/990738595161001985", "990738595161001985")</f>
        <v/>
      </c>
      <c r="B1315" s="2" t="n">
        <v>43219.98914351852</v>
      </c>
      <c r="C1315" t="n">
        <v>1</v>
      </c>
      <c r="D1315" t="n">
        <v>1</v>
      </c>
      <c r="E1315" t="s">
        <v>1321</v>
      </c>
      <c r="F1315" t="s"/>
      <c r="G1315" t="s"/>
      <c r="H1315" t="s"/>
      <c r="I1315" t="s"/>
      <c r="J1315" t="n">
        <v>0.4678</v>
      </c>
      <c r="K1315" t="n">
        <v>0.191</v>
      </c>
      <c r="L1315" t="n">
        <v>0.41</v>
      </c>
      <c r="M1315" t="n">
        <v>0.399</v>
      </c>
    </row>
    <row r="1316" spans="1:13">
      <c r="A1316" s="1">
        <f>HYPERLINK("http://www.twitter.com/NathanBLawrence/status/990738231221202945", "990738231221202945")</f>
        <v/>
      </c>
      <c r="B1316" s="2" t="n">
        <v>43219.98814814815</v>
      </c>
      <c r="C1316" t="n">
        <v>0</v>
      </c>
      <c r="D1316" t="n">
        <v>10</v>
      </c>
      <c r="E1316" t="s">
        <v>1322</v>
      </c>
      <c r="F1316" t="s"/>
      <c r="G1316" t="s"/>
      <c r="H1316" t="s"/>
      <c r="I1316" t="s"/>
      <c r="J1316" t="n">
        <v>0.5266999999999999</v>
      </c>
      <c r="K1316" t="n">
        <v>0.064</v>
      </c>
      <c r="L1316" t="n">
        <v>0.75</v>
      </c>
      <c r="M1316" t="n">
        <v>0.186</v>
      </c>
    </row>
    <row r="1317" spans="1:13">
      <c r="A1317" s="1">
        <f>HYPERLINK("http://www.twitter.com/NathanBLawrence/status/990728151113388032", "990728151113388032")</f>
        <v/>
      </c>
      <c r="B1317" s="2" t="n">
        <v>43219.96032407408</v>
      </c>
      <c r="C1317" t="n">
        <v>0</v>
      </c>
      <c r="D1317" t="n">
        <v>7</v>
      </c>
      <c r="E1317" t="s">
        <v>1323</v>
      </c>
      <c r="F1317">
        <f>HYPERLINK("http://pbs.twimg.com/media/Db-mqlpUwAA8E1K.jpg", "http://pbs.twimg.com/media/Db-mqlpUwAA8E1K.jpg")</f>
        <v/>
      </c>
      <c r="G1317" t="s"/>
      <c r="H1317" t="s"/>
      <c r="I1317" t="s"/>
      <c r="J1317" t="n">
        <v>-0.296</v>
      </c>
      <c r="K1317" t="n">
        <v>0.155</v>
      </c>
      <c r="L1317" t="n">
        <v>0.845</v>
      </c>
      <c r="M1317" t="n">
        <v>0</v>
      </c>
    </row>
    <row r="1318" spans="1:13">
      <c r="A1318" s="1">
        <f>HYPERLINK("http://www.twitter.com/NathanBLawrence/status/990689215041196032", "990689215041196032")</f>
        <v/>
      </c>
      <c r="B1318" s="2" t="n">
        <v>43219.85288194445</v>
      </c>
      <c r="C1318" t="n">
        <v>0</v>
      </c>
      <c r="D1318" t="n">
        <v>9</v>
      </c>
      <c r="E1318" t="s">
        <v>1324</v>
      </c>
      <c r="F1318" t="s"/>
      <c r="G1318" t="s"/>
      <c r="H1318" t="s"/>
      <c r="I1318" t="s"/>
      <c r="J1318" t="n">
        <v>-0.296</v>
      </c>
      <c r="K1318" t="n">
        <v>0.112</v>
      </c>
      <c r="L1318" t="n">
        <v>0.826</v>
      </c>
      <c r="M1318" t="n">
        <v>0.062</v>
      </c>
    </row>
    <row r="1319" spans="1:13">
      <c r="A1319" s="1">
        <f>HYPERLINK("http://www.twitter.com/NathanBLawrence/status/990672502723612678", "990672502723612678")</f>
        <v/>
      </c>
      <c r="B1319" s="2" t="n">
        <v>43219.80677083333</v>
      </c>
      <c r="C1319" t="n">
        <v>0</v>
      </c>
      <c r="D1319" t="n">
        <v>5</v>
      </c>
      <c r="E1319" t="s">
        <v>1325</v>
      </c>
      <c r="F1319" t="s"/>
      <c r="G1319" t="s"/>
      <c r="H1319" t="s"/>
      <c r="I1319" t="s"/>
      <c r="J1319" t="n">
        <v>-0.296</v>
      </c>
      <c r="K1319" t="n">
        <v>0.145</v>
      </c>
      <c r="L1319" t="n">
        <v>0.855</v>
      </c>
      <c r="M1319" t="n">
        <v>0</v>
      </c>
    </row>
    <row r="1320" spans="1:13">
      <c r="A1320" s="1">
        <f>HYPERLINK("http://www.twitter.com/NathanBLawrence/status/990641490610278402", "990641490610278402")</f>
        <v/>
      </c>
      <c r="B1320" s="2" t="n">
        <v>43219.72119212963</v>
      </c>
      <c r="C1320" t="n">
        <v>0</v>
      </c>
      <c r="D1320" t="n">
        <v>8</v>
      </c>
      <c r="E1320" t="s">
        <v>1326</v>
      </c>
      <c r="F1320" t="s"/>
      <c r="G1320" t="s"/>
      <c r="H1320" t="s"/>
      <c r="I1320" t="s"/>
      <c r="J1320" t="n">
        <v>0.7783</v>
      </c>
      <c r="K1320" t="n">
        <v>0</v>
      </c>
      <c r="L1320" t="n">
        <v>0.698</v>
      </c>
      <c r="M1320" t="n">
        <v>0.302</v>
      </c>
    </row>
    <row r="1321" spans="1:13">
      <c r="A1321" s="1">
        <f>HYPERLINK("http://www.twitter.com/NathanBLawrence/status/990561034707656704", "990561034707656704")</f>
        <v/>
      </c>
      <c r="B1321" s="2" t="n">
        <v>43219.49917824074</v>
      </c>
      <c r="C1321" t="n">
        <v>0</v>
      </c>
      <c r="D1321" t="n">
        <v>2</v>
      </c>
      <c r="E1321" t="s">
        <v>1327</v>
      </c>
      <c r="F1321" t="s"/>
      <c r="G1321" t="s"/>
      <c r="H1321" t="s"/>
      <c r="I1321" t="s"/>
      <c r="J1321" t="n">
        <v>0.2714</v>
      </c>
      <c r="K1321" t="n">
        <v>0.128</v>
      </c>
      <c r="L1321" t="n">
        <v>0.7</v>
      </c>
      <c r="M1321" t="n">
        <v>0.173</v>
      </c>
    </row>
    <row r="1322" spans="1:13">
      <c r="A1322" s="1">
        <f>HYPERLINK("http://www.twitter.com/NathanBLawrence/status/990560937571700736", "990560937571700736")</f>
        <v/>
      </c>
      <c r="B1322" s="2" t="n">
        <v>43219.49890046296</v>
      </c>
      <c r="C1322" t="n">
        <v>3</v>
      </c>
      <c r="D1322" t="n">
        <v>2</v>
      </c>
      <c r="E1322" t="s">
        <v>1328</v>
      </c>
      <c r="F1322" t="s"/>
      <c r="G1322" t="s"/>
      <c r="H1322" t="s"/>
      <c r="I1322" t="s"/>
      <c r="J1322" t="n">
        <v>0.3365</v>
      </c>
      <c r="K1322" t="n">
        <v>0.08699999999999999</v>
      </c>
      <c r="L1322" t="n">
        <v>0.787</v>
      </c>
      <c r="M1322" t="n">
        <v>0.126</v>
      </c>
    </row>
    <row r="1323" spans="1:13">
      <c r="A1323" s="1">
        <f>HYPERLINK("http://www.twitter.com/NathanBLawrence/status/990549414338023424", "990549414338023424")</f>
        <v/>
      </c>
      <c r="B1323" s="2" t="n">
        <v>43219.46710648148</v>
      </c>
      <c r="C1323" t="n">
        <v>0</v>
      </c>
      <c r="D1323" t="n">
        <v>18</v>
      </c>
      <c r="E1323" t="s">
        <v>1329</v>
      </c>
      <c r="F1323" t="s"/>
      <c r="G1323" t="s"/>
      <c r="H1323" t="s"/>
      <c r="I1323" t="s"/>
      <c r="J1323" t="n">
        <v>0.5574</v>
      </c>
      <c r="K1323" t="n">
        <v>0</v>
      </c>
      <c r="L1323" t="n">
        <v>0.825</v>
      </c>
      <c r="M1323" t="n">
        <v>0.175</v>
      </c>
    </row>
    <row r="1324" spans="1:13">
      <c r="A1324" s="1">
        <f>HYPERLINK("http://www.twitter.com/NathanBLawrence/status/990429069832572928", "990429069832572928")</f>
        <v/>
      </c>
      <c r="B1324" s="2" t="n">
        <v>43219.13502314815</v>
      </c>
      <c r="C1324" t="n">
        <v>0</v>
      </c>
      <c r="D1324" t="n">
        <v>8</v>
      </c>
      <c r="E1324" t="s">
        <v>1330</v>
      </c>
      <c r="F1324" t="s"/>
      <c r="G1324" t="s"/>
      <c r="H1324" t="s"/>
      <c r="I1324" t="s"/>
      <c r="J1324" t="n">
        <v>0.128</v>
      </c>
      <c r="K1324" t="n">
        <v>0</v>
      </c>
      <c r="L1324" t="n">
        <v>0.9330000000000001</v>
      </c>
      <c r="M1324" t="n">
        <v>0.067</v>
      </c>
    </row>
    <row r="1325" spans="1:13">
      <c r="A1325" s="1">
        <f>HYPERLINK("http://www.twitter.com/NathanBLawrence/status/990429018800484358", "990429018800484358")</f>
        <v/>
      </c>
      <c r="B1325" s="2" t="n">
        <v>43219.13488425926</v>
      </c>
      <c r="C1325" t="n">
        <v>10</v>
      </c>
      <c r="D1325" t="n">
        <v>8</v>
      </c>
      <c r="E1325" t="s">
        <v>1331</v>
      </c>
      <c r="F1325" t="s"/>
      <c r="G1325" t="s"/>
      <c r="H1325" t="s"/>
      <c r="I1325" t="s"/>
      <c r="J1325" t="n">
        <v>-0.1184</v>
      </c>
      <c r="K1325" t="n">
        <v>0.051</v>
      </c>
      <c r="L1325" t="n">
        <v>0.91</v>
      </c>
      <c r="M1325" t="n">
        <v>0.039</v>
      </c>
    </row>
    <row r="1326" spans="1:13">
      <c r="A1326" s="1">
        <f>HYPERLINK("http://www.twitter.com/NathanBLawrence/status/990393812966047744", "990393812966047744")</f>
        <v/>
      </c>
      <c r="B1326" s="2" t="n">
        <v>43219.03773148148</v>
      </c>
      <c r="C1326" t="n">
        <v>0</v>
      </c>
      <c r="D1326" t="n">
        <v>0</v>
      </c>
      <c r="E1326" t="s">
        <v>1332</v>
      </c>
      <c r="F1326" t="s"/>
      <c r="G1326" t="s"/>
      <c r="H1326" t="s"/>
      <c r="I1326" t="s"/>
      <c r="J1326" t="n">
        <v>0.296</v>
      </c>
      <c r="K1326" t="n">
        <v>0.04</v>
      </c>
      <c r="L1326" t="n">
        <v>0.899</v>
      </c>
      <c r="M1326" t="n">
        <v>0.061</v>
      </c>
    </row>
    <row r="1327" spans="1:13">
      <c r="A1327" s="1">
        <f>HYPERLINK("http://www.twitter.com/NathanBLawrence/status/990365969175498752", "990365969175498752")</f>
        <v/>
      </c>
      <c r="B1327" s="2" t="n">
        <v>43218.9608912037</v>
      </c>
      <c r="C1327" t="n">
        <v>0</v>
      </c>
      <c r="D1327" t="n">
        <v>4</v>
      </c>
      <c r="E1327" t="s">
        <v>1333</v>
      </c>
      <c r="F1327" t="s"/>
      <c r="G1327" t="s"/>
      <c r="H1327" t="s"/>
      <c r="I1327" t="s"/>
      <c r="J1327" t="n">
        <v>0</v>
      </c>
      <c r="K1327" t="n">
        <v>0</v>
      </c>
      <c r="L1327" t="n">
        <v>1</v>
      </c>
      <c r="M1327" t="n">
        <v>0</v>
      </c>
    </row>
    <row r="1328" spans="1:13">
      <c r="A1328" s="1">
        <f>HYPERLINK("http://www.twitter.com/NathanBLawrence/status/990365641591984128", "990365641591984128")</f>
        <v/>
      </c>
      <c r="B1328" s="2" t="n">
        <v>43218.95998842592</v>
      </c>
      <c r="C1328" t="n">
        <v>0</v>
      </c>
      <c r="D1328" t="n">
        <v>3</v>
      </c>
      <c r="E1328" t="s">
        <v>1334</v>
      </c>
      <c r="F1328" t="s"/>
      <c r="G1328" t="s"/>
      <c r="H1328" t="s"/>
      <c r="I1328" t="s"/>
      <c r="J1328" t="n">
        <v>0.6249</v>
      </c>
      <c r="K1328" t="n">
        <v>0</v>
      </c>
      <c r="L1328" t="n">
        <v>0.837</v>
      </c>
      <c r="M1328" t="n">
        <v>0.163</v>
      </c>
    </row>
    <row r="1329" spans="1:13">
      <c r="A1329" s="1">
        <f>HYPERLINK("http://www.twitter.com/NathanBLawrence/status/990343963210067973", "990343963210067973")</f>
        <v/>
      </c>
      <c r="B1329" s="2" t="n">
        <v>43218.90017361111</v>
      </c>
      <c r="C1329" t="n">
        <v>0</v>
      </c>
      <c r="D1329" t="n">
        <v>0</v>
      </c>
      <c r="E1329" t="s">
        <v>1335</v>
      </c>
      <c r="F1329" t="s"/>
      <c r="G1329" t="s"/>
      <c r="H1329" t="s"/>
      <c r="I1329" t="s"/>
      <c r="J1329" t="n">
        <v>-0.5106000000000001</v>
      </c>
      <c r="K1329" t="n">
        <v>0.142</v>
      </c>
      <c r="L1329" t="n">
        <v>0.858</v>
      </c>
      <c r="M1329" t="n">
        <v>0</v>
      </c>
    </row>
    <row r="1330" spans="1:13">
      <c r="A1330" s="1">
        <f>HYPERLINK("http://www.twitter.com/NathanBLawrence/status/990282403728982017", "990282403728982017")</f>
        <v/>
      </c>
      <c r="B1330" s="2" t="n">
        <v>43218.73030092593</v>
      </c>
      <c r="C1330" t="n">
        <v>0</v>
      </c>
      <c r="D1330" t="n">
        <v>7</v>
      </c>
      <c r="E1330" t="s">
        <v>1336</v>
      </c>
      <c r="F1330" t="s"/>
      <c r="G1330" t="s"/>
      <c r="H1330" t="s"/>
      <c r="I1330" t="s"/>
      <c r="J1330" t="n">
        <v>0.6588000000000001</v>
      </c>
      <c r="K1330" t="n">
        <v>0</v>
      </c>
      <c r="L1330" t="n">
        <v>0.795</v>
      </c>
      <c r="M1330" t="n">
        <v>0.205</v>
      </c>
    </row>
    <row r="1331" spans="1:13">
      <c r="A1331" s="1">
        <f>HYPERLINK("http://www.twitter.com/NathanBLawrence/status/990280995759894531", "990280995759894531")</f>
        <v/>
      </c>
      <c r="B1331" s="2" t="n">
        <v>43218.72641203704</v>
      </c>
      <c r="C1331" t="n">
        <v>0</v>
      </c>
      <c r="D1331" t="n">
        <v>15</v>
      </c>
      <c r="E1331" t="s">
        <v>1337</v>
      </c>
      <c r="F1331">
        <f>HYPERLINK("http://pbs.twimg.com/media/Db4uD-YWAAAmp1Q.jpg", "http://pbs.twimg.com/media/Db4uD-YWAAAmp1Q.jpg")</f>
        <v/>
      </c>
      <c r="G1331" t="s"/>
      <c r="H1331" t="s"/>
      <c r="I1331" t="s"/>
      <c r="J1331" t="n">
        <v>0</v>
      </c>
      <c r="K1331" t="n">
        <v>0</v>
      </c>
      <c r="L1331" t="n">
        <v>1</v>
      </c>
      <c r="M1331" t="n">
        <v>0</v>
      </c>
    </row>
    <row r="1332" spans="1:13">
      <c r="A1332" s="1">
        <f>HYPERLINK("http://www.twitter.com/NathanBLawrence/status/990273935412547584", "990273935412547584")</f>
        <v/>
      </c>
      <c r="B1332" s="2" t="n">
        <v>43218.70693287037</v>
      </c>
      <c r="C1332" t="n">
        <v>0</v>
      </c>
      <c r="D1332" t="n">
        <v>10</v>
      </c>
      <c r="E1332" t="s">
        <v>1338</v>
      </c>
      <c r="F1332" t="s"/>
      <c r="G1332" t="s"/>
      <c r="H1332" t="s"/>
      <c r="I1332" t="s"/>
      <c r="J1332" t="n">
        <v>-0.4023</v>
      </c>
      <c r="K1332" t="n">
        <v>0.119</v>
      </c>
      <c r="L1332" t="n">
        <v>0.881</v>
      </c>
      <c r="M1332" t="n">
        <v>0</v>
      </c>
    </row>
    <row r="1333" spans="1:13">
      <c r="A1333" s="1">
        <f>HYPERLINK("http://www.twitter.com/NathanBLawrence/status/990255695693041664", "990255695693041664")</f>
        <v/>
      </c>
      <c r="B1333" s="2" t="n">
        <v>43218.65659722222</v>
      </c>
      <c r="C1333" t="n">
        <v>0</v>
      </c>
      <c r="D1333" t="n">
        <v>16</v>
      </c>
      <c r="E1333" t="s">
        <v>1339</v>
      </c>
      <c r="F1333" t="s"/>
      <c r="G1333" t="s"/>
      <c r="H1333" t="s"/>
      <c r="I1333" t="s"/>
      <c r="J1333" t="n">
        <v>-0.5946</v>
      </c>
      <c r="K1333" t="n">
        <v>0.291</v>
      </c>
      <c r="L1333" t="n">
        <v>0.572</v>
      </c>
      <c r="M1333" t="n">
        <v>0.137</v>
      </c>
    </row>
    <row r="1334" spans="1:13">
      <c r="A1334" s="1">
        <f>HYPERLINK("http://www.twitter.com/NathanBLawrence/status/990237408968011777", "990237408968011777")</f>
        <v/>
      </c>
      <c r="B1334" s="2" t="n">
        <v>43218.60613425926</v>
      </c>
      <c r="C1334" t="n">
        <v>0</v>
      </c>
      <c r="D1334" t="n">
        <v>4</v>
      </c>
      <c r="E1334" t="s">
        <v>1340</v>
      </c>
      <c r="F1334" t="s"/>
      <c r="G1334" t="s"/>
      <c r="H1334" t="s"/>
      <c r="I1334" t="s"/>
      <c r="J1334" t="n">
        <v>0.4574</v>
      </c>
      <c r="K1334" t="n">
        <v>0.077</v>
      </c>
      <c r="L1334" t="n">
        <v>0.772</v>
      </c>
      <c r="M1334" t="n">
        <v>0.15</v>
      </c>
    </row>
    <row r="1335" spans="1:13">
      <c r="A1335" s="1">
        <f>HYPERLINK("http://www.twitter.com/NathanBLawrence/status/990035847071354881", "990035847071354881")</f>
        <v/>
      </c>
      <c r="B1335" s="2" t="n">
        <v>43218.04993055556</v>
      </c>
      <c r="C1335" t="n">
        <v>0</v>
      </c>
      <c r="D1335" t="n">
        <v>2</v>
      </c>
      <c r="E1335" t="s">
        <v>1341</v>
      </c>
      <c r="F1335" t="s"/>
      <c r="G1335" t="s"/>
      <c r="H1335" t="s"/>
      <c r="I1335" t="s"/>
      <c r="J1335" t="n">
        <v>0</v>
      </c>
      <c r="K1335" t="n">
        <v>0</v>
      </c>
      <c r="L1335" t="n">
        <v>1</v>
      </c>
      <c r="M1335" t="n">
        <v>0</v>
      </c>
    </row>
    <row r="1336" spans="1:13">
      <c r="A1336" s="1">
        <f>HYPERLINK("http://www.twitter.com/NathanBLawrence/status/989981493672935424", "989981493672935424")</f>
        <v/>
      </c>
      <c r="B1336" s="2" t="n">
        <v>43217.89994212963</v>
      </c>
      <c r="C1336" t="n">
        <v>0</v>
      </c>
      <c r="D1336" t="n">
        <v>5</v>
      </c>
      <c r="E1336" t="s">
        <v>1342</v>
      </c>
      <c r="F1336" t="s"/>
      <c r="G1336" t="s"/>
      <c r="H1336" t="s"/>
      <c r="I1336" t="s"/>
      <c r="J1336" t="n">
        <v>0.5574</v>
      </c>
      <c r="K1336" t="n">
        <v>0</v>
      </c>
      <c r="L1336" t="n">
        <v>0.847</v>
      </c>
      <c r="M1336" t="n">
        <v>0.153</v>
      </c>
    </row>
    <row r="1337" spans="1:13">
      <c r="A1337" s="1">
        <f>HYPERLINK("http://www.twitter.com/NathanBLawrence/status/989980620259459072", "989980620259459072")</f>
        <v/>
      </c>
      <c r="B1337" s="2" t="n">
        <v>43217.89753472222</v>
      </c>
      <c r="C1337" t="n">
        <v>0</v>
      </c>
      <c r="D1337" t="n">
        <v>3</v>
      </c>
      <c r="E1337" t="s">
        <v>1343</v>
      </c>
      <c r="F1337" t="s"/>
      <c r="G1337" t="s"/>
      <c r="H1337" t="s"/>
      <c r="I1337" t="s"/>
      <c r="J1337" t="n">
        <v>0</v>
      </c>
      <c r="K1337" t="n">
        <v>0</v>
      </c>
      <c r="L1337" t="n">
        <v>1</v>
      </c>
      <c r="M1337" t="n">
        <v>0</v>
      </c>
    </row>
    <row r="1338" spans="1:13">
      <c r="A1338" s="1">
        <f>HYPERLINK("http://www.twitter.com/NathanBLawrence/status/989978520851025920", "989978520851025920")</f>
        <v/>
      </c>
      <c r="B1338" s="2" t="n">
        <v>43217.89173611111</v>
      </c>
      <c r="C1338" t="n">
        <v>4</v>
      </c>
      <c r="D1338" t="n">
        <v>3</v>
      </c>
      <c r="E1338" t="s">
        <v>1344</v>
      </c>
      <c r="F1338" t="s"/>
      <c r="G1338" t="s"/>
      <c r="H1338" t="s"/>
      <c r="I1338" t="s"/>
      <c r="J1338" t="n">
        <v>0</v>
      </c>
      <c r="K1338" t="n">
        <v>0</v>
      </c>
      <c r="L1338" t="n">
        <v>1</v>
      </c>
      <c r="M1338" t="n">
        <v>0</v>
      </c>
    </row>
    <row r="1339" spans="1:13">
      <c r="A1339" s="1">
        <f>HYPERLINK("http://www.twitter.com/NathanBLawrence/status/989960744459481089", "989960744459481089")</f>
        <v/>
      </c>
      <c r="B1339" s="2" t="n">
        <v>43217.84268518518</v>
      </c>
      <c r="C1339" t="n">
        <v>0</v>
      </c>
      <c r="D1339" t="n">
        <v>2</v>
      </c>
      <c r="E1339" t="s">
        <v>1345</v>
      </c>
      <c r="F1339" t="s"/>
      <c r="G1339" t="s"/>
      <c r="H1339" t="s"/>
      <c r="I1339" t="s"/>
      <c r="J1339" t="n">
        <v>-0.4215</v>
      </c>
      <c r="K1339" t="n">
        <v>0.151</v>
      </c>
      <c r="L1339" t="n">
        <v>0.78</v>
      </c>
      <c r="M1339" t="n">
        <v>0.06900000000000001</v>
      </c>
    </row>
    <row r="1340" spans="1:13">
      <c r="A1340" s="1">
        <f>HYPERLINK("http://www.twitter.com/NathanBLawrence/status/989960683830865920", "989960683830865920")</f>
        <v/>
      </c>
      <c r="B1340" s="2" t="n">
        <v>43217.84252314815</v>
      </c>
      <c r="C1340" t="n">
        <v>1</v>
      </c>
      <c r="D1340" t="n">
        <v>2</v>
      </c>
      <c r="E1340" t="s">
        <v>1346</v>
      </c>
      <c r="F1340" t="s"/>
      <c r="G1340" t="s"/>
      <c r="H1340" t="s"/>
      <c r="I1340" t="s"/>
      <c r="J1340" t="n">
        <v>-0.7269</v>
      </c>
      <c r="K1340" t="n">
        <v>0.188</v>
      </c>
      <c r="L1340" t="n">
        <v>0.769</v>
      </c>
      <c r="M1340" t="n">
        <v>0.043</v>
      </c>
    </row>
    <row r="1341" spans="1:13">
      <c r="A1341" s="1">
        <f>HYPERLINK("http://www.twitter.com/NathanBLawrence/status/989951311188758528", "989951311188758528")</f>
        <v/>
      </c>
      <c r="B1341" s="2" t="n">
        <v>43217.8166550926</v>
      </c>
      <c r="C1341" t="n">
        <v>0</v>
      </c>
      <c r="D1341" t="n">
        <v>13</v>
      </c>
      <c r="E1341" t="s">
        <v>1347</v>
      </c>
      <c r="F1341">
        <f>HYPERLINK("http://pbs.twimg.com/media/Db0DOPkVMAAGdK3.jpg", "http://pbs.twimg.com/media/Db0DOPkVMAAGdK3.jpg")</f>
        <v/>
      </c>
      <c r="G1341" t="s"/>
      <c r="H1341" t="s"/>
      <c r="I1341" t="s"/>
      <c r="J1341" t="n">
        <v>0.1531</v>
      </c>
      <c r="K1341" t="n">
        <v>0.1</v>
      </c>
      <c r="L1341" t="n">
        <v>0.773</v>
      </c>
      <c r="M1341" t="n">
        <v>0.127</v>
      </c>
    </row>
    <row r="1342" spans="1:13">
      <c r="A1342" s="1">
        <f>HYPERLINK("http://www.twitter.com/NathanBLawrence/status/989950472554532864", "989950472554532864")</f>
        <v/>
      </c>
      <c r="B1342" s="2" t="n">
        <v>43217.81434027778</v>
      </c>
      <c r="C1342" t="n">
        <v>0</v>
      </c>
      <c r="D1342" t="n">
        <v>4</v>
      </c>
      <c r="E1342" t="s">
        <v>1348</v>
      </c>
      <c r="F1342" t="s"/>
      <c r="G1342" t="s"/>
      <c r="H1342" t="s"/>
      <c r="I1342" t="s"/>
      <c r="J1342" t="n">
        <v>0.516</v>
      </c>
      <c r="K1342" t="n">
        <v>0</v>
      </c>
      <c r="L1342" t="n">
        <v>0.8179999999999999</v>
      </c>
      <c r="M1342" t="n">
        <v>0.182</v>
      </c>
    </row>
    <row r="1343" spans="1:13">
      <c r="A1343" s="1">
        <f>HYPERLINK("http://www.twitter.com/NathanBLawrence/status/989950441172688902", "989950441172688902")</f>
        <v/>
      </c>
      <c r="B1343" s="2" t="n">
        <v>43217.81425925926</v>
      </c>
      <c r="C1343" t="n">
        <v>8</v>
      </c>
      <c r="D1343" t="n">
        <v>4</v>
      </c>
      <c r="E1343" t="s">
        <v>1349</v>
      </c>
      <c r="F1343" t="s"/>
      <c r="G1343" t="s"/>
      <c r="H1343" t="s"/>
      <c r="I1343" t="s"/>
      <c r="J1343" t="n">
        <v>0.516</v>
      </c>
      <c r="K1343" t="n">
        <v>0</v>
      </c>
      <c r="L1343" t="n">
        <v>0.844</v>
      </c>
      <c r="M1343" t="n">
        <v>0.156</v>
      </c>
    </row>
    <row r="1344" spans="1:13">
      <c r="A1344" s="1">
        <f>HYPERLINK("http://www.twitter.com/NathanBLawrence/status/989948025362632704", "989948025362632704")</f>
        <v/>
      </c>
      <c r="B1344" s="2" t="n">
        <v>43217.8075925926</v>
      </c>
      <c r="C1344" t="n">
        <v>0</v>
      </c>
      <c r="D1344" t="n">
        <v>1</v>
      </c>
      <c r="E1344" t="s">
        <v>1350</v>
      </c>
      <c r="F1344" t="s"/>
      <c r="G1344" t="s"/>
      <c r="H1344" t="s"/>
      <c r="I1344" t="s"/>
      <c r="J1344" t="n">
        <v>-0.4215</v>
      </c>
      <c r="K1344" t="n">
        <v>0.151</v>
      </c>
      <c r="L1344" t="n">
        <v>0.78</v>
      </c>
      <c r="M1344" t="n">
        <v>0.06900000000000001</v>
      </c>
    </row>
    <row r="1345" spans="1:13">
      <c r="A1345" s="1">
        <f>HYPERLINK("http://www.twitter.com/NathanBLawrence/status/989948011341115392", "989948011341115392")</f>
        <v/>
      </c>
      <c r="B1345" s="2" t="n">
        <v>43217.8075462963</v>
      </c>
      <c r="C1345" t="n">
        <v>0</v>
      </c>
      <c r="D1345" t="n">
        <v>1</v>
      </c>
      <c r="E1345" t="s">
        <v>1351</v>
      </c>
      <c r="F1345" t="s"/>
      <c r="G1345" t="s"/>
      <c r="H1345" t="s"/>
      <c r="I1345" t="s"/>
      <c r="J1345" t="n">
        <v>-0.4215</v>
      </c>
      <c r="K1345" t="n">
        <v>0.145</v>
      </c>
      <c r="L1345" t="n">
        <v>0.789</v>
      </c>
      <c r="M1345" t="n">
        <v>0.066</v>
      </c>
    </row>
    <row r="1346" spans="1:13">
      <c r="A1346" s="1">
        <f>HYPERLINK("http://www.twitter.com/NathanBLawrence/status/989947946186756096", "989947946186756096")</f>
        <v/>
      </c>
      <c r="B1346" s="2" t="n">
        <v>43217.80737268519</v>
      </c>
      <c r="C1346" t="n">
        <v>1</v>
      </c>
      <c r="D1346" t="n">
        <v>1</v>
      </c>
      <c r="E1346" t="s">
        <v>1352</v>
      </c>
      <c r="F1346" t="s"/>
      <c r="G1346" t="s"/>
      <c r="H1346" t="s"/>
      <c r="I1346" t="s"/>
      <c r="J1346" t="n">
        <v>-0.7269</v>
      </c>
      <c r="K1346" t="n">
        <v>0.183</v>
      </c>
      <c r="L1346" t="n">
        <v>0.776</v>
      </c>
      <c r="M1346" t="n">
        <v>0.042</v>
      </c>
    </row>
    <row r="1347" spans="1:13">
      <c r="A1347" s="1">
        <f>HYPERLINK("http://www.twitter.com/NathanBLawrence/status/989947820244373504", "989947820244373504")</f>
        <v/>
      </c>
      <c r="B1347" s="2" t="n">
        <v>43217.80702546296</v>
      </c>
      <c r="C1347" t="n">
        <v>0</v>
      </c>
      <c r="D1347" t="n">
        <v>1</v>
      </c>
      <c r="E1347" t="s">
        <v>1353</v>
      </c>
      <c r="F1347" t="s"/>
      <c r="G1347" t="s"/>
      <c r="H1347" t="s"/>
      <c r="I1347" t="s"/>
      <c r="J1347" t="n">
        <v>0.4215</v>
      </c>
      <c r="K1347" t="n">
        <v>0</v>
      </c>
      <c r="L1347" t="n">
        <v>0.877</v>
      </c>
      <c r="M1347" t="n">
        <v>0.123</v>
      </c>
    </row>
    <row r="1348" spans="1:13">
      <c r="A1348" s="1">
        <f>HYPERLINK("http://www.twitter.com/NathanBLawrence/status/989947751952723969", "989947751952723969")</f>
        <v/>
      </c>
      <c r="B1348" s="2" t="n">
        <v>43217.80684027778</v>
      </c>
      <c r="C1348" t="n">
        <v>1</v>
      </c>
      <c r="D1348" t="n">
        <v>1</v>
      </c>
      <c r="E1348" t="s">
        <v>1354</v>
      </c>
      <c r="F1348" t="s"/>
      <c r="G1348" t="s"/>
      <c r="H1348" t="s"/>
      <c r="I1348" t="s"/>
      <c r="J1348" t="n">
        <v>-0.7269</v>
      </c>
      <c r="K1348" t="n">
        <v>0.188</v>
      </c>
      <c r="L1348" t="n">
        <v>0.769</v>
      </c>
      <c r="M1348" t="n">
        <v>0.043</v>
      </c>
    </row>
    <row r="1349" spans="1:13">
      <c r="A1349" s="1">
        <f>HYPERLINK("http://www.twitter.com/NathanBLawrence/status/989947618871664641", "989947618871664641")</f>
        <v/>
      </c>
      <c r="B1349" s="2" t="n">
        <v>43217.80646990741</v>
      </c>
      <c r="C1349" t="n">
        <v>0</v>
      </c>
      <c r="D1349" t="n">
        <v>1</v>
      </c>
      <c r="E1349" t="s">
        <v>1355</v>
      </c>
      <c r="F1349" t="s"/>
      <c r="G1349" t="s"/>
      <c r="H1349" t="s"/>
      <c r="I1349" t="s"/>
      <c r="J1349" t="n">
        <v>-0.4215</v>
      </c>
      <c r="K1349" t="n">
        <v>0.151</v>
      </c>
      <c r="L1349" t="n">
        <v>0.78</v>
      </c>
      <c r="M1349" t="n">
        <v>0.06900000000000001</v>
      </c>
    </row>
    <row r="1350" spans="1:13">
      <c r="A1350" s="1">
        <f>HYPERLINK("http://www.twitter.com/NathanBLawrence/status/989947582939049984", "989947582939049984")</f>
        <v/>
      </c>
      <c r="B1350" s="2" t="n">
        <v>43217.80636574074</v>
      </c>
      <c r="C1350" t="n">
        <v>1</v>
      </c>
      <c r="D1350" t="n">
        <v>1</v>
      </c>
      <c r="E1350" t="s">
        <v>1356</v>
      </c>
      <c r="F1350" t="s"/>
      <c r="G1350" t="s"/>
      <c r="H1350" t="s"/>
      <c r="I1350" t="s"/>
      <c r="J1350" t="n">
        <v>-0.7269</v>
      </c>
      <c r="K1350" t="n">
        <v>0.178</v>
      </c>
      <c r="L1350" t="n">
        <v>0.782</v>
      </c>
      <c r="M1350" t="n">
        <v>0.04</v>
      </c>
    </row>
    <row r="1351" spans="1:13">
      <c r="A1351" s="1">
        <f>HYPERLINK("http://www.twitter.com/NathanBLawrence/status/989941519816773633", "989941519816773633")</f>
        <v/>
      </c>
      <c r="B1351" s="2" t="n">
        <v>43217.7896412037</v>
      </c>
      <c r="C1351" t="n">
        <v>1</v>
      </c>
      <c r="D1351" t="n">
        <v>1</v>
      </c>
      <c r="E1351" t="s">
        <v>1357</v>
      </c>
      <c r="F1351" t="s"/>
      <c r="G1351" t="s"/>
      <c r="H1351" t="s"/>
      <c r="I1351" t="s"/>
      <c r="J1351" t="n">
        <v>-0.5859</v>
      </c>
      <c r="K1351" t="n">
        <v>0.149</v>
      </c>
      <c r="L1351" t="n">
        <v>0.788</v>
      </c>
      <c r="M1351" t="n">
        <v>0.063</v>
      </c>
    </row>
    <row r="1352" spans="1:13">
      <c r="A1352" s="1">
        <f>HYPERLINK("http://www.twitter.com/NathanBLawrence/status/989933374067355648", "989933374067355648")</f>
        <v/>
      </c>
      <c r="B1352" s="2" t="n">
        <v>43217.76716435186</v>
      </c>
      <c r="C1352" t="n">
        <v>0</v>
      </c>
      <c r="D1352" t="n">
        <v>0</v>
      </c>
      <c r="E1352" t="s">
        <v>1358</v>
      </c>
      <c r="F1352" t="s"/>
      <c r="G1352" t="s"/>
      <c r="H1352" t="s"/>
      <c r="I1352" t="s"/>
      <c r="J1352" t="n">
        <v>0.3612</v>
      </c>
      <c r="K1352" t="n">
        <v>0</v>
      </c>
      <c r="L1352" t="n">
        <v>0.865</v>
      </c>
      <c r="M1352" t="n">
        <v>0.135</v>
      </c>
    </row>
    <row r="1353" spans="1:13">
      <c r="A1353" s="1">
        <f>HYPERLINK("http://www.twitter.com/NathanBLawrence/status/989922997178961920", "989922997178961920")</f>
        <v/>
      </c>
      <c r="B1353" s="2" t="n">
        <v>43217.7385300926</v>
      </c>
      <c r="C1353" t="n">
        <v>0</v>
      </c>
      <c r="D1353" t="n">
        <v>0</v>
      </c>
      <c r="E1353" t="s">
        <v>1359</v>
      </c>
      <c r="F1353">
        <f>HYPERLINK("http://pbs.twimg.com/media/DbzptqKXcAAylrH.jpg", "http://pbs.twimg.com/media/DbzptqKXcAAylrH.jpg")</f>
        <v/>
      </c>
      <c r="G1353" t="s"/>
      <c r="H1353" t="s"/>
      <c r="I1353" t="s"/>
      <c r="J1353" t="n">
        <v>0</v>
      </c>
      <c r="K1353" t="n">
        <v>0</v>
      </c>
      <c r="L1353" t="n">
        <v>1</v>
      </c>
      <c r="M1353" t="n">
        <v>0</v>
      </c>
    </row>
    <row r="1354" spans="1:13">
      <c r="A1354" s="1">
        <f>HYPERLINK("http://www.twitter.com/NathanBLawrence/status/989914464714706949", "989914464714706949")</f>
        <v/>
      </c>
      <c r="B1354" s="2" t="n">
        <v>43217.71497685185</v>
      </c>
      <c r="C1354" t="n">
        <v>0</v>
      </c>
      <c r="D1354" t="n">
        <v>1</v>
      </c>
      <c r="E1354" t="s">
        <v>1360</v>
      </c>
      <c r="F1354" t="s"/>
      <c r="G1354" t="s"/>
      <c r="H1354" t="s"/>
      <c r="I1354" t="s"/>
      <c r="J1354" t="n">
        <v>-0.5848</v>
      </c>
      <c r="K1354" t="n">
        <v>0.226</v>
      </c>
      <c r="L1354" t="n">
        <v>0.774</v>
      </c>
      <c r="M1354" t="n">
        <v>0</v>
      </c>
    </row>
    <row r="1355" spans="1:13">
      <c r="A1355" s="1">
        <f>HYPERLINK("http://www.twitter.com/NathanBLawrence/status/989903780400558080", "989903780400558080")</f>
        <v/>
      </c>
      <c r="B1355" s="2" t="n">
        <v>43217.68549768518</v>
      </c>
      <c r="C1355" t="n">
        <v>0</v>
      </c>
      <c r="D1355" t="n">
        <v>6</v>
      </c>
      <c r="E1355" t="s">
        <v>1361</v>
      </c>
      <c r="F1355">
        <f>HYPERLINK("http://pbs.twimg.com/media/DbzX_fxXUAAI5Bd.jpg", "http://pbs.twimg.com/media/DbzX_fxXUAAI5Bd.jpg")</f>
        <v/>
      </c>
      <c r="G1355" t="s"/>
      <c r="H1355" t="s"/>
      <c r="I1355" t="s"/>
      <c r="J1355" t="n">
        <v>0.2263</v>
      </c>
      <c r="K1355" t="n">
        <v>0</v>
      </c>
      <c r="L1355" t="n">
        <v>0.905</v>
      </c>
      <c r="M1355" t="n">
        <v>0.095</v>
      </c>
    </row>
    <row r="1356" spans="1:13">
      <c r="A1356" s="1">
        <f>HYPERLINK("http://www.twitter.com/NathanBLawrence/status/989903590532833281", "989903590532833281")</f>
        <v/>
      </c>
      <c r="B1356" s="2" t="n">
        <v>43217.68497685185</v>
      </c>
      <c r="C1356" t="n">
        <v>4</v>
      </c>
      <c r="D1356" t="n">
        <v>6</v>
      </c>
      <c r="E1356" t="s">
        <v>1362</v>
      </c>
      <c r="F1356">
        <f>HYPERLINK("http://pbs.twimg.com/media/DbzX_fxXUAAI5Bd.jpg", "http://pbs.twimg.com/media/DbzX_fxXUAAI5Bd.jpg")</f>
        <v/>
      </c>
      <c r="G1356" t="s"/>
      <c r="H1356" t="s"/>
      <c r="I1356" t="s"/>
      <c r="J1356" t="n">
        <v>0.2263</v>
      </c>
      <c r="K1356" t="n">
        <v>0</v>
      </c>
      <c r="L1356" t="n">
        <v>0.924</v>
      </c>
      <c r="M1356" t="n">
        <v>0.076</v>
      </c>
    </row>
    <row r="1357" spans="1:13">
      <c r="A1357" s="1">
        <f>HYPERLINK("http://www.twitter.com/NathanBLawrence/status/989687439982817280", "989687439982817280")</f>
        <v/>
      </c>
      <c r="B1357" s="2" t="n">
        <v>43217.08850694444</v>
      </c>
      <c r="C1357" t="n">
        <v>0</v>
      </c>
      <c r="D1357" t="n">
        <v>12</v>
      </c>
      <c r="E1357" t="s">
        <v>1363</v>
      </c>
      <c r="F1357" t="s"/>
      <c r="G1357" t="s"/>
      <c r="H1357" t="s"/>
      <c r="I1357" t="s"/>
      <c r="J1357" t="n">
        <v>0.4199</v>
      </c>
      <c r="K1357" t="n">
        <v>0</v>
      </c>
      <c r="L1357" t="n">
        <v>0.878</v>
      </c>
      <c r="M1357" t="n">
        <v>0.122</v>
      </c>
    </row>
    <row r="1358" spans="1:13">
      <c r="A1358" s="1">
        <f>HYPERLINK("http://www.twitter.com/NathanBLawrence/status/989687376237776897", "989687376237776897")</f>
        <v/>
      </c>
      <c r="B1358" s="2" t="n">
        <v>43217.08833333333</v>
      </c>
      <c r="C1358" t="n">
        <v>0</v>
      </c>
      <c r="D1358" t="n">
        <v>3</v>
      </c>
      <c r="E1358" t="s">
        <v>1364</v>
      </c>
      <c r="F1358" t="s"/>
      <c r="G1358" t="s"/>
      <c r="H1358" t="s"/>
      <c r="I1358" t="s"/>
      <c r="J1358" t="n">
        <v>0</v>
      </c>
      <c r="K1358" t="n">
        <v>0</v>
      </c>
      <c r="L1358" t="n">
        <v>1</v>
      </c>
      <c r="M1358" t="n">
        <v>0</v>
      </c>
    </row>
    <row r="1359" spans="1:13">
      <c r="A1359" s="1">
        <f>HYPERLINK("http://www.twitter.com/NathanBLawrence/status/989654813356052481", "989654813356052481")</f>
        <v/>
      </c>
      <c r="B1359" s="2" t="n">
        <v>43216.9984837963</v>
      </c>
      <c r="C1359" t="n">
        <v>3</v>
      </c>
      <c r="D1359" t="n">
        <v>0</v>
      </c>
      <c r="E1359" t="s">
        <v>1365</v>
      </c>
      <c r="F1359" t="s"/>
      <c r="G1359" t="s"/>
      <c r="H1359" t="s"/>
      <c r="I1359" t="s"/>
      <c r="J1359" t="n">
        <v>-0.5383</v>
      </c>
      <c r="K1359" t="n">
        <v>0.15</v>
      </c>
      <c r="L1359" t="n">
        <v>0.85</v>
      </c>
      <c r="M1359" t="n">
        <v>0</v>
      </c>
    </row>
    <row r="1360" spans="1:13">
      <c r="A1360" s="1">
        <f>HYPERLINK("http://www.twitter.com/NathanBLawrence/status/989646227129151488", "989646227129151488")</f>
        <v/>
      </c>
      <c r="B1360" s="2" t="n">
        <v>43216.97478009259</v>
      </c>
      <c r="C1360" t="n">
        <v>7</v>
      </c>
      <c r="D1360" t="n">
        <v>3</v>
      </c>
      <c r="E1360" t="s">
        <v>1366</v>
      </c>
      <c r="F1360" t="s"/>
      <c r="G1360" t="s"/>
      <c r="H1360" t="s"/>
      <c r="I1360" t="s"/>
      <c r="J1360" t="n">
        <v>0</v>
      </c>
      <c r="K1360" t="n">
        <v>0</v>
      </c>
      <c r="L1360" t="n">
        <v>1</v>
      </c>
      <c r="M1360" t="n">
        <v>0</v>
      </c>
    </row>
    <row r="1361" spans="1:13">
      <c r="A1361" s="1">
        <f>HYPERLINK("http://www.twitter.com/NathanBLawrence/status/989631057925427201", "989631057925427201")</f>
        <v/>
      </c>
      <c r="B1361" s="2" t="n">
        <v>43216.93292824074</v>
      </c>
      <c r="C1361" t="n">
        <v>0</v>
      </c>
      <c r="D1361" t="n">
        <v>37</v>
      </c>
      <c r="E1361" t="s">
        <v>1367</v>
      </c>
      <c r="F1361" t="s"/>
      <c r="G1361" t="s"/>
      <c r="H1361" t="s"/>
      <c r="I1361" t="s"/>
      <c r="J1361" t="n">
        <v>0.0857</v>
      </c>
      <c r="K1361" t="n">
        <v>0.104</v>
      </c>
      <c r="L1361" t="n">
        <v>0.78</v>
      </c>
      <c r="M1361" t="n">
        <v>0.116</v>
      </c>
    </row>
    <row r="1362" spans="1:13">
      <c r="A1362" s="1">
        <f>HYPERLINK("http://www.twitter.com/NathanBLawrence/status/989608721847332864", "989608721847332864")</f>
        <v/>
      </c>
      <c r="B1362" s="2" t="n">
        <v>43216.87128472222</v>
      </c>
      <c r="C1362" t="n">
        <v>2</v>
      </c>
      <c r="D1362" t="n">
        <v>0</v>
      </c>
      <c r="E1362" t="s">
        <v>1368</v>
      </c>
      <c r="F1362" t="s"/>
      <c r="G1362" t="s"/>
      <c r="H1362" t="s"/>
      <c r="I1362" t="s"/>
      <c r="J1362" t="n">
        <v>0.1901</v>
      </c>
      <c r="K1362" t="n">
        <v>0</v>
      </c>
      <c r="L1362" t="n">
        <v>0.901</v>
      </c>
      <c r="M1362" t="n">
        <v>0.099</v>
      </c>
    </row>
    <row r="1363" spans="1:13">
      <c r="A1363" s="1">
        <f>HYPERLINK("http://www.twitter.com/NathanBLawrence/status/989608478741286913", "989608478741286913")</f>
        <v/>
      </c>
      <c r="B1363" s="2" t="n">
        <v>43216.870625</v>
      </c>
      <c r="C1363" t="n">
        <v>1</v>
      </c>
      <c r="D1363" t="n">
        <v>1</v>
      </c>
      <c r="E1363" t="s">
        <v>1369</v>
      </c>
      <c r="F1363" t="s"/>
      <c r="G1363" t="s"/>
      <c r="H1363" t="s"/>
      <c r="I1363" t="s"/>
      <c r="J1363" t="n">
        <v>0.6908</v>
      </c>
      <c r="K1363" t="n">
        <v>0.04</v>
      </c>
      <c r="L1363" t="n">
        <v>0.835</v>
      </c>
      <c r="M1363" t="n">
        <v>0.125</v>
      </c>
    </row>
    <row r="1364" spans="1:13">
      <c r="A1364" s="1">
        <f>HYPERLINK("http://www.twitter.com/NathanBLawrence/status/989608079812628480", "989608079812628480")</f>
        <v/>
      </c>
      <c r="B1364" s="2" t="n">
        <v>43216.86951388889</v>
      </c>
      <c r="C1364" t="n">
        <v>0</v>
      </c>
      <c r="D1364" t="n">
        <v>0</v>
      </c>
      <c r="E1364" t="s">
        <v>1370</v>
      </c>
      <c r="F1364" t="s"/>
      <c r="G1364" t="s"/>
      <c r="H1364" t="s"/>
      <c r="I1364" t="s"/>
      <c r="J1364" t="n">
        <v>-0.4404</v>
      </c>
      <c r="K1364" t="n">
        <v>0.182</v>
      </c>
      <c r="L1364" t="n">
        <v>0.8179999999999999</v>
      </c>
      <c r="M1364" t="n">
        <v>0</v>
      </c>
    </row>
    <row r="1365" spans="1:13">
      <c r="A1365" s="1">
        <f>HYPERLINK("http://www.twitter.com/NathanBLawrence/status/989607138187194370", "989607138187194370")</f>
        <v/>
      </c>
      <c r="B1365" s="2" t="n">
        <v>43216.8669212963</v>
      </c>
      <c r="C1365" t="n">
        <v>1</v>
      </c>
      <c r="D1365" t="n">
        <v>0</v>
      </c>
      <c r="E1365" t="s">
        <v>1371</v>
      </c>
      <c r="F1365" t="s"/>
      <c r="G1365" t="s"/>
      <c r="H1365" t="s"/>
      <c r="I1365" t="s"/>
      <c r="J1365" t="n">
        <v>0</v>
      </c>
      <c r="K1365" t="n">
        <v>0</v>
      </c>
      <c r="L1365" t="n">
        <v>1</v>
      </c>
      <c r="M1365" t="n">
        <v>0</v>
      </c>
    </row>
    <row r="1366" spans="1:13">
      <c r="A1366" s="1">
        <f>HYPERLINK("http://www.twitter.com/NathanBLawrence/status/989606215469674496", "989606215469674496")</f>
        <v/>
      </c>
      <c r="B1366" s="2" t="n">
        <v>43216.864375</v>
      </c>
      <c r="C1366" t="n">
        <v>0</v>
      </c>
      <c r="D1366" t="n">
        <v>1</v>
      </c>
      <c r="E1366" t="s">
        <v>1372</v>
      </c>
      <c r="F1366" t="s"/>
      <c r="G1366" t="s"/>
      <c r="H1366" t="s"/>
      <c r="I1366" t="s"/>
      <c r="J1366" t="n">
        <v>-0.2942</v>
      </c>
      <c r="K1366" t="n">
        <v>0.252</v>
      </c>
      <c r="L1366" t="n">
        <v>0.606</v>
      </c>
      <c r="M1366" t="n">
        <v>0.141</v>
      </c>
    </row>
    <row r="1367" spans="1:13">
      <c r="A1367" s="1">
        <f>HYPERLINK("http://www.twitter.com/NathanBLawrence/status/989606186000502785", "989606186000502785")</f>
        <v/>
      </c>
      <c r="B1367" s="2" t="n">
        <v>43216.86429398148</v>
      </c>
      <c r="C1367" t="n">
        <v>2</v>
      </c>
      <c r="D1367" t="n">
        <v>1</v>
      </c>
      <c r="E1367" t="s">
        <v>1373</v>
      </c>
      <c r="F1367" t="s"/>
      <c r="G1367" t="s"/>
      <c r="H1367" t="s"/>
      <c r="I1367" t="s"/>
      <c r="J1367" t="n">
        <v>-0.2942</v>
      </c>
      <c r="K1367" t="n">
        <v>0.281</v>
      </c>
      <c r="L1367" t="n">
        <v>0.5620000000000001</v>
      </c>
      <c r="M1367" t="n">
        <v>0.157</v>
      </c>
    </row>
    <row r="1368" spans="1:13">
      <c r="A1368" s="1">
        <f>HYPERLINK("http://www.twitter.com/NathanBLawrence/status/989605679257341953", "989605679257341953")</f>
        <v/>
      </c>
      <c r="B1368" s="2" t="n">
        <v>43216.86289351852</v>
      </c>
      <c r="C1368" t="n">
        <v>0</v>
      </c>
      <c r="D1368" t="n">
        <v>3</v>
      </c>
      <c r="E1368" t="s">
        <v>1374</v>
      </c>
      <c r="F1368" t="s"/>
      <c r="G1368" t="s"/>
      <c r="H1368" t="s"/>
      <c r="I1368" t="s"/>
      <c r="J1368" t="n">
        <v>-0.6682</v>
      </c>
      <c r="K1368" t="n">
        <v>0.279</v>
      </c>
      <c r="L1368" t="n">
        <v>0.652</v>
      </c>
      <c r="M1368" t="n">
        <v>0.06900000000000001</v>
      </c>
    </row>
    <row r="1369" spans="1:13">
      <c r="A1369" s="1">
        <f>HYPERLINK("http://www.twitter.com/NathanBLawrence/status/989605652170407944", "989605652170407944")</f>
        <v/>
      </c>
      <c r="B1369" s="2" t="n">
        <v>43216.86282407407</v>
      </c>
      <c r="C1369" t="n">
        <v>3</v>
      </c>
      <c r="D1369" t="n">
        <v>3</v>
      </c>
      <c r="E1369" t="s">
        <v>1375</v>
      </c>
      <c r="F1369" t="s"/>
      <c r="G1369" t="s"/>
      <c r="H1369" t="s"/>
      <c r="I1369" t="s"/>
      <c r="J1369" t="n">
        <v>-0.6452</v>
      </c>
      <c r="K1369" t="n">
        <v>0.177</v>
      </c>
      <c r="L1369" t="n">
        <v>0.746</v>
      </c>
      <c r="M1369" t="n">
        <v>0.077</v>
      </c>
    </row>
    <row r="1370" spans="1:13">
      <c r="A1370" s="1">
        <f>HYPERLINK("http://www.twitter.com/NathanBLawrence/status/989604862122971137", "989604862122971137")</f>
        <v/>
      </c>
      <c r="B1370" s="2" t="n">
        <v>43216.86063657407</v>
      </c>
      <c r="C1370" t="n">
        <v>0</v>
      </c>
      <c r="D1370" t="n">
        <v>0</v>
      </c>
      <c r="E1370" t="s">
        <v>1376</v>
      </c>
      <c r="F1370" t="s"/>
      <c r="G1370" t="s"/>
      <c r="H1370" t="s"/>
      <c r="I1370" t="s"/>
      <c r="J1370" t="n">
        <v>-0.2732</v>
      </c>
      <c r="K1370" t="n">
        <v>0.189</v>
      </c>
      <c r="L1370" t="n">
        <v>0.8110000000000001</v>
      </c>
      <c r="M1370" t="n">
        <v>0</v>
      </c>
    </row>
    <row r="1371" spans="1:13">
      <c r="A1371" s="1">
        <f>HYPERLINK("http://www.twitter.com/NathanBLawrence/status/989604439098036224", "989604439098036224")</f>
        <v/>
      </c>
      <c r="B1371" s="2" t="n">
        <v>43216.85946759259</v>
      </c>
      <c r="C1371" t="n">
        <v>0</v>
      </c>
      <c r="D1371" t="n">
        <v>0</v>
      </c>
      <c r="E1371" t="s">
        <v>1377</v>
      </c>
      <c r="F1371" t="s"/>
      <c r="G1371" t="s"/>
      <c r="H1371" t="s"/>
      <c r="I1371" t="s"/>
      <c r="J1371" t="n">
        <v>0.1901</v>
      </c>
      <c r="K1371" t="n">
        <v>0</v>
      </c>
      <c r="L1371" t="n">
        <v>0.837</v>
      </c>
      <c r="M1371" t="n">
        <v>0.163</v>
      </c>
    </row>
    <row r="1372" spans="1:13">
      <c r="A1372" s="1">
        <f>HYPERLINK("http://www.twitter.com/NathanBLawrence/status/989603675676073984", "989603675676073984")</f>
        <v/>
      </c>
      <c r="B1372" s="2" t="n">
        <v>43216.85736111111</v>
      </c>
      <c r="C1372" t="n">
        <v>0</v>
      </c>
      <c r="D1372" t="n">
        <v>12</v>
      </c>
      <c r="E1372" t="s">
        <v>1378</v>
      </c>
      <c r="F1372" t="s"/>
      <c r="G1372" t="s"/>
      <c r="H1372" t="s"/>
      <c r="I1372" t="s"/>
      <c r="J1372" t="n">
        <v>0.128</v>
      </c>
      <c r="K1372" t="n">
        <v>0</v>
      </c>
      <c r="L1372" t="n">
        <v>0.897</v>
      </c>
      <c r="M1372" t="n">
        <v>0.103</v>
      </c>
    </row>
    <row r="1373" spans="1:13">
      <c r="A1373" s="1">
        <f>HYPERLINK("http://www.twitter.com/NathanBLawrence/status/989599466012504065", "989599466012504065")</f>
        <v/>
      </c>
      <c r="B1373" s="2" t="n">
        <v>43216.84575231482</v>
      </c>
      <c r="C1373" t="n">
        <v>0</v>
      </c>
      <c r="D1373" t="n">
        <v>4</v>
      </c>
      <c r="E1373" t="s">
        <v>1379</v>
      </c>
      <c r="F1373" t="s"/>
      <c r="G1373" t="s"/>
      <c r="H1373" t="s"/>
      <c r="I1373" t="s"/>
      <c r="J1373" t="n">
        <v>0</v>
      </c>
      <c r="K1373" t="n">
        <v>0</v>
      </c>
      <c r="L1373" t="n">
        <v>1</v>
      </c>
      <c r="M1373" t="n">
        <v>0</v>
      </c>
    </row>
    <row r="1374" spans="1:13">
      <c r="A1374" s="1">
        <f>HYPERLINK("http://www.twitter.com/NathanBLawrence/status/989586496742154240", "989586496742154240")</f>
        <v/>
      </c>
      <c r="B1374" s="2" t="n">
        <v>43216.80996527777</v>
      </c>
      <c r="C1374" t="n">
        <v>0</v>
      </c>
      <c r="D1374" t="n">
        <v>1</v>
      </c>
      <c r="E1374" t="s">
        <v>1380</v>
      </c>
      <c r="F1374" t="s"/>
      <c r="G1374" t="s"/>
      <c r="H1374" t="s"/>
      <c r="I1374" t="s"/>
      <c r="J1374" t="n">
        <v>0.3182</v>
      </c>
      <c r="K1374" t="n">
        <v>0.089</v>
      </c>
      <c r="L1374" t="n">
        <v>0.769</v>
      </c>
      <c r="M1374" t="n">
        <v>0.142</v>
      </c>
    </row>
    <row r="1375" spans="1:13">
      <c r="A1375" s="1">
        <f>HYPERLINK("http://www.twitter.com/NathanBLawrence/status/989586478983450630", "989586478983450630")</f>
        <v/>
      </c>
      <c r="B1375" s="2" t="n">
        <v>43216.80990740741</v>
      </c>
      <c r="C1375" t="n">
        <v>4</v>
      </c>
      <c r="D1375" t="n">
        <v>1</v>
      </c>
      <c r="E1375" t="s">
        <v>1381</v>
      </c>
      <c r="F1375" t="s"/>
      <c r="G1375" t="s"/>
      <c r="H1375" t="s"/>
      <c r="I1375" t="s"/>
      <c r="J1375" t="n">
        <v>0.3182</v>
      </c>
      <c r="K1375" t="n">
        <v>0.097</v>
      </c>
      <c r="L1375" t="n">
        <v>0.749</v>
      </c>
      <c r="M1375" t="n">
        <v>0.154</v>
      </c>
    </row>
    <row r="1376" spans="1:13">
      <c r="A1376" s="1">
        <f>HYPERLINK("http://www.twitter.com/NathanBLawrence/status/989560074623442945", "989560074623442945")</f>
        <v/>
      </c>
      <c r="B1376" s="2" t="n">
        <v>43216.73704861111</v>
      </c>
      <c r="C1376" t="n">
        <v>4</v>
      </c>
      <c r="D1376" t="n">
        <v>2</v>
      </c>
      <c r="E1376" t="s">
        <v>1382</v>
      </c>
      <c r="F1376" t="s"/>
      <c r="G1376" t="s"/>
      <c r="H1376" t="s"/>
      <c r="I1376" t="s"/>
      <c r="J1376" t="n">
        <v>0</v>
      </c>
      <c r="K1376" t="n">
        <v>0</v>
      </c>
      <c r="L1376" t="n">
        <v>1</v>
      </c>
      <c r="M1376" t="n">
        <v>0</v>
      </c>
    </row>
    <row r="1377" spans="1:13">
      <c r="A1377" s="1">
        <f>HYPERLINK("http://www.twitter.com/NathanBLawrence/status/989545886953992192", "989545886953992192")</f>
        <v/>
      </c>
      <c r="B1377" s="2" t="n">
        <v>43216.69789351852</v>
      </c>
      <c r="C1377" t="n">
        <v>0</v>
      </c>
      <c r="D1377" t="n">
        <v>8</v>
      </c>
      <c r="E1377" t="s">
        <v>1383</v>
      </c>
      <c r="F1377" t="s"/>
      <c r="G1377" t="s"/>
      <c r="H1377" t="s"/>
      <c r="I1377" t="s"/>
      <c r="J1377" t="n">
        <v>-0.0788</v>
      </c>
      <c r="K1377" t="n">
        <v>0.062</v>
      </c>
      <c r="L1377" t="n">
        <v>0.887</v>
      </c>
      <c r="M1377" t="n">
        <v>0.051</v>
      </c>
    </row>
    <row r="1378" spans="1:13">
      <c r="A1378" s="1">
        <f>HYPERLINK("http://www.twitter.com/NathanBLawrence/status/989335198843179008", "989335198843179008")</f>
        <v/>
      </c>
      <c r="B1378" s="2" t="n">
        <v>43216.11651620371</v>
      </c>
      <c r="C1378" t="n">
        <v>1</v>
      </c>
      <c r="D1378" t="n">
        <v>0</v>
      </c>
      <c r="E1378" t="s">
        <v>1384</v>
      </c>
      <c r="F1378" t="s"/>
      <c r="G1378" t="s"/>
      <c r="H1378" t="s"/>
      <c r="I1378" t="s"/>
      <c r="J1378" t="n">
        <v>0</v>
      </c>
      <c r="K1378" t="n">
        <v>0</v>
      </c>
      <c r="L1378" t="n">
        <v>1</v>
      </c>
      <c r="M1378" t="n">
        <v>0</v>
      </c>
    </row>
    <row r="1379" spans="1:13">
      <c r="A1379" s="1">
        <f>HYPERLINK("http://www.twitter.com/NathanBLawrence/status/989271731763376128", "989271731763376128")</f>
        <v/>
      </c>
      <c r="B1379" s="2" t="n">
        <v>43215.94137731481</v>
      </c>
      <c r="C1379" t="n">
        <v>0</v>
      </c>
      <c r="D1379" t="n">
        <v>2</v>
      </c>
      <c r="E1379" t="s">
        <v>1385</v>
      </c>
      <c r="F1379" t="s"/>
      <c r="G1379" t="s"/>
      <c r="H1379" t="s"/>
      <c r="I1379" t="s"/>
      <c r="J1379" t="n">
        <v>0</v>
      </c>
      <c r="K1379" t="n">
        <v>0</v>
      </c>
      <c r="L1379" t="n">
        <v>1</v>
      </c>
      <c r="M1379" t="n">
        <v>0</v>
      </c>
    </row>
    <row r="1380" spans="1:13">
      <c r="A1380" s="1">
        <f>HYPERLINK("http://www.twitter.com/NathanBLawrence/status/989245591002714114", "989245591002714114")</f>
        <v/>
      </c>
      <c r="B1380" s="2" t="n">
        <v>43215.86923611111</v>
      </c>
      <c r="C1380" t="n">
        <v>0</v>
      </c>
      <c r="D1380" t="n">
        <v>11</v>
      </c>
      <c r="E1380" t="s">
        <v>1386</v>
      </c>
      <c r="F1380">
        <f>HYPERLINK("http://pbs.twimg.com/media/DbqBkZFXkAE6aJP.jpg", "http://pbs.twimg.com/media/DbqBkZFXkAE6aJP.jpg")</f>
        <v/>
      </c>
      <c r="G1380" t="s"/>
      <c r="H1380" t="s"/>
      <c r="I1380" t="s"/>
      <c r="J1380" t="n">
        <v>0.34</v>
      </c>
      <c r="K1380" t="n">
        <v>0</v>
      </c>
      <c r="L1380" t="n">
        <v>0.876</v>
      </c>
      <c r="M1380" t="n">
        <v>0.124</v>
      </c>
    </row>
    <row r="1381" spans="1:13">
      <c r="A1381" s="1">
        <f>HYPERLINK("http://www.twitter.com/NathanBLawrence/status/989236448040632320", "989236448040632320")</f>
        <v/>
      </c>
      <c r="B1381" s="2" t="n">
        <v>43215.84400462963</v>
      </c>
      <c r="C1381" t="n">
        <v>1</v>
      </c>
      <c r="D1381" t="n">
        <v>0</v>
      </c>
      <c r="E1381" t="s">
        <v>1387</v>
      </c>
      <c r="F1381" t="s"/>
      <c r="G1381" t="s"/>
      <c r="H1381" t="s"/>
      <c r="I1381" t="s"/>
      <c r="J1381" t="n">
        <v>-0.1027</v>
      </c>
      <c r="K1381" t="n">
        <v>0.129</v>
      </c>
      <c r="L1381" t="n">
        <v>0.762</v>
      </c>
      <c r="M1381" t="n">
        <v>0.11</v>
      </c>
    </row>
    <row r="1382" spans="1:13">
      <c r="A1382" s="1">
        <f>HYPERLINK("http://www.twitter.com/NathanBLawrence/status/989235690582966272", "989235690582966272")</f>
        <v/>
      </c>
      <c r="B1382" s="2" t="n">
        <v>43215.8419212963</v>
      </c>
      <c r="C1382" t="n">
        <v>0</v>
      </c>
      <c r="D1382" t="n">
        <v>0</v>
      </c>
      <c r="E1382" t="s">
        <v>1388</v>
      </c>
      <c r="F1382" t="s"/>
      <c r="G1382" t="s"/>
      <c r="H1382" t="s"/>
      <c r="I1382" t="s"/>
      <c r="J1382" t="n">
        <v>0</v>
      </c>
      <c r="K1382" t="n">
        <v>0</v>
      </c>
      <c r="L1382" t="n">
        <v>1</v>
      </c>
      <c r="M1382" t="n">
        <v>0</v>
      </c>
    </row>
    <row r="1383" spans="1:13">
      <c r="A1383" s="1">
        <f>HYPERLINK("http://www.twitter.com/NathanBLawrence/status/989235562644234240", "989235562644234240")</f>
        <v/>
      </c>
      <c r="B1383" s="2" t="n">
        <v>43215.8415625</v>
      </c>
      <c r="C1383" t="n">
        <v>0</v>
      </c>
      <c r="D1383" t="n">
        <v>38</v>
      </c>
      <c r="E1383" t="s">
        <v>1389</v>
      </c>
      <c r="F1383" t="s"/>
      <c r="G1383" t="s"/>
      <c r="H1383" t="s"/>
      <c r="I1383" t="s"/>
      <c r="J1383" t="n">
        <v>0</v>
      </c>
      <c r="K1383" t="n">
        <v>0</v>
      </c>
      <c r="L1383" t="n">
        <v>1</v>
      </c>
      <c r="M1383" t="n">
        <v>0</v>
      </c>
    </row>
    <row r="1384" spans="1:13">
      <c r="A1384" s="1">
        <f>HYPERLINK("http://www.twitter.com/NathanBLawrence/status/989235496802021376", "989235496802021376")</f>
        <v/>
      </c>
      <c r="B1384" s="2" t="n">
        <v>43215.84138888889</v>
      </c>
      <c r="C1384" t="n">
        <v>0</v>
      </c>
      <c r="D1384" t="n">
        <v>3</v>
      </c>
      <c r="E1384" t="s">
        <v>1390</v>
      </c>
      <c r="F1384">
        <f>HYPERLINK("http://pbs.twimg.com/media/Dbp4ZyRXcAAW5tM.jpg", "http://pbs.twimg.com/media/Dbp4ZyRXcAAW5tM.jpg")</f>
        <v/>
      </c>
      <c r="G1384" t="s"/>
      <c r="H1384" t="s"/>
      <c r="I1384" t="s"/>
      <c r="J1384" t="n">
        <v>0</v>
      </c>
      <c r="K1384" t="n">
        <v>0</v>
      </c>
      <c r="L1384" t="n">
        <v>1</v>
      </c>
      <c r="M1384" t="n">
        <v>0</v>
      </c>
    </row>
    <row r="1385" spans="1:13">
      <c r="A1385" s="1">
        <f>HYPERLINK("http://www.twitter.com/NathanBLawrence/status/989235465592147968", "989235465592147968")</f>
        <v/>
      </c>
      <c r="B1385" s="2" t="n">
        <v>43215.8412962963</v>
      </c>
      <c r="C1385" t="n">
        <v>2</v>
      </c>
      <c r="D1385" t="n">
        <v>3</v>
      </c>
      <c r="E1385" t="s">
        <v>1391</v>
      </c>
      <c r="F1385">
        <f>HYPERLINK("http://pbs.twimg.com/media/Dbp4ZyRXcAAW5tM.jpg", "http://pbs.twimg.com/media/Dbp4ZyRXcAAW5tM.jpg")</f>
        <v/>
      </c>
      <c r="G1385" t="s"/>
      <c r="H1385" t="s"/>
      <c r="I1385" t="s"/>
      <c r="J1385" t="n">
        <v>0</v>
      </c>
      <c r="K1385" t="n">
        <v>0</v>
      </c>
      <c r="L1385" t="n">
        <v>1</v>
      </c>
      <c r="M1385" t="n">
        <v>0</v>
      </c>
    </row>
    <row r="1386" spans="1:13">
      <c r="A1386" s="1">
        <f>HYPERLINK("http://www.twitter.com/NathanBLawrence/status/989225607358828544", "989225607358828544")</f>
        <v/>
      </c>
      <c r="B1386" s="2" t="n">
        <v>43215.81409722222</v>
      </c>
      <c r="C1386" t="n">
        <v>0</v>
      </c>
      <c r="D1386" t="n">
        <v>5</v>
      </c>
      <c r="E1386" t="s">
        <v>1392</v>
      </c>
      <c r="F1386">
        <f>HYPERLINK("http://pbs.twimg.com/media/Dbps2UfW0AUFqTY.jpg", "http://pbs.twimg.com/media/Dbps2UfW0AUFqTY.jpg")</f>
        <v/>
      </c>
      <c r="G1386" t="s"/>
      <c r="H1386" t="s"/>
      <c r="I1386" t="s"/>
      <c r="J1386" t="n">
        <v>0</v>
      </c>
      <c r="K1386" t="n">
        <v>0</v>
      </c>
      <c r="L1386" t="n">
        <v>1</v>
      </c>
      <c r="M1386" t="n">
        <v>0</v>
      </c>
    </row>
    <row r="1387" spans="1:13">
      <c r="A1387" s="1">
        <f>HYPERLINK("http://www.twitter.com/NathanBLawrence/status/989220315766149120", "989220315766149120")</f>
        <v/>
      </c>
      <c r="B1387" s="2" t="n">
        <v>43215.79949074074</v>
      </c>
      <c r="C1387" t="n">
        <v>0</v>
      </c>
      <c r="D1387" t="n">
        <v>9</v>
      </c>
      <c r="E1387" t="s">
        <v>1393</v>
      </c>
      <c r="F1387" t="s"/>
      <c r="G1387" t="s"/>
      <c r="H1387" t="s"/>
      <c r="I1387" t="s"/>
      <c r="J1387" t="n">
        <v>0.7783</v>
      </c>
      <c r="K1387" t="n">
        <v>0</v>
      </c>
      <c r="L1387" t="n">
        <v>0.736</v>
      </c>
      <c r="M1387" t="n">
        <v>0.264</v>
      </c>
    </row>
    <row r="1388" spans="1:13">
      <c r="A1388" s="1">
        <f>HYPERLINK("http://www.twitter.com/NathanBLawrence/status/989204260100493312", "989204260100493312")</f>
        <v/>
      </c>
      <c r="B1388" s="2" t="n">
        <v>43215.75518518518</v>
      </c>
      <c r="C1388" t="n">
        <v>0</v>
      </c>
      <c r="D1388" t="n">
        <v>1</v>
      </c>
      <c r="E1388" t="s">
        <v>1394</v>
      </c>
      <c r="F1388" t="s"/>
      <c r="G1388" t="s"/>
      <c r="H1388" t="s"/>
      <c r="I1388" t="s"/>
      <c r="J1388" t="n">
        <v>0.6258</v>
      </c>
      <c r="K1388" t="n">
        <v>0</v>
      </c>
      <c r="L1388" t="n">
        <v>0.797</v>
      </c>
      <c r="M1388" t="n">
        <v>0.203</v>
      </c>
    </row>
    <row r="1389" spans="1:13">
      <c r="A1389" s="1">
        <f>HYPERLINK("http://www.twitter.com/NathanBLawrence/status/989194975568187393", "989194975568187393")</f>
        <v/>
      </c>
      <c r="B1389" s="2" t="n">
        <v>43215.72957175926</v>
      </c>
      <c r="C1389" t="n">
        <v>0</v>
      </c>
      <c r="D1389" t="n">
        <v>2</v>
      </c>
      <c r="E1389" t="s">
        <v>1395</v>
      </c>
      <c r="F1389" t="s"/>
      <c r="G1389" t="s"/>
      <c r="H1389" t="s"/>
      <c r="I1389" t="s"/>
      <c r="J1389" t="n">
        <v>0.1779</v>
      </c>
      <c r="K1389" t="n">
        <v>0.095</v>
      </c>
      <c r="L1389" t="n">
        <v>0.779</v>
      </c>
      <c r="M1389" t="n">
        <v>0.126</v>
      </c>
    </row>
    <row r="1390" spans="1:13">
      <c r="A1390" s="1">
        <f>HYPERLINK("http://www.twitter.com/NathanBLawrence/status/989194934443003909", "989194934443003909")</f>
        <v/>
      </c>
      <c r="B1390" s="2" t="n">
        <v>43215.72945601852</v>
      </c>
      <c r="C1390" t="n">
        <v>4</v>
      </c>
      <c r="D1390" t="n">
        <v>2</v>
      </c>
      <c r="E1390" t="s">
        <v>1396</v>
      </c>
      <c r="F1390" t="s"/>
      <c r="G1390" t="s"/>
      <c r="H1390" t="s"/>
      <c r="I1390" t="s"/>
      <c r="J1390" t="n">
        <v>-0.128</v>
      </c>
      <c r="K1390" t="n">
        <v>0.093</v>
      </c>
      <c r="L1390" t="n">
        <v>0.846</v>
      </c>
      <c r="M1390" t="n">
        <v>0.061</v>
      </c>
    </row>
    <row r="1391" spans="1:13">
      <c r="A1391" s="1">
        <f>HYPERLINK("http://www.twitter.com/NathanBLawrence/status/989165456966717440", "989165456966717440")</f>
        <v/>
      </c>
      <c r="B1391" s="2" t="n">
        <v>43215.64811342592</v>
      </c>
      <c r="C1391" t="n">
        <v>0</v>
      </c>
      <c r="D1391" t="n">
        <v>0</v>
      </c>
      <c r="E1391" t="s">
        <v>1397</v>
      </c>
      <c r="F1391" t="s"/>
      <c r="G1391" t="s"/>
      <c r="H1391" t="s"/>
      <c r="I1391" t="s"/>
      <c r="J1391" t="n">
        <v>0</v>
      </c>
      <c r="K1391" t="n">
        <v>0</v>
      </c>
      <c r="L1391" t="n">
        <v>1</v>
      </c>
      <c r="M1391" t="n">
        <v>0</v>
      </c>
    </row>
    <row r="1392" spans="1:13">
      <c r="A1392" s="1">
        <f>HYPERLINK("http://www.twitter.com/NathanBLawrence/status/989165297801318401", "989165297801318401")</f>
        <v/>
      </c>
      <c r="B1392" s="2" t="n">
        <v>43215.64767361111</v>
      </c>
      <c r="C1392" t="n">
        <v>0</v>
      </c>
      <c r="D1392" t="n">
        <v>2</v>
      </c>
      <c r="E1392" t="s">
        <v>1398</v>
      </c>
      <c r="F1392" t="s"/>
      <c r="G1392" t="s"/>
      <c r="H1392" t="s"/>
      <c r="I1392" t="s"/>
      <c r="J1392" t="n">
        <v>0.1779</v>
      </c>
      <c r="K1392" t="n">
        <v>0.091</v>
      </c>
      <c r="L1392" t="n">
        <v>0.788</v>
      </c>
      <c r="M1392" t="n">
        <v>0.12</v>
      </c>
    </row>
    <row r="1393" spans="1:13">
      <c r="A1393" s="1">
        <f>HYPERLINK("http://www.twitter.com/NathanBLawrence/status/989165261214375942", "989165261214375942")</f>
        <v/>
      </c>
      <c r="B1393" s="2" t="n">
        <v>43215.64756944445</v>
      </c>
      <c r="C1393" t="n">
        <v>3</v>
      </c>
      <c r="D1393" t="n">
        <v>2</v>
      </c>
      <c r="E1393" t="s">
        <v>1399</v>
      </c>
      <c r="F1393" t="s"/>
      <c r="G1393" t="s"/>
      <c r="H1393" t="s"/>
      <c r="I1393" t="s"/>
      <c r="J1393" t="n">
        <v>-0.128</v>
      </c>
      <c r="K1393" t="n">
        <v>0.095</v>
      </c>
      <c r="L1393" t="n">
        <v>0.842</v>
      </c>
      <c r="M1393" t="n">
        <v>0.063</v>
      </c>
    </row>
    <row r="1394" spans="1:13">
      <c r="A1394" s="1">
        <f>HYPERLINK("http://www.twitter.com/NathanBLawrence/status/989157550301081602", "989157550301081602")</f>
        <v/>
      </c>
      <c r="B1394" s="2" t="n">
        <v>43215.62629629629</v>
      </c>
      <c r="C1394" t="n">
        <v>0</v>
      </c>
      <c r="D1394" t="n">
        <v>3</v>
      </c>
      <c r="E1394" t="s">
        <v>1400</v>
      </c>
      <c r="F1394" t="s"/>
      <c r="G1394" t="s"/>
      <c r="H1394" t="s"/>
      <c r="I1394" t="s"/>
      <c r="J1394" t="n">
        <v>0</v>
      </c>
      <c r="K1394" t="n">
        <v>0</v>
      </c>
      <c r="L1394" t="n">
        <v>1</v>
      </c>
      <c r="M1394" t="n">
        <v>0</v>
      </c>
    </row>
    <row r="1395" spans="1:13">
      <c r="A1395" s="1">
        <f>HYPERLINK("http://www.twitter.com/NathanBLawrence/status/989127522104348674", "989127522104348674")</f>
        <v/>
      </c>
      <c r="B1395" s="2" t="n">
        <v>43215.5434375</v>
      </c>
      <c r="C1395" t="n">
        <v>0</v>
      </c>
      <c r="D1395" t="n">
        <v>3</v>
      </c>
      <c r="E1395" t="s">
        <v>1401</v>
      </c>
      <c r="F1395">
        <f>HYPERLINK("http://pbs.twimg.com/media/DblJbR-VAAA4Efp.jpg", "http://pbs.twimg.com/media/DblJbR-VAAA4Efp.jpg")</f>
        <v/>
      </c>
      <c r="G1395" t="s"/>
      <c r="H1395" t="s"/>
      <c r="I1395" t="s"/>
      <c r="J1395" t="n">
        <v>0</v>
      </c>
      <c r="K1395" t="n">
        <v>0</v>
      </c>
      <c r="L1395" t="n">
        <v>1</v>
      </c>
      <c r="M1395" t="n">
        <v>0</v>
      </c>
    </row>
    <row r="1396" spans="1:13">
      <c r="A1396" s="1">
        <f>HYPERLINK("http://www.twitter.com/NathanBLawrence/status/988899291048628227", "988899291048628227")</f>
        <v/>
      </c>
      <c r="B1396" s="2" t="n">
        <v>43214.91363425926</v>
      </c>
      <c r="C1396" t="n">
        <v>0</v>
      </c>
      <c r="D1396" t="n">
        <v>45</v>
      </c>
      <c r="E1396" t="s">
        <v>1402</v>
      </c>
      <c r="F1396" t="s"/>
      <c r="G1396" t="s"/>
      <c r="H1396" t="s"/>
      <c r="I1396" t="s"/>
      <c r="J1396" t="n">
        <v>0.128</v>
      </c>
      <c r="K1396" t="n">
        <v>0.103</v>
      </c>
      <c r="L1396" t="n">
        <v>0.773</v>
      </c>
      <c r="M1396" t="n">
        <v>0.124</v>
      </c>
    </row>
    <row r="1397" spans="1:13">
      <c r="A1397" s="1">
        <f>HYPERLINK("http://www.twitter.com/NathanBLawrence/status/988896706262634496", "988896706262634496")</f>
        <v/>
      </c>
      <c r="B1397" s="2" t="n">
        <v>43214.90650462963</v>
      </c>
      <c r="C1397" t="n">
        <v>0</v>
      </c>
      <c r="D1397" t="n">
        <v>2</v>
      </c>
      <c r="E1397" t="s">
        <v>1403</v>
      </c>
      <c r="F1397" t="s"/>
      <c r="G1397" t="s"/>
      <c r="H1397" t="s"/>
      <c r="I1397" t="s"/>
      <c r="J1397" t="n">
        <v>0.5859</v>
      </c>
      <c r="K1397" t="n">
        <v>0</v>
      </c>
      <c r="L1397" t="n">
        <v>0.84</v>
      </c>
      <c r="M1397" t="n">
        <v>0.16</v>
      </c>
    </row>
    <row r="1398" spans="1:13">
      <c r="A1398" s="1">
        <f>HYPERLINK("http://www.twitter.com/NathanBLawrence/status/988895566376644609", "988895566376644609")</f>
        <v/>
      </c>
      <c r="B1398" s="2" t="n">
        <v>43214.90335648148</v>
      </c>
      <c r="C1398" t="n">
        <v>0</v>
      </c>
      <c r="D1398" t="n">
        <v>40</v>
      </c>
      <c r="E1398" t="s">
        <v>1404</v>
      </c>
      <c r="F1398">
        <f>HYPERLINK("http://pbs.twimg.com/media/DbkvezMU8AAbM9l.jpg", "http://pbs.twimg.com/media/DbkvezMU8AAbM9l.jpg")</f>
        <v/>
      </c>
      <c r="G1398">
        <f>HYPERLINK("http://pbs.twimg.com/media/DbkveOIVwAA_3HZ.jpg", "http://pbs.twimg.com/media/DbkveOIVwAA_3HZ.jpg")</f>
        <v/>
      </c>
      <c r="H1398">
        <f>HYPERLINK("http://pbs.twimg.com/media/DbkveOLV4AE_Hhi.jpg", "http://pbs.twimg.com/media/DbkveOLV4AE_Hhi.jpg")</f>
        <v/>
      </c>
      <c r="I1398" t="s"/>
      <c r="J1398" t="n">
        <v>0.8399</v>
      </c>
      <c r="K1398" t="n">
        <v>0</v>
      </c>
      <c r="L1398" t="n">
        <v>0.6919999999999999</v>
      </c>
      <c r="M1398" t="n">
        <v>0.308</v>
      </c>
    </row>
    <row r="1399" spans="1:13">
      <c r="A1399" s="1">
        <f>HYPERLINK("http://www.twitter.com/NathanBLawrence/status/988872005867929607", "988872005867929607")</f>
        <v/>
      </c>
      <c r="B1399" s="2" t="n">
        <v>43214.83834490741</v>
      </c>
      <c r="C1399" t="n">
        <v>0</v>
      </c>
      <c r="D1399" t="n">
        <v>24</v>
      </c>
      <c r="E1399" t="s">
        <v>1405</v>
      </c>
      <c r="F1399" t="s"/>
      <c r="G1399" t="s"/>
      <c r="H1399" t="s"/>
      <c r="I1399" t="s"/>
      <c r="J1399" t="n">
        <v>0.5266999999999999</v>
      </c>
      <c r="K1399" t="n">
        <v>0</v>
      </c>
      <c r="L1399" t="n">
        <v>0.855</v>
      </c>
      <c r="M1399" t="n">
        <v>0.145</v>
      </c>
    </row>
    <row r="1400" spans="1:13">
      <c r="A1400" s="1">
        <f>HYPERLINK("http://www.twitter.com/NathanBLawrence/status/988857081670316040", "988857081670316040")</f>
        <v/>
      </c>
      <c r="B1400" s="2" t="n">
        <v>43214.79716435185</v>
      </c>
      <c r="C1400" t="n">
        <v>0</v>
      </c>
      <c r="D1400" t="n">
        <v>5</v>
      </c>
      <c r="E1400" t="s">
        <v>1406</v>
      </c>
      <c r="F1400" t="s"/>
      <c r="G1400" t="s"/>
      <c r="H1400" t="s"/>
      <c r="I1400" t="s"/>
      <c r="J1400" t="n">
        <v>0.1027</v>
      </c>
      <c r="K1400" t="n">
        <v>0</v>
      </c>
      <c r="L1400" t="n">
        <v>0.9399999999999999</v>
      </c>
      <c r="M1400" t="n">
        <v>0.06</v>
      </c>
    </row>
    <row r="1401" spans="1:13">
      <c r="A1401" s="1">
        <f>HYPERLINK("http://www.twitter.com/NathanBLawrence/status/988856672029429760", "988856672029429760")</f>
        <v/>
      </c>
      <c r="B1401" s="2" t="n">
        <v>43214.79603009259</v>
      </c>
      <c r="C1401" t="n">
        <v>0</v>
      </c>
      <c r="D1401" t="n">
        <v>2</v>
      </c>
      <c r="E1401" t="s">
        <v>1407</v>
      </c>
      <c r="F1401" t="s"/>
      <c r="G1401" t="s"/>
      <c r="H1401" t="s"/>
      <c r="I1401" t="s"/>
      <c r="J1401" t="n">
        <v>0.4767</v>
      </c>
      <c r="K1401" t="n">
        <v>0</v>
      </c>
      <c r="L1401" t="n">
        <v>0.549</v>
      </c>
      <c r="M1401" t="n">
        <v>0.451</v>
      </c>
    </row>
    <row r="1402" spans="1:13">
      <c r="A1402" s="1">
        <f>HYPERLINK("http://www.twitter.com/NathanBLawrence/status/988823416353513474", "988823416353513474")</f>
        <v/>
      </c>
      <c r="B1402" s="2" t="n">
        <v>43214.70425925926</v>
      </c>
      <c r="C1402" t="n">
        <v>0</v>
      </c>
      <c r="D1402" t="n">
        <v>2</v>
      </c>
      <c r="E1402" t="s">
        <v>1408</v>
      </c>
      <c r="F1402" t="s"/>
      <c r="G1402" t="s"/>
      <c r="H1402" t="s"/>
      <c r="I1402" t="s"/>
      <c r="J1402" t="n">
        <v>0</v>
      </c>
      <c r="K1402" t="n">
        <v>0</v>
      </c>
      <c r="L1402" t="n">
        <v>1</v>
      </c>
      <c r="M1402" t="n">
        <v>0</v>
      </c>
    </row>
    <row r="1403" spans="1:13">
      <c r="A1403" s="1">
        <f>HYPERLINK("http://www.twitter.com/NathanBLawrence/status/988822832749645824", "988822832749645824")</f>
        <v/>
      </c>
      <c r="B1403" s="2" t="n">
        <v>43214.70265046296</v>
      </c>
      <c r="C1403" t="n">
        <v>2</v>
      </c>
      <c r="D1403" t="n">
        <v>2</v>
      </c>
      <c r="E1403" t="s">
        <v>1409</v>
      </c>
      <c r="F1403" t="s"/>
      <c r="G1403" t="s"/>
      <c r="H1403" t="s"/>
      <c r="I1403" t="s"/>
      <c r="J1403" t="n">
        <v>0</v>
      </c>
      <c r="K1403" t="n">
        <v>0</v>
      </c>
      <c r="L1403" t="n">
        <v>1</v>
      </c>
      <c r="M1403" t="n">
        <v>0</v>
      </c>
    </row>
    <row r="1404" spans="1:13">
      <c r="A1404" s="1">
        <f>HYPERLINK("http://www.twitter.com/NathanBLawrence/status/988818141731057665", "988818141731057665")</f>
        <v/>
      </c>
      <c r="B1404" s="2" t="n">
        <v>43214.68969907407</v>
      </c>
      <c r="C1404" t="n">
        <v>0</v>
      </c>
      <c r="D1404" t="n">
        <v>30</v>
      </c>
      <c r="E1404" t="s">
        <v>1410</v>
      </c>
      <c r="F1404" t="s"/>
      <c r="G1404" t="s"/>
      <c r="H1404" t="s"/>
      <c r="I1404" t="s"/>
      <c r="J1404" t="n">
        <v>0</v>
      </c>
      <c r="K1404" t="n">
        <v>0</v>
      </c>
      <c r="L1404" t="n">
        <v>1</v>
      </c>
      <c r="M1404" t="n">
        <v>0</v>
      </c>
    </row>
    <row r="1405" spans="1:13">
      <c r="A1405" s="1">
        <f>HYPERLINK("http://www.twitter.com/NathanBLawrence/status/988817894464245760", "988817894464245760")</f>
        <v/>
      </c>
      <c r="B1405" s="2" t="n">
        <v>43214.68902777778</v>
      </c>
      <c r="C1405" t="n">
        <v>1</v>
      </c>
      <c r="D1405" t="n">
        <v>0</v>
      </c>
      <c r="E1405" t="s">
        <v>1411</v>
      </c>
      <c r="F1405" t="s"/>
      <c r="G1405" t="s"/>
      <c r="H1405" t="s"/>
      <c r="I1405" t="s"/>
      <c r="J1405" t="n">
        <v>-0.3313</v>
      </c>
      <c r="K1405" t="n">
        <v>0.154</v>
      </c>
      <c r="L1405" t="n">
        <v>0.846</v>
      </c>
      <c r="M1405" t="n">
        <v>0</v>
      </c>
    </row>
    <row r="1406" spans="1:13">
      <c r="A1406" s="1">
        <f>HYPERLINK("http://www.twitter.com/NathanBLawrence/status/988817616142831616", "988817616142831616")</f>
        <v/>
      </c>
      <c r="B1406" s="2" t="n">
        <v>43214.68825231482</v>
      </c>
      <c r="C1406" t="n">
        <v>1</v>
      </c>
      <c r="D1406" t="n">
        <v>0</v>
      </c>
      <c r="E1406" t="s">
        <v>1412</v>
      </c>
      <c r="F1406" t="s"/>
      <c r="G1406" t="s"/>
      <c r="H1406" t="s"/>
      <c r="I1406" t="s"/>
      <c r="J1406" t="n">
        <v>0</v>
      </c>
      <c r="K1406" t="n">
        <v>0</v>
      </c>
      <c r="L1406" t="n">
        <v>1</v>
      </c>
      <c r="M1406" t="n">
        <v>0</v>
      </c>
    </row>
    <row r="1407" spans="1:13">
      <c r="A1407" s="1">
        <f>HYPERLINK("http://www.twitter.com/NathanBLawrence/status/988815285682626560", "988815285682626560")</f>
        <v/>
      </c>
      <c r="B1407" s="2" t="n">
        <v>43214.6818287037</v>
      </c>
      <c r="C1407" t="n">
        <v>2</v>
      </c>
      <c r="D1407" t="n">
        <v>1</v>
      </c>
      <c r="E1407" t="s">
        <v>1413</v>
      </c>
      <c r="F1407" t="s"/>
      <c r="G1407" t="s"/>
      <c r="H1407" t="s"/>
      <c r="I1407" t="s"/>
      <c r="J1407" t="n">
        <v>-0.9118000000000001</v>
      </c>
      <c r="K1407" t="n">
        <v>0.312</v>
      </c>
      <c r="L1407" t="n">
        <v>0.625</v>
      </c>
      <c r="M1407" t="n">
        <v>0.062</v>
      </c>
    </row>
    <row r="1408" spans="1:13">
      <c r="A1408" s="1">
        <f>HYPERLINK("http://www.twitter.com/NathanBLawrence/status/988780251420528640", "988780251420528640")</f>
        <v/>
      </c>
      <c r="B1408" s="2" t="n">
        <v>43214.58515046296</v>
      </c>
      <c r="C1408" t="n">
        <v>0</v>
      </c>
      <c r="D1408" t="n">
        <v>10</v>
      </c>
      <c r="E1408" t="s">
        <v>1414</v>
      </c>
      <c r="F1408" t="s"/>
      <c r="G1408" t="s"/>
      <c r="H1408" t="s"/>
      <c r="I1408" t="s"/>
      <c r="J1408" t="n">
        <v>0.2732</v>
      </c>
      <c r="K1408" t="n">
        <v>0</v>
      </c>
      <c r="L1408" t="n">
        <v>0.866</v>
      </c>
      <c r="M1408" t="n">
        <v>0.134</v>
      </c>
    </row>
    <row r="1409" spans="1:13">
      <c r="A1409" s="1">
        <f>HYPERLINK("http://www.twitter.com/NathanBLawrence/status/988780189218992128", "988780189218992128")</f>
        <v/>
      </c>
      <c r="B1409" s="2" t="n">
        <v>43214.58497685185</v>
      </c>
      <c r="C1409" t="n">
        <v>2</v>
      </c>
      <c r="D1409" t="n">
        <v>0</v>
      </c>
      <c r="E1409" t="s">
        <v>1415</v>
      </c>
      <c r="F1409" t="s"/>
      <c r="G1409" t="s"/>
      <c r="H1409" t="s"/>
      <c r="I1409" t="s"/>
      <c r="J1409" t="n">
        <v>0.2732</v>
      </c>
      <c r="K1409" t="n">
        <v>0</v>
      </c>
      <c r="L1409" t="n">
        <v>0.488</v>
      </c>
      <c r="M1409" t="n">
        <v>0.512</v>
      </c>
    </row>
    <row r="1410" spans="1:13">
      <c r="A1410" s="1">
        <f>HYPERLINK("http://www.twitter.com/NathanBLawrence/status/988774712460398593", "988774712460398593")</f>
        <v/>
      </c>
      <c r="B1410" s="2" t="n">
        <v>43214.56986111111</v>
      </c>
      <c r="C1410" t="n">
        <v>0</v>
      </c>
      <c r="D1410" t="n">
        <v>2</v>
      </c>
      <c r="E1410" t="s">
        <v>1416</v>
      </c>
      <c r="F1410" t="s"/>
      <c r="G1410" t="s"/>
      <c r="H1410" t="s"/>
      <c r="I1410" t="s"/>
      <c r="J1410" t="n">
        <v>0</v>
      </c>
      <c r="K1410" t="n">
        <v>0</v>
      </c>
      <c r="L1410" t="n">
        <v>1</v>
      </c>
      <c r="M1410" t="n">
        <v>0</v>
      </c>
    </row>
    <row r="1411" spans="1:13">
      <c r="A1411" s="1">
        <f>HYPERLINK("http://www.twitter.com/NathanBLawrence/status/988774679929335809", "988774679929335809")</f>
        <v/>
      </c>
      <c r="B1411" s="2" t="n">
        <v>43214.56976851852</v>
      </c>
      <c r="C1411" t="n">
        <v>3</v>
      </c>
      <c r="D1411" t="n">
        <v>2</v>
      </c>
      <c r="E1411" t="s">
        <v>1417</v>
      </c>
      <c r="F1411" t="s"/>
      <c r="G1411" t="s"/>
      <c r="H1411" t="s"/>
      <c r="I1411" t="s"/>
      <c r="J1411" t="n">
        <v>0.2023</v>
      </c>
      <c r="K1411" t="n">
        <v>0.043</v>
      </c>
      <c r="L1411" t="n">
        <v>0.879</v>
      </c>
      <c r="M1411" t="n">
        <v>0.078</v>
      </c>
    </row>
    <row r="1412" spans="1:13">
      <c r="A1412" s="1">
        <f>HYPERLINK("http://www.twitter.com/NathanBLawrence/status/988773419713028096", "988773419713028096")</f>
        <v/>
      </c>
      <c r="B1412" s="2" t="n">
        <v>43214.5662962963</v>
      </c>
      <c r="C1412" t="n">
        <v>0</v>
      </c>
      <c r="D1412" t="n">
        <v>14</v>
      </c>
      <c r="E1412" t="s">
        <v>1418</v>
      </c>
      <c r="F1412">
        <f>HYPERLINK("http://pbs.twimg.com/media/DbjSvMRVQAEvz_u.jpg", "http://pbs.twimg.com/media/DbjSvMRVQAEvz_u.jpg")</f>
        <v/>
      </c>
      <c r="G1412" t="s"/>
      <c r="H1412" t="s"/>
      <c r="I1412" t="s"/>
      <c r="J1412" t="n">
        <v>0.6369</v>
      </c>
      <c r="K1412" t="n">
        <v>0.089</v>
      </c>
      <c r="L1412" t="n">
        <v>0.674</v>
      </c>
      <c r="M1412" t="n">
        <v>0.238</v>
      </c>
    </row>
    <row r="1413" spans="1:13">
      <c r="A1413" s="1">
        <f>HYPERLINK("http://www.twitter.com/NathanBLawrence/status/988773209926438913", "988773209926438913")</f>
        <v/>
      </c>
      <c r="B1413" s="2" t="n">
        <v>43214.5657175926</v>
      </c>
      <c r="C1413" t="n">
        <v>0</v>
      </c>
      <c r="D1413" t="n">
        <v>7</v>
      </c>
      <c r="E1413" t="s">
        <v>1419</v>
      </c>
      <c r="F1413" t="s"/>
      <c r="G1413" t="s"/>
      <c r="H1413" t="s"/>
      <c r="I1413" t="s"/>
      <c r="J1413" t="n">
        <v>0</v>
      </c>
      <c r="K1413" t="n">
        <v>0</v>
      </c>
      <c r="L1413" t="n">
        <v>1</v>
      </c>
      <c r="M1413" t="n">
        <v>0</v>
      </c>
    </row>
    <row r="1414" spans="1:13">
      <c r="A1414" s="1">
        <f>HYPERLINK("http://www.twitter.com/NathanBLawrence/status/988746687463256064", "988746687463256064")</f>
        <v/>
      </c>
      <c r="B1414" s="2" t="n">
        <v>43214.49252314815</v>
      </c>
      <c r="C1414" t="n">
        <v>0</v>
      </c>
      <c r="D1414" t="n">
        <v>14</v>
      </c>
      <c r="E1414" t="s">
        <v>1420</v>
      </c>
      <c r="F1414" t="s"/>
      <c r="G1414" t="s"/>
      <c r="H1414" t="s"/>
      <c r="I1414" t="s"/>
      <c r="J1414" t="n">
        <v>0</v>
      </c>
      <c r="K1414" t="n">
        <v>0</v>
      </c>
      <c r="L1414" t="n">
        <v>1</v>
      </c>
      <c r="M1414" t="n">
        <v>0</v>
      </c>
    </row>
    <row r="1415" spans="1:13">
      <c r="A1415" s="1">
        <f>HYPERLINK("http://www.twitter.com/NathanBLawrence/status/988727895727144960", "988727895727144960")</f>
        <v/>
      </c>
      <c r="B1415" s="2" t="n">
        <v>43214.4406712963</v>
      </c>
      <c r="C1415" t="n">
        <v>0</v>
      </c>
      <c r="D1415" t="n">
        <v>0</v>
      </c>
      <c r="E1415" t="s">
        <v>1421</v>
      </c>
      <c r="F1415" t="s"/>
      <c r="G1415" t="s"/>
      <c r="H1415" t="s"/>
      <c r="I1415" t="s"/>
      <c r="J1415" t="n">
        <v>0</v>
      </c>
      <c r="K1415" t="n">
        <v>0</v>
      </c>
      <c r="L1415" t="n">
        <v>1</v>
      </c>
      <c r="M1415" t="n">
        <v>0</v>
      </c>
    </row>
    <row r="1416" spans="1:13">
      <c r="A1416" s="1">
        <f>HYPERLINK("http://www.twitter.com/NathanBLawrence/status/988614845955178496", "988614845955178496")</f>
        <v/>
      </c>
      <c r="B1416" s="2" t="n">
        <v>43214.12871527778</v>
      </c>
      <c r="C1416" t="n">
        <v>0</v>
      </c>
      <c r="D1416" t="n">
        <v>16</v>
      </c>
      <c r="E1416" t="s">
        <v>1422</v>
      </c>
      <c r="F1416" t="s"/>
      <c r="G1416" t="s"/>
      <c r="H1416" t="s"/>
      <c r="I1416" t="s"/>
      <c r="J1416" t="n">
        <v>0</v>
      </c>
      <c r="K1416" t="n">
        <v>0</v>
      </c>
      <c r="L1416" t="n">
        <v>1</v>
      </c>
      <c r="M1416" t="n">
        <v>0</v>
      </c>
    </row>
    <row r="1417" spans="1:13">
      <c r="A1417" s="1">
        <f>HYPERLINK("http://www.twitter.com/NathanBLawrence/status/988603255050645505", "988603255050645505")</f>
        <v/>
      </c>
      <c r="B1417" s="2" t="n">
        <v>43214.09673611111</v>
      </c>
      <c r="C1417" t="n">
        <v>1</v>
      </c>
      <c r="D1417" t="n">
        <v>0</v>
      </c>
      <c r="E1417" t="s">
        <v>1423</v>
      </c>
      <c r="F1417" t="s"/>
      <c r="G1417" t="s"/>
      <c r="H1417" t="s"/>
      <c r="I1417" t="s"/>
      <c r="J1417" t="n">
        <v>-0.34</v>
      </c>
      <c r="K1417" t="n">
        <v>0.375</v>
      </c>
      <c r="L1417" t="n">
        <v>0.625</v>
      </c>
      <c r="M1417" t="n">
        <v>0</v>
      </c>
    </row>
    <row r="1418" spans="1:13">
      <c r="A1418" s="1">
        <f>HYPERLINK("http://www.twitter.com/NathanBLawrence/status/988595614119276545", "988595614119276545")</f>
        <v/>
      </c>
      <c r="B1418" s="2" t="n">
        <v>43214.07564814815</v>
      </c>
      <c r="C1418" t="n">
        <v>0</v>
      </c>
      <c r="D1418" t="n">
        <v>7</v>
      </c>
      <c r="E1418" t="s">
        <v>1424</v>
      </c>
      <c r="F1418" t="s"/>
      <c r="G1418" t="s"/>
      <c r="H1418" t="s"/>
      <c r="I1418" t="s"/>
      <c r="J1418" t="n">
        <v>0</v>
      </c>
      <c r="K1418" t="n">
        <v>0</v>
      </c>
      <c r="L1418" t="n">
        <v>1</v>
      </c>
      <c r="M1418" t="n">
        <v>0</v>
      </c>
    </row>
    <row r="1419" spans="1:13">
      <c r="A1419" s="1">
        <f>HYPERLINK("http://www.twitter.com/NathanBLawrence/status/988546056655921157", "988546056655921157")</f>
        <v/>
      </c>
      <c r="B1419" s="2" t="n">
        <v>43213.93888888889</v>
      </c>
      <c r="C1419" t="n">
        <v>0</v>
      </c>
      <c r="D1419" t="n">
        <v>4</v>
      </c>
      <c r="E1419" t="s">
        <v>1425</v>
      </c>
      <c r="F1419">
        <f>HYPERLINK("http://pbs.twimg.com/media/Dbf4ofgU8AA9Or_.jpg", "http://pbs.twimg.com/media/Dbf4ofgU8AA9Or_.jpg")</f>
        <v/>
      </c>
      <c r="G1419" t="s"/>
      <c r="H1419" t="s"/>
      <c r="I1419" t="s"/>
      <c r="J1419" t="n">
        <v>0</v>
      </c>
      <c r="K1419" t="n">
        <v>0</v>
      </c>
      <c r="L1419" t="n">
        <v>1</v>
      </c>
      <c r="M1419" t="n">
        <v>0</v>
      </c>
    </row>
    <row r="1420" spans="1:13">
      <c r="A1420" s="1">
        <f>HYPERLINK("http://www.twitter.com/NathanBLawrence/status/988545923679703045", "988545923679703045")</f>
        <v/>
      </c>
      <c r="B1420" s="2" t="n">
        <v>43213.93853009259</v>
      </c>
      <c r="C1420" t="n">
        <v>0</v>
      </c>
      <c r="D1420" t="n">
        <v>4</v>
      </c>
      <c r="E1420" t="s">
        <v>1426</v>
      </c>
      <c r="F1420" t="s"/>
      <c r="G1420" t="s"/>
      <c r="H1420" t="s"/>
      <c r="I1420" t="s"/>
      <c r="J1420" t="n">
        <v>0</v>
      </c>
      <c r="K1420" t="n">
        <v>0</v>
      </c>
      <c r="L1420" t="n">
        <v>1</v>
      </c>
      <c r="M1420" t="n">
        <v>0</v>
      </c>
    </row>
    <row r="1421" spans="1:13">
      <c r="A1421" s="1">
        <f>HYPERLINK("http://www.twitter.com/NathanBLawrence/status/988545854192652289", "988545854192652289")</f>
        <v/>
      </c>
      <c r="B1421" s="2" t="n">
        <v>43213.93833333333</v>
      </c>
      <c r="C1421" t="n">
        <v>7</v>
      </c>
      <c r="D1421" t="n">
        <v>4</v>
      </c>
      <c r="E1421" t="s">
        <v>1427</v>
      </c>
      <c r="F1421" t="s"/>
      <c r="G1421" t="s"/>
      <c r="H1421" t="s"/>
      <c r="I1421" t="s"/>
      <c r="J1421" t="n">
        <v>0</v>
      </c>
      <c r="K1421" t="n">
        <v>0</v>
      </c>
      <c r="L1421" t="n">
        <v>1</v>
      </c>
      <c r="M1421" t="n">
        <v>0</v>
      </c>
    </row>
    <row r="1422" spans="1:13">
      <c r="A1422" s="1">
        <f>HYPERLINK("http://www.twitter.com/NathanBLawrence/status/988545050685640704", "988545050685640704")</f>
        <v/>
      </c>
      <c r="B1422" s="2" t="n">
        <v>43213.93612268518</v>
      </c>
      <c r="C1422" t="n">
        <v>0</v>
      </c>
      <c r="D1422" t="n">
        <v>15</v>
      </c>
      <c r="E1422" t="s">
        <v>1428</v>
      </c>
      <c r="F1422">
        <f>HYPERLINK("http://pbs.twimg.com/media/DbgCG1eX0AExvgY.jpg", "http://pbs.twimg.com/media/DbgCG1eX0AExvgY.jpg")</f>
        <v/>
      </c>
      <c r="G1422" t="s"/>
      <c r="H1422" t="s"/>
      <c r="I1422" t="s"/>
      <c r="J1422" t="n">
        <v>0.4926</v>
      </c>
      <c r="K1422" t="n">
        <v>0</v>
      </c>
      <c r="L1422" t="n">
        <v>0.849</v>
      </c>
      <c r="M1422" t="n">
        <v>0.151</v>
      </c>
    </row>
    <row r="1423" spans="1:13">
      <c r="A1423" s="1">
        <f>HYPERLINK("http://www.twitter.com/NathanBLawrence/status/988542796800937995", "988542796800937995")</f>
        <v/>
      </c>
      <c r="B1423" s="2" t="n">
        <v>43213.92989583333</v>
      </c>
      <c r="C1423" t="n">
        <v>0</v>
      </c>
      <c r="D1423" t="n">
        <v>26</v>
      </c>
      <c r="E1423" t="s">
        <v>1429</v>
      </c>
      <c r="F1423" t="s"/>
      <c r="G1423" t="s"/>
      <c r="H1423" t="s"/>
      <c r="I1423" t="s"/>
      <c r="J1423" t="n">
        <v>0.4019</v>
      </c>
      <c r="K1423" t="n">
        <v>0</v>
      </c>
      <c r="L1423" t="n">
        <v>0.828</v>
      </c>
      <c r="M1423" t="n">
        <v>0.172</v>
      </c>
    </row>
    <row r="1424" spans="1:13">
      <c r="A1424" s="1">
        <f>HYPERLINK("http://www.twitter.com/NathanBLawrence/status/988530204640530433", "988530204640530433")</f>
        <v/>
      </c>
      <c r="B1424" s="2" t="n">
        <v>43213.89515046297</v>
      </c>
      <c r="C1424" t="n">
        <v>0</v>
      </c>
      <c r="D1424" t="n">
        <v>32</v>
      </c>
      <c r="E1424" t="s">
        <v>1430</v>
      </c>
      <c r="F1424" t="s"/>
      <c r="G1424" t="s"/>
      <c r="H1424" t="s"/>
      <c r="I1424" t="s"/>
      <c r="J1424" t="n">
        <v>0</v>
      </c>
      <c r="K1424" t="n">
        <v>0</v>
      </c>
      <c r="L1424" t="n">
        <v>1</v>
      </c>
      <c r="M1424" t="n">
        <v>0</v>
      </c>
    </row>
    <row r="1425" spans="1:13">
      <c r="A1425" s="1">
        <f>HYPERLINK("http://www.twitter.com/NathanBLawrence/status/988530166019383299", "988530166019383299")</f>
        <v/>
      </c>
      <c r="B1425" s="2" t="n">
        <v>43213.8950462963</v>
      </c>
      <c r="C1425" t="n">
        <v>0</v>
      </c>
      <c r="D1425" t="n">
        <v>48</v>
      </c>
      <c r="E1425" t="s">
        <v>1431</v>
      </c>
      <c r="F1425">
        <f>HYPERLINK("http://pbs.twimg.com/media/DbF4wD3WAAUaO-r.jpg", "http://pbs.twimg.com/media/DbF4wD3WAAUaO-r.jpg")</f>
        <v/>
      </c>
      <c r="G1425" t="s"/>
      <c r="H1425" t="s"/>
      <c r="I1425" t="s"/>
      <c r="J1425" t="n">
        <v>0.7739</v>
      </c>
      <c r="K1425" t="n">
        <v>0</v>
      </c>
      <c r="L1425" t="n">
        <v>0.704</v>
      </c>
      <c r="M1425" t="n">
        <v>0.296</v>
      </c>
    </row>
    <row r="1426" spans="1:13">
      <c r="A1426" s="1">
        <f>HYPERLINK("http://www.twitter.com/NathanBLawrence/status/988529939010998272", "988529939010998272")</f>
        <v/>
      </c>
      <c r="B1426" s="2" t="n">
        <v>43213.8944212963</v>
      </c>
      <c r="C1426" t="n">
        <v>0</v>
      </c>
      <c r="D1426" t="n">
        <v>7</v>
      </c>
      <c r="E1426" t="s">
        <v>1432</v>
      </c>
      <c r="F1426" t="s"/>
      <c r="G1426" t="s"/>
      <c r="H1426" t="s"/>
      <c r="I1426" t="s"/>
      <c r="J1426" t="n">
        <v>-0.7717000000000001</v>
      </c>
      <c r="K1426" t="n">
        <v>0.288</v>
      </c>
      <c r="L1426" t="n">
        <v>0.712</v>
      </c>
      <c r="M1426" t="n">
        <v>0</v>
      </c>
    </row>
    <row r="1427" spans="1:13">
      <c r="A1427" s="1">
        <f>HYPERLINK("http://www.twitter.com/NathanBLawrence/status/988529347412877313", "988529347412877313")</f>
        <v/>
      </c>
      <c r="B1427" s="2" t="n">
        <v>43213.89278935185</v>
      </c>
      <c r="C1427" t="n">
        <v>0</v>
      </c>
      <c r="D1427" t="n">
        <v>18</v>
      </c>
      <c r="E1427" t="s">
        <v>1433</v>
      </c>
      <c r="F1427" t="s"/>
      <c r="G1427" t="s"/>
      <c r="H1427" t="s"/>
      <c r="I1427" t="s"/>
      <c r="J1427" t="n">
        <v>0</v>
      </c>
      <c r="K1427" t="n">
        <v>0</v>
      </c>
      <c r="L1427" t="n">
        <v>1</v>
      </c>
      <c r="M1427" t="n">
        <v>0</v>
      </c>
    </row>
    <row r="1428" spans="1:13">
      <c r="A1428" s="1">
        <f>HYPERLINK("http://www.twitter.com/NathanBLawrence/status/988529279775408130", "988529279775408130")</f>
        <v/>
      </c>
      <c r="B1428" s="2" t="n">
        <v>43213.89259259259</v>
      </c>
      <c r="C1428" t="n">
        <v>23</v>
      </c>
      <c r="D1428" t="n">
        <v>18</v>
      </c>
      <c r="E1428" t="s">
        <v>1434</v>
      </c>
      <c r="F1428" t="s"/>
      <c r="G1428" t="s"/>
      <c r="H1428" t="s"/>
      <c r="I1428" t="s"/>
      <c r="J1428" t="n">
        <v>0.4767</v>
      </c>
      <c r="K1428" t="n">
        <v>0</v>
      </c>
      <c r="L1428" t="n">
        <v>0.903</v>
      </c>
      <c r="M1428" t="n">
        <v>0.097</v>
      </c>
    </row>
    <row r="1429" spans="1:13">
      <c r="A1429" s="1">
        <f>HYPERLINK("http://www.twitter.com/NathanBLawrence/status/988528349877334020", "988528349877334020")</f>
        <v/>
      </c>
      <c r="B1429" s="2" t="n">
        <v>43213.89003472222</v>
      </c>
      <c r="C1429" t="n">
        <v>0</v>
      </c>
      <c r="D1429" t="n">
        <v>18</v>
      </c>
      <c r="E1429" t="s">
        <v>1435</v>
      </c>
      <c r="F1429" t="s"/>
      <c r="G1429" t="s"/>
      <c r="H1429" t="s"/>
      <c r="I1429" t="s"/>
      <c r="J1429" t="n">
        <v>0</v>
      </c>
      <c r="K1429" t="n">
        <v>0</v>
      </c>
      <c r="L1429" t="n">
        <v>1</v>
      </c>
      <c r="M1429" t="n">
        <v>0</v>
      </c>
    </row>
    <row r="1430" spans="1:13">
      <c r="A1430" s="1">
        <f>HYPERLINK("http://www.twitter.com/NathanBLawrence/status/988528333288824832", "988528333288824832")</f>
        <v/>
      </c>
      <c r="B1430" s="2" t="n">
        <v>43213.88998842592</v>
      </c>
      <c r="C1430" t="n">
        <v>25</v>
      </c>
      <c r="D1430" t="n">
        <v>18</v>
      </c>
      <c r="E1430" t="s">
        <v>1436</v>
      </c>
      <c r="F1430" t="s"/>
      <c r="G1430" t="s"/>
      <c r="H1430" t="s"/>
      <c r="I1430" t="s"/>
      <c r="J1430" t="n">
        <v>0</v>
      </c>
      <c r="K1430" t="n">
        <v>0</v>
      </c>
      <c r="L1430" t="n">
        <v>1</v>
      </c>
      <c r="M1430" t="n">
        <v>0</v>
      </c>
    </row>
    <row r="1431" spans="1:13">
      <c r="A1431" s="1">
        <f>HYPERLINK("http://www.twitter.com/NathanBLawrence/status/988492501236449281", "988492501236449281")</f>
        <v/>
      </c>
      <c r="B1431" s="2" t="n">
        <v>43213.79111111111</v>
      </c>
      <c r="C1431" t="n">
        <v>0</v>
      </c>
      <c r="D1431" t="n">
        <v>7</v>
      </c>
      <c r="E1431" t="s">
        <v>1437</v>
      </c>
      <c r="F1431" t="s"/>
      <c r="G1431" t="s"/>
      <c r="H1431" t="s"/>
      <c r="I1431" t="s"/>
      <c r="J1431" t="n">
        <v>-0.6381</v>
      </c>
      <c r="K1431" t="n">
        <v>0.199</v>
      </c>
      <c r="L1431" t="n">
        <v>0.801</v>
      </c>
      <c r="M1431" t="n">
        <v>0</v>
      </c>
    </row>
    <row r="1432" spans="1:13">
      <c r="A1432" s="1">
        <f>HYPERLINK("http://www.twitter.com/NathanBLawrence/status/988489779070238720", "988489779070238720")</f>
        <v/>
      </c>
      <c r="B1432" s="2" t="n">
        <v>43213.78359953704</v>
      </c>
      <c r="C1432" t="n">
        <v>0</v>
      </c>
      <c r="D1432" t="n">
        <v>1</v>
      </c>
      <c r="E1432" t="s">
        <v>1438</v>
      </c>
      <c r="F1432" t="s"/>
      <c r="G1432" t="s"/>
      <c r="H1432" t="s"/>
      <c r="I1432" t="s"/>
      <c r="J1432" t="n">
        <v>0</v>
      </c>
      <c r="K1432" t="n">
        <v>0</v>
      </c>
      <c r="L1432" t="n">
        <v>1</v>
      </c>
      <c r="M1432" t="n">
        <v>0</v>
      </c>
    </row>
    <row r="1433" spans="1:13">
      <c r="A1433" s="1">
        <f>HYPERLINK("http://www.twitter.com/NathanBLawrence/status/988489509963694085", "988489509963694085")</f>
        <v/>
      </c>
      <c r="B1433" s="2" t="n">
        <v>43213.78285879629</v>
      </c>
      <c r="C1433" t="n">
        <v>0</v>
      </c>
      <c r="D1433" t="n">
        <v>1</v>
      </c>
      <c r="E1433" t="s">
        <v>1439</v>
      </c>
      <c r="F1433" t="s"/>
      <c r="G1433" t="s"/>
      <c r="H1433" t="s"/>
      <c r="I1433" t="s"/>
      <c r="J1433" t="n">
        <v>0</v>
      </c>
      <c r="K1433" t="n">
        <v>0</v>
      </c>
      <c r="L1433" t="n">
        <v>1</v>
      </c>
      <c r="M1433" t="n">
        <v>0</v>
      </c>
    </row>
    <row r="1434" spans="1:13">
      <c r="A1434" s="1">
        <f>HYPERLINK("http://www.twitter.com/NathanBLawrence/status/988463469329571841", "988463469329571841")</f>
        <v/>
      </c>
      <c r="B1434" s="2" t="n">
        <v>43213.71099537037</v>
      </c>
      <c r="C1434" t="n">
        <v>4</v>
      </c>
      <c r="D1434" t="n">
        <v>0</v>
      </c>
      <c r="E1434" t="s">
        <v>1440</v>
      </c>
      <c r="F1434" t="s"/>
      <c r="G1434" t="s"/>
      <c r="H1434" t="s"/>
      <c r="I1434" t="s"/>
      <c r="J1434" t="n">
        <v>-0.2263</v>
      </c>
      <c r="K1434" t="n">
        <v>0.227</v>
      </c>
      <c r="L1434" t="n">
        <v>0.5679999999999999</v>
      </c>
      <c r="M1434" t="n">
        <v>0.204</v>
      </c>
    </row>
    <row r="1435" spans="1:13">
      <c r="A1435" s="1">
        <f>HYPERLINK("http://www.twitter.com/NathanBLawrence/status/988455653701226496", "988455653701226496")</f>
        <v/>
      </c>
      <c r="B1435" s="2" t="n">
        <v>43213.68943287037</v>
      </c>
      <c r="C1435" t="n">
        <v>4</v>
      </c>
      <c r="D1435" t="n">
        <v>2</v>
      </c>
      <c r="E1435" t="s">
        <v>1441</v>
      </c>
      <c r="F1435" t="s"/>
      <c r="G1435" t="s"/>
      <c r="H1435" t="s"/>
      <c r="I1435" t="s"/>
      <c r="J1435" t="n">
        <v>0.3612</v>
      </c>
      <c r="K1435" t="n">
        <v>0</v>
      </c>
      <c r="L1435" t="n">
        <v>0.762</v>
      </c>
      <c r="M1435" t="n">
        <v>0.238</v>
      </c>
    </row>
    <row r="1436" spans="1:13">
      <c r="A1436" s="1">
        <f>HYPERLINK("http://www.twitter.com/NathanBLawrence/status/988452884806340608", "988452884806340608")</f>
        <v/>
      </c>
      <c r="B1436" s="2" t="n">
        <v>43213.68178240741</v>
      </c>
      <c r="C1436" t="n">
        <v>3</v>
      </c>
      <c r="D1436" t="n">
        <v>0</v>
      </c>
      <c r="E1436" t="s">
        <v>1442</v>
      </c>
      <c r="F1436" t="s"/>
      <c r="G1436" t="s"/>
      <c r="H1436" t="s"/>
      <c r="I1436" t="s"/>
      <c r="J1436" t="n">
        <v>0</v>
      </c>
      <c r="K1436" t="n">
        <v>0</v>
      </c>
      <c r="L1436" t="n">
        <v>1</v>
      </c>
      <c r="M1436" t="n">
        <v>0</v>
      </c>
    </row>
    <row r="1437" spans="1:13">
      <c r="A1437" s="1">
        <f>HYPERLINK("http://www.twitter.com/NathanBLawrence/status/988449743469719552", "988449743469719552")</f>
        <v/>
      </c>
      <c r="B1437" s="2" t="n">
        <v>43213.673125</v>
      </c>
      <c r="C1437" t="n">
        <v>0</v>
      </c>
      <c r="D1437" t="n">
        <v>5</v>
      </c>
      <c r="E1437" t="s">
        <v>1443</v>
      </c>
      <c r="F1437" t="s"/>
      <c r="G1437" t="s"/>
      <c r="H1437" t="s"/>
      <c r="I1437" t="s"/>
      <c r="J1437" t="n">
        <v>-0.7096</v>
      </c>
      <c r="K1437" t="n">
        <v>0.211</v>
      </c>
      <c r="L1437" t="n">
        <v>0.789</v>
      </c>
      <c r="M1437" t="n">
        <v>0</v>
      </c>
    </row>
    <row r="1438" spans="1:13">
      <c r="A1438" s="1">
        <f>HYPERLINK("http://www.twitter.com/NathanBLawrence/status/988449726881320960", "988449726881320960")</f>
        <v/>
      </c>
      <c r="B1438" s="2" t="n">
        <v>43213.6730787037</v>
      </c>
      <c r="C1438" t="n">
        <v>8</v>
      </c>
      <c r="D1438" t="n">
        <v>5</v>
      </c>
      <c r="E1438" t="s">
        <v>1444</v>
      </c>
      <c r="F1438" t="s"/>
      <c r="G1438" t="s"/>
      <c r="H1438" t="s"/>
      <c r="I1438" t="s"/>
      <c r="J1438" t="n">
        <v>-0.8126</v>
      </c>
      <c r="K1438" t="n">
        <v>0.137</v>
      </c>
      <c r="L1438" t="n">
        <v>0.863</v>
      </c>
      <c r="M1438" t="n">
        <v>0</v>
      </c>
    </row>
    <row r="1439" spans="1:13">
      <c r="A1439" s="1">
        <f>HYPERLINK("http://www.twitter.com/NathanBLawrence/status/988436073020878854", "988436073020878854")</f>
        <v/>
      </c>
      <c r="B1439" s="2" t="n">
        <v>43213.63539351852</v>
      </c>
      <c r="C1439" t="n">
        <v>0</v>
      </c>
      <c r="D1439" t="n">
        <v>0</v>
      </c>
      <c r="E1439" t="s">
        <v>1445</v>
      </c>
      <c r="F1439" t="s"/>
      <c r="G1439" t="s"/>
      <c r="H1439" t="s"/>
      <c r="I1439" t="s"/>
      <c r="J1439" t="n">
        <v>0</v>
      </c>
      <c r="K1439" t="n">
        <v>0</v>
      </c>
      <c r="L1439" t="n">
        <v>1</v>
      </c>
      <c r="M1439" t="n">
        <v>0</v>
      </c>
    </row>
    <row r="1440" spans="1:13">
      <c r="A1440" s="1">
        <f>HYPERLINK("http://www.twitter.com/NathanBLawrence/status/988435591359533057", "988435591359533057")</f>
        <v/>
      </c>
      <c r="B1440" s="2" t="n">
        <v>43213.6340625</v>
      </c>
      <c r="C1440" t="n">
        <v>1</v>
      </c>
      <c r="D1440" t="n">
        <v>0</v>
      </c>
      <c r="E1440" t="s">
        <v>1446</v>
      </c>
      <c r="F1440" t="s"/>
      <c r="G1440" t="s"/>
      <c r="H1440" t="s"/>
      <c r="I1440" t="s"/>
      <c r="J1440" t="n">
        <v>0.5473</v>
      </c>
      <c r="K1440" t="n">
        <v>0</v>
      </c>
      <c r="L1440" t="n">
        <v>0.221</v>
      </c>
      <c r="M1440" t="n">
        <v>0.779</v>
      </c>
    </row>
    <row r="1441" spans="1:13">
      <c r="A1441" s="1">
        <f>HYPERLINK("http://www.twitter.com/NathanBLawrence/status/988434850049941504", "988434850049941504")</f>
        <v/>
      </c>
      <c r="B1441" s="2" t="n">
        <v>43213.63202546296</v>
      </c>
      <c r="C1441" t="n">
        <v>0</v>
      </c>
      <c r="D1441" t="n">
        <v>0</v>
      </c>
      <c r="E1441" t="s">
        <v>1447</v>
      </c>
      <c r="F1441" t="s"/>
      <c r="G1441" t="s"/>
      <c r="H1441" t="s"/>
      <c r="I1441" t="s"/>
      <c r="J1441" t="n">
        <v>-0.5266999999999999</v>
      </c>
      <c r="K1441" t="n">
        <v>0.096</v>
      </c>
      <c r="L1441" t="n">
        <v>0.904</v>
      </c>
      <c r="M1441" t="n">
        <v>0</v>
      </c>
    </row>
    <row r="1442" spans="1:13">
      <c r="A1442" s="1">
        <f>HYPERLINK("http://www.twitter.com/NathanBLawrence/status/988434556402520064", "988434556402520064")</f>
        <v/>
      </c>
      <c r="B1442" s="2" t="n">
        <v>43213.63121527778</v>
      </c>
      <c r="C1442" t="n">
        <v>0</v>
      </c>
      <c r="D1442" t="n">
        <v>0</v>
      </c>
      <c r="E1442" t="s">
        <v>1448</v>
      </c>
      <c r="F1442">
        <f>HYPERLINK("http://pbs.twimg.com/media/Dbef-6NWAAA2BRz.jpg", "http://pbs.twimg.com/media/Dbef-6NWAAA2BRz.jpg")</f>
        <v/>
      </c>
      <c r="G1442" t="s"/>
      <c r="H1442" t="s"/>
      <c r="I1442" t="s"/>
      <c r="J1442" t="n">
        <v>-0.1323</v>
      </c>
      <c r="K1442" t="n">
        <v>0.147</v>
      </c>
      <c r="L1442" t="n">
        <v>0.729</v>
      </c>
      <c r="M1442" t="n">
        <v>0.124</v>
      </c>
    </row>
    <row r="1443" spans="1:13">
      <c r="A1443" s="1">
        <f>HYPERLINK("http://www.twitter.com/NathanBLawrence/status/988433261297831946", "988433261297831946")</f>
        <v/>
      </c>
      <c r="B1443" s="2" t="n">
        <v>43213.62763888889</v>
      </c>
      <c r="C1443" t="n">
        <v>0</v>
      </c>
      <c r="D1443" t="n">
        <v>8</v>
      </c>
      <c r="E1443" t="s">
        <v>1449</v>
      </c>
      <c r="F1443" t="s"/>
      <c r="G1443" t="s"/>
      <c r="H1443" t="s"/>
      <c r="I1443" t="s"/>
      <c r="J1443" t="n">
        <v>0</v>
      </c>
      <c r="K1443" t="n">
        <v>0</v>
      </c>
      <c r="L1443" t="n">
        <v>1</v>
      </c>
      <c r="M1443" t="n">
        <v>0</v>
      </c>
    </row>
    <row r="1444" spans="1:13">
      <c r="A1444" s="1">
        <f>HYPERLINK("http://www.twitter.com/NathanBLawrence/status/988433201206054914", "988433201206054914")</f>
        <v/>
      </c>
      <c r="B1444" s="2" t="n">
        <v>43213.62747685185</v>
      </c>
      <c r="C1444" t="n">
        <v>0</v>
      </c>
      <c r="D1444" t="n">
        <v>23</v>
      </c>
      <c r="E1444" t="s">
        <v>1450</v>
      </c>
      <c r="F1444">
        <f>HYPERLINK("http://pbs.twimg.com/media/DbeelY-XUAEDaDB.jpg", "http://pbs.twimg.com/media/DbeelY-XUAEDaDB.jpg")</f>
        <v/>
      </c>
      <c r="G1444" t="s"/>
      <c r="H1444" t="s"/>
      <c r="I1444" t="s"/>
      <c r="J1444" t="n">
        <v>-0.1323</v>
      </c>
      <c r="K1444" t="n">
        <v>0.13</v>
      </c>
      <c r="L1444" t="n">
        <v>0.76</v>
      </c>
      <c r="M1444" t="n">
        <v>0.11</v>
      </c>
    </row>
    <row r="1445" spans="1:13">
      <c r="A1445" s="1">
        <f>HYPERLINK("http://www.twitter.com/NathanBLawrence/status/988433175285288961", "988433175285288961")</f>
        <v/>
      </c>
      <c r="B1445" s="2" t="n">
        <v>43213.62739583333</v>
      </c>
      <c r="C1445" t="n">
        <v>23</v>
      </c>
      <c r="D1445" t="n">
        <v>23</v>
      </c>
      <c r="E1445" t="s">
        <v>1451</v>
      </c>
      <c r="F1445">
        <f>HYPERLINK("http://pbs.twimg.com/media/DbeelY-XUAEDaDB.jpg", "http://pbs.twimg.com/media/DbeelY-XUAEDaDB.jpg")</f>
        <v/>
      </c>
      <c r="G1445" t="s"/>
      <c r="H1445" t="s"/>
      <c r="I1445" t="s"/>
      <c r="J1445" t="n">
        <v>-0.1323</v>
      </c>
      <c r="K1445" t="n">
        <v>0.13</v>
      </c>
      <c r="L1445" t="n">
        <v>0.76</v>
      </c>
      <c r="M1445" t="n">
        <v>0.11</v>
      </c>
    </row>
    <row r="1446" spans="1:13">
      <c r="A1446" s="1">
        <f>HYPERLINK("http://www.twitter.com/NathanBLawrence/status/988432892844965888", "988432892844965888")</f>
        <v/>
      </c>
      <c r="B1446" s="2" t="n">
        <v>43213.62662037037</v>
      </c>
      <c r="C1446" t="n">
        <v>14</v>
      </c>
      <c r="D1446" t="n">
        <v>8</v>
      </c>
      <c r="E1446" t="s">
        <v>1452</v>
      </c>
      <c r="F1446" t="s"/>
      <c r="G1446" t="s"/>
      <c r="H1446" t="s"/>
      <c r="I1446" t="s"/>
      <c r="J1446" t="n">
        <v>0.4588</v>
      </c>
      <c r="K1446" t="n">
        <v>0</v>
      </c>
      <c r="L1446" t="n">
        <v>0.9</v>
      </c>
      <c r="M1446" t="n">
        <v>0.1</v>
      </c>
    </row>
    <row r="1447" spans="1:13">
      <c r="A1447" s="1">
        <f>HYPERLINK("http://www.twitter.com/NathanBLawrence/status/988432850222571521", "988432850222571521")</f>
        <v/>
      </c>
      <c r="B1447" s="2" t="n">
        <v>43213.62650462963</v>
      </c>
      <c r="C1447" t="n">
        <v>0</v>
      </c>
      <c r="D1447" t="n">
        <v>8</v>
      </c>
      <c r="E1447" t="s">
        <v>1453</v>
      </c>
      <c r="F1447" t="s"/>
      <c r="G1447" t="s"/>
      <c r="H1447" t="s"/>
      <c r="I1447" t="s"/>
      <c r="J1447" t="n">
        <v>0</v>
      </c>
      <c r="K1447" t="n">
        <v>0</v>
      </c>
      <c r="L1447" t="n">
        <v>1</v>
      </c>
      <c r="M1447" t="n">
        <v>0</v>
      </c>
    </row>
    <row r="1448" spans="1:13">
      <c r="A1448" s="1">
        <f>HYPERLINK("http://www.twitter.com/NathanBLawrence/status/988432812662501377", "988432812662501377")</f>
        <v/>
      </c>
      <c r="B1448" s="2" t="n">
        <v>43213.62640046296</v>
      </c>
      <c r="C1448" t="n">
        <v>0</v>
      </c>
      <c r="D1448" t="n">
        <v>14</v>
      </c>
      <c r="E1448" t="s">
        <v>1454</v>
      </c>
      <c r="F1448">
        <f>HYPERLINK("http://pbs.twimg.com/media/DbeZYeZV0AcuwQL.jpg", "http://pbs.twimg.com/media/DbeZYeZV0AcuwQL.jpg")</f>
        <v/>
      </c>
      <c r="G1448" t="s"/>
      <c r="H1448" t="s"/>
      <c r="I1448" t="s"/>
      <c r="J1448" t="n">
        <v>0</v>
      </c>
      <c r="K1448" t="n">
        <v>0</v>
      </c>
      <c r="L1448" t="n">
        <v>1</v>
      </c>
      <c r="M1448" t="n">
        <v>0</v>
      </c>
    </row>
    <row r="1449" spans="1:13">
      <c r="A1449" s="1">
        <f>HYPERLINK("http://www.twitter.com/NathanBLawrence/status/988432719385452545", "988432719385452545")</f>
        <v/>
      </c>
      <c r="B1449" s="2" t="n">
        <v>43213.62614583333</v>
      </c>
      <c r="C1449" t="n">
        <v>11</v>
      </c>
      <c r="D1449" t="n">
        <v>8</v>
      </c>
      <c r="E1449" t="s">
        <v>1455</v>
      </c>
      <c r="F1449" t="s"/>
      <c r="G1449" t="s"/>
      <c r="H1449" t="s"/>
      <c r="I1449" t="s"/>
      <c r="J1449" t="n">
        <v>0.4588</v>
      </c>
      <c r="K1449" t="n">
        <v>0</v>
      </c>
      <c r="L1449" t="n">
        <v>0.902</v>
      </c>
      <c r="M1449" t="n">
        <v>0.098</v>
      </c>
    </row>
    <row r="1450" spans="1:13">
      <c r="A1450" s="1">
        <f>HYPERLINK("http://www.twitter.com/NathanBLawrence/status/988423578608701440", "988423578608701440")</f>
        <v/>
      </c>
      <c r="B1450" s="2" t="n">
        <v>43213.60091435185</v>
      </c>
      <c r="C1450" t="n">
        <v>0</v>
      </c>
      <c r="D1450" t="n">
        <v>1</v>
      </c>
      <c r="E1450" t="s">
        <v>1456</v>
      </c>
      <c r="F1450" t="s"/>
      <c r="G1450" t="s"/>
      <c r="H1450" t="s"/>
      <c r="I1450" t="s"/>
      <c r="J1450" t="n">
        <v>0.2732</v>
      </c>
      <c r="K1450" t="n">
        <v>0</v>
      </c>
      <c r="L1450" t="n">
        <v>0.89</v>
      </c>
      <c r="M1450" t="n">
        <v>0.11</v>
      </c>
    </row>
    <row r="1451" spans="1:13">
      <c r="A1451" s="1">
        <f>HYPERLINK("http://www.twitter.com/NathanBLawrence/status/988423519359979520", "988423519359979520")</f>
        <v/>
      </c>
      <c r="B1451" s="2" t="n">
        <v>43213.60075231481</v>
      </c>
      <c r="C1451" t="n">
        <v>5</v>
      </c>
      <c r="D1451" t="n">
        <v>1</v>
      </c>
      <c r="E1451" t="s">
        <v>1457</v>
      </c>
      <c r="F1451" t="s"/>
      <c r="G1451" t="s"/>
      <c r="H1451" t="s"/>
      <c r="I1451" t="s"/>
      <c r="J1451" t="n">
        <v>0.2732</v>
      </c>
      <c r="K1451" t="n">
        <v>0.057</v>
      </c>
      <c r="L1451" t="n">
        <v>0.845</v>
      </c>
      <c r="M1451" t="n">
        <v>0.098</v>
      </c>
    </row>
    <row r="1452" spans="1:13">
      <c r="A1452" s="1">
        <f>HYPERLINK("http://www.twitter.com/NathanBLawrence/status/988419878431412226", "988419878431412226")</f>
        <v/>
      </c>
      <c r="B1452" s="2" t="n">
        <v>43213.59070601852</v>
      </c>
      <c r="C1452" t="n">
        <v>4</v>
      </c>
      <c r="D1452" t="n">
        <v>0</v>
      </c>
      <c r="E1452" t="s">
        <v>1458</v>
      </c>
      <c r="F1452" t="s"/>
      <c r="G1452" t="s"/>
      <c r="H1452" t="s"/>
      <c r="I1452" t="s"/>
      <c r="J1452" t="n">
        <v>-0.3182</v>
      </c>
      <c r="K1452" t="n">
        <v>0.298</v>
      </c>
      <c r="L1452" t="n">
        <v>0.5669999999999999</v>
      </c>
      <c r="M1452" t="n">
        <v>0.135</v>
      </c>
    </row>
    <row r="1453" spans="1:13">
      <c r="A1453" s="1">
        <f>HYPERLINK("http://www.twitter.com/NathanBLawrence/status/988419572834369537", "988419572834369537")</f>
        <v/>
      </c>
      <c r="B1453" s="2" t="n">
        <v>43213.58986111111</v>
      </c>
      <c r="C1453" t="n">
        <v>0</v>
      </c>
      <c r="D1453" t="n">
        <v>0</v>
      </c>
      <c r="E1453" t="s">
        <v>1459</v>
      </c>
      <c r="F1453" t="s"/>
      <c r="G1453" t="s"/>
      <c r="H1453" t="s"/>
      <c r="I1453" t="s"/>
      <c r="J1453" t="n">
        <v>0</v>
      </c>
      <c r="K1453" t="n">
        <v>0</v>
      </c>
      <c r="L1453" t="n">
        <v>1</v>
      </c>
      <c r="M1453" t="n">
        <v>0</v>
      </c>
    </row>
    <row r="1454" spans="1:13">
      <c r="A1454" s="1">
        <f>HYPERLINK("http://www.twitter.com/NathanBLawrence/status/988418024905564160", "988418024905564160")</f>
        <v/>
      </c>
      <c r="B1454" s="2" t="n">
        <v>43213.58559027778</v>
      </c>
      <c r="C1454" t="n">
        <v>0</v>
      </c>
      <c r="D1454" t="n">
        <v>0</v>
      </c>
      <c r="E1454" t="s">
        <v>1460</v>
      </c>
      <c r="F1454" t="s"/>
      <c r="G1454" t="s"/>
      <c r="H1454" t="s"/>
      <c r="I1454" t="s"/>
      <c r="J1454" t="n">
        <v>0</v>
      </c>
      <c r="K1454" t="n">
        <v>0</v>
      </c>
      <c r="L1454" t="n">
        <v>1</v>
      </c>
      <c r="M1454" t="n">
        <v>0</v>
      </c>
    </row>
    <row r="1455" spans="1:13">
      <c r="A1455" s="1">
        <f>HYPERLINK("http://www.twitter.com/NathanBLawrence/status/988416611307663360", "988416611307663360")</f>
        <v/>
      </c>
      <c r="B1455" s="2" t="n">
        <v>43213.58168981481</v>
      </c>
      <c r="C1455" t="n">
        <v>0</v>
      </c>
      <c r="D1455" t="n">
        <v>6</v>
      </c>
      <c r="E1455" t="s">
        <v>1461</v>
      </c>
      <c r="F1455" t="s"/>
      <c r="G1455" t="s"/>
      <c r="H1455" t="s"/>
      <c r="I1455" t="s"/>
      <c r="J1455" t="n">
        <v>0</v>
      </c>
      <c r="K1455" t="n">
        <v>0</v>
      </c>
      <c r="L1455" t="n">
        <v>1</v>
      </c>
      <c r="M1455" t="n">
        <v>0</v>
      </c>
    </row>
    <row r="1456" spans="1:13">
      <c r="A1456" s="1">
        <f>HYPERLINK("http://www.twitter.com/NathanBLawrence/status/988413250197999616", "988413250197999616")</f>
        <v/>
      </c>
      <c r="B1456" s="2" t="n">
        <v>43213.57241898148</v>
      </c>
      <c r="C1456" t="n">
        <v>0</v>
      </c>
      <c r="D1456" t="n">
        <v>1</v>
      </c>
      <c r="E1456" t="s">
        <v>1462</v>
      </c>
      <c r="F1456" t="s"/>
      <c r="G1456" t="s"/>
      <c r="H1456" t="s"/>
      <c r="I1456" t="s"/>
      <c r="J1456" t="n">
        <v>-0.6595</v>
      </c>
      <c r="K1456" t="n">
        <v>0.332</v>
      </c>
      <c r="L1456" t="n">
        <v>0.538</v>
      </c>
      <c r="M1456" t="n">
        <v>0.13</v>
      </c>
    </row>
    <row r="1457" spans="1:13">
      <c r="A1457" s="1">
        <f>HYPERLINK("http://www.twitter.com/NathanBLawrence/status/988413192106840065", "988413192106840065")</f>
        <v/>
      </c>
      <c r="B1457" s="2" t="n">
        <v>43213.57225694445</v>
      </c>
      <c r="C1457" t="n">
        <v>3</v>
      </c>
      <c r="D1457" t="n">
        <v>1</v>
      </c>
      <c r="E1457" t="s">
        <v>1463</v>
      </c>
      <c r="F1457" t="s"/>
      <c r="G1457" t="s"/>
      <c r="H1457" t="s"/>
      <c r="I1457" t="s"/>
      <c r="J1457" t="n">
        <v>-0.6367</v>
      </c>
      <c r="K1457" t="n">
        <v>0.253</v>
      </c>
      <c r="L1457" t="n">
        <v>0.618</v>
      </c>
      <c r="M1457" t="n">
        <v>0.129</v>
      </c>
    </row>
    <row r="1458" spans="1:13">
      <c r="A1458" s="1">
        <f>HYPERLINK("http://www.twitter.com/NathanBLawrence/status/988412112639754240", "988412112639754240")</f>
        <v/>
      </c>
      <c r="B1458" s="2" t="n">
        <v>43213.56928240741</v>
      </c>
      <c r="C1458" t="n">
        <v>0</v>
      </c>
      <c r="D1458" t="n">
        <v>4</v>
      </c>
      <c r="E1458" t="s">
        <v>1464</v>
      </c>
      <c r="F1458">
        <f>HYPERLINK("http://pbs.twimg.com/media/Dbd4ERRU0AALAh_.jpg", "http://pbs.twimg.com/media/Dbd4ERRU0AALAh_.jpg")</f>
        <v/>
      </c>
      <c r="G1458" t="s"/>
      <c r="H1458" t="s"/>
      <c r="I1458" t="s"/>
      <c r="J1458" t="n">
        <v>0</v>
      </c>
      <c r="K1458" t="n">
        <v>0</v>
      </c>
      <c r="L1458" t="n">
        <v>1</v>
      </c>
      <c r="M1458" t="n">
        <v>0</v>
      </c>
    </row>
    <row r="1459" spans="1:13">
      <c r="A1459" s="1">
        <f>HYPERLINK("http://www.twitter.com/NathanBLawrence/status/988405658373541888", "988405658373541888")</f>
        <v/>
      </c>
      <c r="B1459" s="2" t="n">
        <v>43213.5514699074</v>
      </c>
      <c r="C1459" t="n">
        <v>0</v>
      </c>
      <c r="D1459" t="n">
        <v>1</v>
      </c>
      <c r="E1459" t="s">
        <v>1465</v>
      </c>
      <c r="F1459" t="s"/>
      <c r="G1459" t="s"/>
      <c r="H1459" t="s"/>
      <c r="I1459" t="s"/>
      <c r="J1459" t="n">
        <v>0</v>
      </c>
      <c r="K1459" t="n">
        <v>0</v>
      </c>
      <c r="L1459" t="n">
        <v>1</v>
      </c>
      <c r="M1459" t="n">
        <v>0</v>
      </c>
    </row>
    <row r="1460" spans="1:13">
      <c r="A1460" s="1">
        <f>HYPERLINK("http://www.twitter.com/NathanBLawrence/status/988401209655681026", "988401209655681026")</f>
        <v/>
      </c>
      <c r="B1460" s="2" t="n">
        <v>43213.53918981482</v>
      </c>
      <c r="C1460" t="n">
        <v>0</v>
      </c>
      <c r="D1460" t="n">
        <v>2</v>
      </c>
      <c r="E1460" t="s">
        <v>1466</v>
      </c>
      <c r="F1460" t="s"/>
      <c r="G1460" t="s"/>
      <c r="H1460" t="s"/>
      <c r="I1460" t="s"/>
      <c r="J1460" t="n">
        <v>-0.5859</v>
      </c>
      <c r="K1460" t="n">
        <v>0.209</v>
      </c>
      <c r="L1460" t="n">
        <v>0.709</v>
      </c>
      <c r="M1460" t="n">
        <v>0.081</v>
      </c>
    </row>
    <row r="1461" spans="1:13">
      <c r="A1461" s="1">
        <f>HYPERLINK("http://www.twitter.com/NathanBLawrence/status/988401168442449921", "988401168442449921")</f>
        <v/>
      </c>
      <c r="B1461" s="2" t="n">
        <v>43213.53907407408</v>
      </c>
      <c r="C1461" t="n">
        <v>1</v>
      </c>
      <c r="D1461" t="n">
        <v>2</v>
      </c>
      <c r="E1461" t="s">
        <v>1467</v>
      </c>
      <c r="F1461" t="s"/>
      <c r="G1461" t="s"/>
      <c r="H1461" t="s"/>
      <c r="I1461" t="s"/>
      <c r="J1461" t="n">
        <v>-0.4939</v>
      </c>
      <c r="K1461" t="n">
        <v>0.196</v>
      </c>
      <c r="L1461" t="n">
        <v>0.675</v>
      </c>
      <c r="M1461" t="n">
        <v>0.129</v>
      </c>
    </row>
    <row r="1462" spans="1:13">
      <c r="A1462" s="1">
        <f>HYPERLINK("http://www.twitter.com/NathanBLawrence/status/988400233729220610", "988400233729220610")</f>
        <v/>
      </c>
      <c r="B1462" s="2" t="n">
        <v>43213.53649305556</v>
      </c>
      <c r="C1462" t="n">
        <v>0</v>
      </c>
      <c r="D1462" t="n">
        <v>1</v>
      </c>
      <c r="E1462" t="s">
        <v>1468</v>
      </c>
      <c r="F1462" t="s"/>
      <c r="G1462" t="s"/>
      <c r="H1462" t="s"/>
      <c r="I1462" t="s"/>
      <c r="J1462" t="n">
        <v>0</v>
      </c>
      <c r="K1462" t="n">
        <v>0</v>
      </c>
      <c r="L1462" t="n">
        <v>1</v>
      </c>
      <c r="M1462" t="n">
        <v>0</v>
      </c>
    </row>
    <row r="1463" spans="1:13">
      <c r="A1463" s="1">
        <f>HYPERLINK("http://www.twitter.com/NathanBLawrence/status/988399987712315393", "988399987712315393")</f>
        <v/>
      </c>
      <c r="B1463" s="2" t="n">
        <v>43213.53582175926</v>
      </c>
      <c r="C1463" t="n">
        <v>0</v>
      </c>
      <c r="D1463" t="n">
        <v>3</v>
      </c>
      <c r="E1463" t="s">
        <v>1469</v>
      </c>
      <c r="F1463">
        <f>HYPERLINK("http://pbs.twimg.com/media/DbeAb1AU8AAAC0P.jpg", "http://pbs.twimg.com/media/DbeAb1AU8AAAC0P.jpg")</f>
        <v/>
      </c>
      <c r="G1463" t="s"/>
      <c r="H1463" t="s"/>
      <c r="I1463" t="s"/>
      <c r="J1463" t="n">
        <v>0</v>
      </c>
      <c r="K1463" t="n">
        <v>0</v>
      </c>
      <c r="L1463" t="n">
        <v>1</v>
      </c>
      <c r="M1463" t="n">
        <v>0</v>
      </c>
    </row>
    <row r="1464" spans="1:13">
      <c r="A1464" s="1">
        <f>HYPERLINK("http://www.twitter.com/NathanBLawrence/status/988399901167050754", "988399901167050754")</f>
        <v/>
      </c>
      <c r="B1464" s="2" t="n">
        <v>43213.5355787037</v>
      </c>
      <c r="C1464" t="n">
        <v>6</v>
      </c>
      <c r="D1464" t="n">
        <v>3</v>
      </c>
      <c r="E1464" t="s">
        <v>1470</v>
      </c>
      <c r="F1464">
        <f>HYPERLINK("http://pbs.twimg.com/media/DbeAb1AU8AAAC0P.jpg", "http://pbs.twimg.com/media/DbeAb1AU8AAAC0P.jpg")</f>
        <v/>
      </c>
      <c r="G1464" t="s"/>
      <c r="H1464" t="s"/>
      <c r="I1464" t="s"/>
      <c r="J1464" t="n">
        <v>0</v>
      </c>
      <c r="K1464" t="n">
        <v>0</v>
      </c>
      <c r="L1464" t="n">
        <v>1</v>
      </c>
      <c r="M1464" t="n">
        <v>0</v>
      </c>
    </row>
    <row r="1465" spans="1:13">
      <c r="A1465" s="1">
        <f>HYPERLINK("http://www.twitter.com/NathanBLawrence/status/988398180369911813", "988398180369911813")</f>
        <v/>
      </c>
      <c r="B1465" s="2" t="n">
        <v>43213.53083333333</v>
      </c>
      <c r="C1465" t="n">
        <v>1</v>
      </c>
      <c r="D1465" t="n">
        <v>0</v>
      </c>
      <c r="E1465" t="s">
        <v>1471</v>
      </c>
      <c r="F1465" t="s"/>
      <c r="G1465" t="s"/>
      <c r="H1465" t="s"/>
      <c r="I1465" t="s"/>
      <c r="J1465" t="n">
        <v>0.7003</v>
      </c>
      <c r="K1465" t="n">
        <v>0</v>
      </c>
      <c r="L1465" t="n">
        <v>0.734</v>
      </c>
      <c r="M1465" t="n">
        <v>0.266</v>
      </c>
    </row>
    <row r="1466" spans="1:13">
      <c r="A1466" s="1">
        <f>HYPERLINK("http://www.twitter.com/NathanBLawrence/status/988397622464516097", "988397622464516097")</f>
        <v/>
      </c>
      <c r="B1466" s="2" t="n">
        <v>43213.52929398148</v>
      </c>
      <c r="C1466" t="n">
        <v>1</v>
      </c>
      <c r="D1466" t="n">
        <v>1</v>
      </c>
      <c r="E1466" t="s">
        <v>1472</v>
      </c>
      <c r="F1466" t="s"/>
      <c r="G1466" t="s"/>
      <c r="H1466" t="s"/>
      <c r="I1466" t="s"/>
      <c r="J1466" t="n">
        <v>0</v>
      </c>
      <c r="K1466" t="n">
        <v>0</v>
      </c>
      <c r="L1466" t="n">
        <v>1</v>
      </c>
      <c r="M1466" t="n">
        <v>0</v>
      </c>
    </row>
    <row r="1467" spans="1:13">
      <c r="A1467" s="1">
        <f>HYPERLINK("http://www.twitter.com/NathanBLawrence/status/988390776823574529", "988390776823574529")</f>
        <v/>
      </c>
      <c r="B1467" s="2" t="n">
        <v>43213.51040509259</v>
      </c>
      <c r="C1467" t="n">
        <v>0</v>
      </c>
      <c r="D1467" t="n">
        <v>2</v>
      </c>
      <c r="E1467" t="s">
        <v>1473</v>
      </c>
      <c r="F1467" t="s"/>
      <c r="G1467" t="s"/>
      <c r="H1467" t="s"/>
      <c r="I1467" t="s"/>
      <c r="J1467" t="n">
        <v>-0.4767</v>
      </c>
      <c r="K1467" t="n">
        <v>0.193</v>
      </c>
      <c r="L1467" t="n">
        <v>0.7</v>
      </c>
      <c r="M1467" t="n">
        <v>0.107</v>
      </c>
    </row>
    <row r="1468" spans="1:13">
      <c r="A1468" s="1">
        <f>HYPERLINK("http://www.twitter.com/NathanBLawrence/status/988390753377439745", "988390753377439745")</f>
        <v/>
      </c>
      <c r="B1468" s="2" t="n">
        <v>43213.51033564815</v>
      </c>
      <c r="C1468" t="n">
        <v>2</v>
      </c>
      <c r="D1468" t="n">
        <v>2</v>
      </c>
      <c r="E1468" t="s">
        <v>1474</v>
      </c>
      <c r="F1468" t="s"/>
      <c r="G1468" t="s"/>
      <c r="H1468" t="s"/>
      <c r="I1468" t="s"/>
      <c r="J1468" t="n">
        <v>-0.7645</v>
      </c>
      <c r="K1468" t="n">
        <v>0.22</v>
      </c>
      <c r="L1468" t="n">
        <v>0.674</v>
      </c>
      <c r="M1468" t="n">
        <v>0.106</v>
      </c>
    </row>
    <row r="1469" spans="1:13">
      <c r="A1469" s="1">
        <f>HYPERLINK("http://www.twitter.com/NathanBLawrence/status/988234319683518466", "988234319683518466")</f>
        <v/>
      </c>
      <c r="B1469" s="2" t="n">
        <v>43213.07865740741</v>
      </c>
      <c r="C1469" t="n">
        <v>0</v>
      </c>
      <c r="D1469" t="n">
        <v>2</v>
      </c>
      <c r="E1469" t="s">
        <v>1475</v>
      </c>
      <c r="F1469" t="s"/>
      <c r="G1469" t="s"/>
      <c r="H1469" t="s"/>
      <c r="I1469" t="s"/>
      <c r="J1469" t="n">
        <v>-0.1386</v>
      </c>
      <c r="K1469" t="n">
        <v>0.185</v>
      </c>
      <c r="L1469" t="n">
        <v>0.678</v>
      </c>
      <c r="M1469" t="n">
        <v>0.137</v>
      </c>
    </row>
    <row r="1470" spans="1:13">
      <c r="A1470" s="1">
        <f>HYPERLINK("http://www.twitter.com/NathanBLawrence/status/988234220899270656", "988234220899270656")</f>
        <v/>
      </c>
      <c r="B1470" s="2" t="n">
        <v>43213.0783912037</v>
      </c>
      <c r="C1470" t="n">
        <v>2</v>
      </c>
      <c r="D1470" t="n">
        <v>2</v>
      </c>
      <c r="E1470" t="s">
        <v>1476</v>
      </c>
      <c r="F1470" t="s"/>
      <c r="G1470" t="s"/>
      <c r="H1470" t="s"/>
      <c r="I1470" t="s"/>
      <c r="J1470" t="n">
        <v>-0.5271</v>
      </c>
      <c r="K1470" t="n">
        <v>0.163</v>
      </c>
      <c r="L1470" t="n">
        <v>0.755</v>
      </c>
      <c r="M1470" t="n">
        <v>0.082</v>
      </c>
    </row>
    <row r="1471" spans="1:13">
      <c r="A1471" s="1">
        <f>HYPERLINK("http://www.twitter.com/NathanBLawrence/status/988232728180117512", "988232728180117512")</f>
        <v/>
      </c>
      <c r="B1471" s="2" t="n">
        <v>43213.07427083333</v>
      </c>
      <c r="C1471" t="n">
        <v>0</v>
      </c>
      <c r="D1471" t="n">
        <v>2</v>
      </c>
      <c r="E1471" t="s">
        <v>1477</v>
      </c>
      <c r="F1471">
        <f>HYPERLINK("http://pbs.twimg.com/media/DbboIrmUQAA2erE.jpg", "http://pbs.twimg.com/media/DbboIrmUQAA2erE.jpg")</f>
        <v/>
      </c>
      <c r="G1471" t="s"/>
      <c r="H1471" t="s"/>
      <c r="I1471" t="s"/>
      <c r="J1471" t="n">
        <v>0</v>
      </c>
      <c r="K1471" t="n">
        <v>0</v>
      </c>
      <c r="L1471" t="n">
        <v>1</v>
      </c>
      <c r="M1471" t="n">
        <v>0</v>
      </c>
    </row>
    <row r="1472" spans="1:13">
      <c r="A1472" s="1">
        <f>HYPERLINK("http://www.twitter.com/NathanBLawrence/status/988232650681913345", "988232650681913345")</f>
        <v/>
      </c>
      <c r="B1472" s="2" t="n">
        <v>43213.0740625</v>
      </c>
      <c r="C1472" t="n">
        <v>3</v>
      </c>
      <c r="D1472" t="n">
        <v>2</v>
      </c>
      <c r="E1472" t="s">
        <v>1478</v>
      </c>
      <c r="F1472">
        <f>HYPERLINK("http://pbs.twimg.com/media/DbboIrmUQAA2erE.jpg", "http://pbs.twimg.com/media/DbboIrmUQAA2erE.jpg")</f>
        <v/>
      </c>
      <c r="G1472" t="s"/>
      <c r="H1472" t="s"/>
      <c r="I1472" t="s"/>
      <c r="J1472" t="n">
        <v>0</v>
      </c>
      <c r="K1472" t="n">
        <v>0</v>
      </c>
      <c r="L1472" t="n">
        <v>1</v>
      </c>
      <c r="M1472" t="n">
        <v>0</v>
      </c>
    </row>
    <row r="1473" spans="1:13">
      <c r="A1473" s="1">
        <f>HYPERLINK("http://www.twitter.com/NathanBLawrence/status/988226845165355008", "988226845165355008")</f>
        <v/>
      </c>
      <c r="B1473" s="2" t="n">
        <v>43213.05803240741</v>
      </c>
      <c r="C1473" t="n">
        <v>0</v>
      </c>
      <c r="D1473" t="n">
        <v>3</v>
      </c>
      <c r="E1473" t="s">
        <v>1479</v>
      </c>
      <c r="F1473" t="s"/>
      <c r="G1473" t="s"/>
      <c r="H1473" t="s"/>
      <c r="I1473" t="s"/>
      <c r="J1473" t="n">
        <v>0</v>
      </c>
      <c r="K1473" t="n">
        <v>0</v>
      </c>
      <c r="L1473" t="n">
        <v>1</v>
      </c>
      <c r="M1473" t="n">
        <v>0</v>
      </c>
    </row>
    <row r="1474" spans="1:13">
      <c r="A1474" s="1">
        <f>HYPERLINK("http://www.twitter.com/NathanBLawrence/status/988226824902791168", "988226824902791168")</f>
        <v/>
      </c>
      <c r="B1474" s="2" t="n">
        <v>43213.05798611111</v>
      </c>
      <c r="C1474" t="n">
        <v>10</v>
      </c>
      <c r="D1474" t="n">
        <v>3</v>
      </c>
      <c r="E1474" t="s">
        <v>1480</v>
      </c>
      <c r="F1474" t="s"/>
      <c r="G1474" t="s"/>
      <c r="H1474" t="s"/>
      <c r="I1474" t="s"/>
      <c r="J1474" t="n">
        <v>0</v>
      </c>
      <c r="K1474" t="n">
        <v>0</v>
      </c>
      <c r="L1474" t="n">
        <v>1</v>
      </c>
      <c r="M1474" t="n">
        <v>0</v>
      </c>
    </row>
    <row r="1475" spans="1:13">
      <c r="A1475" s="1">
        <f>HYPERLINK("http://www.twitter.com/NathanBLawrence/status/988216657683369984", "988216657683369984")</f>
        <v/>
      </c>
      <c r="B1475" s="2" t="n">
        <v>43213.02993055555</v>
      </c>
      <c r="C1475" t="n">
        <v>0</v>
      </c>
      <c r="D1475" t="n">
        <v>13</v>
      </c>
      <c r="E1475" t="s">
        <v>1481</v>
      </c>
      <c r="F1475" t="s"/>
      <c r="G1475" t="s"/>
      <c r="H1475" t="s"/>
      <c r="I1475" t="s"/>
      <c r="J1475" t="n">
        <v>0.68</v>
      </c>
      <c r="K1475" t="n">
        <v>0</v>
      </c>
      <c r="L1475" t="n">
        <v>0.763</v>
      </c>
      <c r="M1475" t="n">
        <v>0.237</v>
      </c>
    </row>
    <row r="1476" spans="1:13">
      <c r="A1476" s="1">
        <f>HYPERLINK("http://www.twitter.com/NathanBLawrence/status/988216594412331009", "988216594412331009")</f>
        <v/>
      </c>
      <c r="B1476" s="2" t="n">
        <v>43213.02974537037</v>
      </c>
      <c r="C1476" t="n">
        <v>0</v>
      </c>
      <c r="D1476" t="n">
        <v>10</v>
      </c>
      <c r="E1476" t="s">
        <v>1482</v>
      </c>
      <c r="F1476" t="s"/>
      <c r="G1476" t="s"/>
      <c r="H1476" t="s"/>
      <c r="I1476" t="s"/>
      <c r="J1476" t="n">
        <v>0</v>
      </c>
      <c r="K1476" t="n">
        <v>0</v>
      </c>
      <c r="L1476" t="n">
        <v>1</v>
      </c>
      <c r="M1476" t="n">
        <v>0</v>
      </c>
    </row>
    <row r="1477" spans="1:13">
      <c r="A1477" s="1">
        <f>HYPERLINK("http://www.twitter.com/NathanBLawrence/status/988216573436616704", "988216573436616704")</f>
        <v/>
      </c>
      <c r="B1477" s="2" t="n">
        <v>43213.0296875</v>
      </c>
      <c r="C1477" t="n">
        <v>14</v>
      </c>
      <c r="D1477" t="n">
        <v>10</v>
      </c>
      <c r="E1477" t="s">
        <v>1483</v>
      </c>
      <c r="F1477" t="s"/>
      <c r="G1477" t="s"/>
      <c r="H1477" t="s"/>
      <c r="I1477" t="s"/>
      <c r="J1477" t="n">
        <v>-0.4404</v>
      </c>
      <c r="K1477" t="n">
        <v>0.061</v>
      </c>
      <c r="L1477" t="n">
        <v>0.9389999999999999</v>
      </c>
      <c r="M1477" t="n">
        <v>0</v>
      </c>
    </row>
    <row r="1478" spans="1:13">
      <c r="A1478" s="1">
        <f>HYPERLINK("http://www.twitter.com/NathanBLawrence/status/988149341842964481", "988149341842964481")</f>
        <v/>
      </c>
      <c r="B1478" s="2" t="n">
        <v>43212.84416666667</v>
      </c>
      <c r="C1478" t="n">
        <v>0</v>
      </c>
      <c r="D1478" t="n">
        <v>1</v>
      </c>
      <c r="E1478" t="s">
        <v>1484</v>
      </c>
      <c r="F1478" t="s"/>
      <c r="G1478" t="s"/>
      <c r="H1478" t="s"/>
      <c r="I1478" t="s"/>
      <c r="J1478" t="n">
        <v>0</v>
      </c>
      <c r="K1478" t="n">
        <v>0</v>
      </c>
      <c r="L1478" t="n">
        <v>1</v>
      </c>
      <c r="M1478" t="n">
        <v>0</v>
      </c>
    </row>
    <row r="1479" spans="1:13">
      <c r="A1479" s="1">
        <f>HYPERLINK("http://www.twitter.com/NathanBLawrence/status/988148849658286088", "988148849658286088")</f>
        <v/>
      </c>
      <c r="B1479" s="2" t="n">
        <v>43212.8428125</v>
      </c>
      <c r="C1479" t="n">
        <v>0</v>
      </c>
      <c r="D1479" t="n">
        <v>3</v>
      </c>
      <c r="E1479" t="s">
        <v>1485</v>
      </c>
      <c r="F1479" t="s"/>
      <c r="G1479" t="s"/>
      <c r="H1479" t="s"/>
      <c r="I1479" t="s"/>
      <c r="J1479" t="n">
        <v>0.4767</v>
      </c>
      <c r="K1479" t="n">
        <v>0</v>
      </c>
      <c r="L1479" t="n">
        <v>0.871</v>
      </c>
      <c r="M1479" t="n">
        <v>0.129</v>
      </c>
    </row>
    <row r="1480" spans="1:13">
      <c r="A1480" s="1">
        <f>HYPERLINK("http://www.twitter.com/NathanBLawrence/status/988143918884839424", "988143918884839424")</f>
        <v/>
      </c>
      <c r="B1480" s="2" t="n">
        <v>43212.82920138889</v>
      </c>
      <c r="C1480" t="n">
        <v>0</v>
      </c>
      <c r="D1480" t="n">
        <v>1</v>
      </c>
      <c r="E1480" t="s">
        <v>1486</v>
      </c>
      <c r="F1480" t="s"/>
      <c r="G1480" t="s"/>
      <c r="H1480" t="s"/>
      <c r="I1480" t="s"/>
      <c r="J1480" t="n">
        <v>0</v>
      </c>
      <c r="K1480" t="n">
        <v>0</v>
      </c>
      <c r="L1480" t="n">
        <v>1</v>
      </c>
      <c r="M1480" t="n">
        <v>0</v>
      </c>
    </row>
    <row r="1481" spans="1:13">
      <c r="A1481" s="1">
        <f>HYPERLINK("http://www.twitter.com/NathanBLawrence/status/988140422865326080", "988140422865326080")</f>
        <v/>
      </c>
      <c r="B1481" s="2" t="n">
        <v>43212.81956018518</v>
      </c>
      <c r="C1481" t="n">
        <v>0</v>
      </c>
      <c r="D1481" t="n">
        <v>4</v>
      </c>
      <c r="E1481" t="s">
        <v>1487</v>
      </c>
      <c r="F1481">
        <f>HYPERLINK("http://pbs.twimg.com/media/DbaT0LbXcAUrepO.jpg", "http://pbs.twimg.com/media/DbaT0LbXcAUrepO.jpg")</f>
        <v/>
      </c>
      <c r="G1481" t="s"/>
      <c r="H1481" t="s"/>
      <c r="I1481" t="s"/>
      <c r="J1481" t="n">
        <v>0.5574</v>
      </c>
      <c r="K1481" t="n">
        <v>0</v>
      </c>
      <c r="L1481" t="n">
        <v>0.796</v>
      </c>
      <c r="M1481" t="n">
        <v>0.204</v>
      </c>
    </row>
    <row r="1482" spans="1:13">
      <c r="A1482" s="1">
        <f>HYPERLINK("http://www.twitter.com/NathanBLawrence/status/988140389214380032", "988140389214380032")</f>
        <v/>
      </c>
      <c r="B1482" s="2" t="n">
        <v>43212.81946759259</v>
      </c>
      <c r="C1482" t="n">
        <v>6</v>
      </c>
      <c r="D1482" t="n">
        <v>4</v>
      </c>
      <c r="E1482" t="s">
        <v>1488</v>
      </c>
      <c r="F1482">
        <f>HYPERLINK("http://pbs.twimg.com/media/DbaT0LbXcAUrepO.jpg", "http://pbs.twimg.com/media/DbaT0LbXcAUrepO.jpg")</f>
        <v/>
      </c>
      <c r="G1482" t="s"/>
      <c r="H1482" t="s"/>
      <c r="I1482" t="s"/>
      <c r="J1482" t="n">
        <v>-0.8934</v>
      </c>
      <c r="K1482" t="n">
        <v>0.227</v>
      </c>
      <c r="L1482" t="n">
        <v>0.7</v>
      </c>
      <c r="M1482" t="n">
        <v>0.073</v>
      </c>
    </row>
    <row r="1483" spans="1:13">
      <c r="A1483" s="1">
        <f>HYPERLINK("http://www.twitter.com/NathanBLawrence/status/988139504472076289", "988139504472076289")</f>
        <v/>
      </c>
      <c r="B1483" s="2" t="n">
        <v>43212.81702546297</v>
      </c>
      <c r="C1483" t="n">
        <v>0</v>
      </c>
      <c r="D1483" t="n">
        <v>3</v>
      </c>
      <c r="E1483" t="s">
        <v>1489</v>
      </c>
      <c r="F1483" t="s"/>
      <c r="G1483" t="s"/>
      <c r="H1483" t="s"/>
      <c r="I1483" t="s"/>
      <c r="J1483" t="n">
        <v>-0.0762</v>
      </c>
      <c r="K1483" t="n">
        <v>0.067</v>
      </c>
      <c r="L1483" t="n">
        <v>0.9330000000000001</v>
      </c>
      <c r="M1483" t="n">
        <v>0</v>
      </c>
    </row>
    <row r="1484" spans="1:13">
      <c r="A1484" s="1">
        <f>HYPERLINK("http://www.twitter.com/NathanBLawrence/status/988119553807998983", "988119553807998983")</f>
        <v/>
      </c>
      <c r="B1484" s="2" t="n">
        <v>43212.7619675926</v>
      </c>
      <c r="C1484" t="n">
        <v>0</v>
      </c>
      <c r="D1484" t="n">
        <v>1</v>
      </c>
      <c r="E1484" t="s">
        <v>1490</v>
      </c>
      <c r="F1484" t="s"/>
      <c r="G1484" t="s"/>
      <c r="H1484" t="s"/>
      <c r="I1484" t="s"/>
      <c r="J1484" t="n">
        <v>0</v>
      </c>
      <c r="K1484" t="n">
        <v>0</v>
      </c>
      <c r="L1484" t="n">
        <v>1</v>
      </c>
      <c r="M1484" t="n">
        <v>0</v>
      </c>
    </row>
    <row r="1485" spans="1:13">
      <c r="A1485" s="1">
        <f>HYPERLINK("http://www.twitter.com/NathanBLawrence/status/988116981218869249", "988116981218869249")</f>
        <v/>
      </c>
      <c r="B1485" s="2" t="n">
        <v>43212.75487268518</v>
      </c>
      <c r="C1485" t="n">
        <v>0</v>
      </c>
      <c r="D1485" t="n">
        <v>8</v>
      </c>
      <c r="E1485" t="s">
        <v>1491</v>
      </c>
      <c r="F1485" t="s"/>
      <c r="G1485" t="s"/>
      <c r="H1485" t="s"/>
      <c r="I1485" t="s"/>
      <c r="J1485" t="n">
        <v>0</v>
      </c>
      <c r="K1485" t="n">
        <v>0</v>
      </c>
      <c r="L1485" t="n">
        <v>1</v>
      </c>
      <c r="M1485" t="n">
        <v>0</v>
      </c>
    </row>
    <row r="1486" spans="1:13">
      <c r="A1486" s="1">
        <f>HYPERLINK("http://www.twitter.com/NathanBLawrence/status/988116910226239488", "988116910226239488")</f>
        <v/>
      </c>
      <c r="B1486" s="2" t="n">
        <v>43212.75467592593</v>
      </c>
      <c r="C1486" t="n">
        <v>0</v>
      </c>
      <c r="D1486" t="n">
        <v>6</v>
      </c>
      <c r="E1486" t="s">
        <v>1492</v>
      </c>
      <c r="F1486" t="s"/>
      <c r="G1486" t="s"/>
      <c r="H1486" t="s"/>
      <c r="I1486" t="s"/>
      <c r="J1486" t="n">
        <v>0.4404</v>
      </c>
      <c r="K1486" t="n">
        <v>0</v>
      </c>
      <c r="L1486" t="n">
        <v>0.861</v>
      </c>
      <c r="M1486" t="n">
        <v>0.139</v>
      </c>
    </row>
    <row r="1487" spans="1:13">
      <c r="A1487" s="1">
        <f>HYPERLINK("http://www.twitter.com/NathanBLawrence/status/988107662624780289", "988107662624780289")</f>
        <v/>
      </c>
      <c r="B1487" s="2" t="n">
        <v>43212.72915509259</v>
      </c>
      <c r="C1487" t="n">
        <v>0</v>
      </c>
      <c r="D1487" t="n">
        <v>17</v>
      </c>
      <c r="E1487" t="s">
        <v>1493</v>
      </c>
      <c r="F1487" t="s"/>
      <c r="G1487" t="s"/>
      <c r="H1487" t="s"/>
      <c r="I1487" t="s"/>
      <c r="J1487" t="n">
        <v>0.6705</v>
      </c>
      <c r="K1487" t="n">
        <v>0</v>
      </c>
      <c r="L1487" t="n">
        <v>0.776</v>
      </c>
      <c r="M1487" t="n">
        <v>0.224</v>
      </c>
    </row>
    <row r="1488" spans="1:13">
      <c r="A1488" s="1">
        <f>HYPERLINK("http://www.twitter.com/NathanBLawrence/status/988107573059518464", "988107573059518464")</f>
        <v/>
      </c>
      <c r="B1488" s="2" t="n">
        <v>43212.72891203704</v>
      </c>
      <c r="C1488" t="n">
        <v>0</v>
      </c>
      <c r="D1488" t="n">
        <v>4</v>
      </c>
      <c r="E1488" t="s">
        <v>1494</v>
      </c>
      <c r="F1488" t="s"/>
      <c r="G1488" t="s"/>
      <c r="H1488" t="s"/>
      <c r="I1488" t="s"/>
      <c r="J1488" t="n">
        <v>0.3089</v>
      </c>
      <c r="K1488" t="n">
        <v>0</v>
      </c>
      <c r="L1488" t="n">
        <v>0.894</v>
      </c>
      <c r="M1488" t="n">
        <v>0.106</v>
      </c>
    </row>
    <row r="1489" spans="1:13">
      <c r="A1489" s="1">
        <f>HYPERLINK("http://www.twitter.com/NathanBLawrence/status/988107498765856771", "988107498765856771")</f>
        <v/>
      </c>
      <c r="B1489" s="2" t="n">
        <v>43212.7287037037</v>
      </c>
      <c r="C1489" t="n">
        <v>5</v>
      </c>
      <c r="D1489" t="n">
        <v>4</v>
      </c>
      <c r="E1489" t="s">
        <v>1495</v>
      </c>
      <c r="F1489" t="s"/>
      <c r="G1489" t="s"/>
      <c r="H1489" t="s"/>
      <c r="I1489" t="s"/>
      <c r="J1489" t="n">
        <v>-0.4728</v>
      </c>
      <c r="K1489" t="n">
        <v>0.174</v>
      </c>
      <c r="L1489" t="n">
        <v>0.752</v>
      </c>
      <c r="M1489" t="n">
        <v>0.074</v>
      </c>
    </row>
    <row r="1490" spans="1:13">
      <c r="A1490" s="1">
        <f>HYPERLINK("http://www.twitter.com/NathanBLawrence/status/988069326388432899", "988069326388432899")</f>
        <v/>
      </c>
      <c r="B1490" s="2" t="n">
        <v>43212.62336805555</v>
      </c>
      <c r="C1490" t="n">
        <v>0</v>
      </c>
      <c r="D1490" t="n">
        <v>18</v>
      </c>
      <c r="E1490" t="s">
        <v>1496</v>
      </c>
      <c r="F1490" t="s"/>
      <c r="G1490" t="s"/>
      <c r="H1490" t="s"/>
      <c r="I1490" t="s"/>
      <c r="J1490" t="n">
        <v>-0.6486</v>
      </c>
      <c r="K1490" t="n">
        <v>0.238</v>
      </c>
      <c r="L1490" t="n">
        <v>0.762</v>
      </c>
      <c r="M1490" t="n">
        <v>0</v>
      </c>
    </row>
    <row r="1491" spans="1:13">
      <c r="A1491" s="1">
        <f>HYPERLINK("http://www.twitter.com/NathanBLawrence/status/988062388867002369", "988062388867002369")</f>
        <v/>
      </c>
      <c r="B1491" s="2" t="n">
        <v>43212.60422453703</v>
      </c>
      <c r="C1491" t="n">
        <v>0</v>
      </c>
      <c r="D1491" t="n">
        <v>3</v>
      </c>
      <c r="E1491" t="s">
        <v>1497</v>
      </c>
      <c r="F1491">
        <f>HYPERLINK("http://pbs.twimg.com/media/DbT2xBiX4AAYP23.jpg", "http://pbs.twimg.com/media/DbT2xBiX4AAYP23.jpg")</f>
        <v/>
      </c>
      <c r="G1491" t="s"/>
      <c r="H1491" t="s"/>
      <c r="I1491" t="s"/>
      <c r="J1491" t="n">
        <v>0</v>
      </c>
      <c r="K1491" t="n">
        <v>0</v>
      </c>
      <c r="L1491" t="n">
        <v>1</v>
      </c>
      <c r="M1491" t="n">
        <v>0</v>
      </c>
    </row>
    <row r="1492" spans="1:13">
      <c r="A1492" s="1">
        <f>HYPERLINK("http://www.twitter.com/NathanBLawrence/status/988060900539228162", "988060900539228162")</f>
        <v/>
      </c>
      <c r="B1492" s="2" t="n">
        <v>43212.60011574074</v>
      </c>
      <c r="C1492" t="n">
        <v>0</v>
      </c>
      <c r="D1492" t="n">
        <v>6</v>
      </c>
      <c r="E1492" t="s">
        <v>1498</v>
      </c>
      <c r="F1492" t="s"/>
      <c r="G1492" t="s"/>
      <c r="H1492" t="s"/>
      <c r="I1492" t="s"/>
      <c r="J1492" t="n">
        <v>-0.3535</v>
      </c>
      <c r="K1492" t="n">
        <v>0.11</v>
      </c>
      <c r="L1492" t="n">
        <v>0.89</v>
      </c>
      <c r="M1492" t="n">
        <v>0</v>
      </c>
    </row>
    <row r="1493" spans="1:13">
      <c r="A1493" s="1">
        <f>HYPERLINK("http://www.twitter.com/NathanBLawrence/status/988054218819895296", "988054218819895296")</f>
        <v/>
      </c>
      <c r="B1493" s="2" t="n">
        <v>43212.58167824074</v>
      </c>
      <c r="C1493" t="n">
        <v>0</v>
      </c>
      <c r="D1493" t="n">
        <v>1</v>
      </c>
      <c r="E1493" t="s">
        <v>1499</v>
      </c>
      <c r="F1493" t="s"/>
      <c r="G1493" t="s"/>
      <c r="H1493" t="s"/>
      <c r="I1493" t="s"/>
      <c r="J1493" t="n">
        <v>0</v>
      </c>
      <c r="K1493" t="n">
        <v>0</v>
      </c>
      <c r="L1493" t="n">
        <v>1</v>
      </c>
      <c r="M1493" t="n">
        <v>0</v>
      </c>
    </row>
    <row r="1494" spans="1:13">
      <c r="A1494" s="1">
        <f>HYPERLINK("http://www.twitter.com/NathanBLawrence/status/988048368743088135", "988048368743088135")</f>
        <v/>
      </c>
      <c r="B1494" s="2" t="n">
        <v>43212.56553240741</v>
      </c>
      <c r="C1494" t="n">
        <v>0</v>
      </c>
      <c r="D1494" t="n">
        <v>3</v>
      </c>
      <c r="E1494" t="s">
        <v>1500</v>
      </c>
      <c r="F1494" t="s"/>
      <c r="G1494" t="s"/>
      <c r="H1494" t="s"/>
      <c r="I1494" t="s"/>
      <c r="J1494" t="n">
        <v>-0.5256</v>
      </c>
      <c r="K1494" t="n">
        <v>0.166</v>
      </c>
      <c r="L1494" t="n">
        <v>0.834</v>
      </c>
      <c r="M1494" t="n">
        <v>0</v>
      </c>
    </row>
    <row r="1495" spans="1:13">
      <c r="A1495" s="1">
        <f>HYPERLINK("http://www.twitter.com/NathanBLawrence/status/988047894719713281", "988047894719713281")</f>
        <v/>
      </c>
      <c r="B1495" s="2" t="n">
        <v>43212.56422453704</v>
      </c>
      <c r="C1495" t="n">
        <v>3</v>
      </c>
      <c r="D1495" t="n">
        <v>3</v>
      </c>
      <c r="E1495" t="s">
        <v>1501</v>
      </c>
      <c r="F1495" t="s"/>
      <c r="G1495" t="s"/>
      <c r="H1495" t="s"/>
      <c r="I1495" t="s"/>
      <c r="J1495" t="n">
        <v>-0.5256</v>
      </c>
      <c r="K1495" t="n">
        <v>0.184</v>
      </c>
      <c r="L1495" t="n">
        <v>0.8159999999999999</v>
      </c>
      <c r="M1495" t="n">
        <v>0</v>
      </c>
    </row>
    <row r="1496" spans="1:13">
      <c r="A1496" s="1">
        <f>HYPERLINK("http://www.twitter.com/NathanBLawrence/status/988044196610179077", "988044196610179077")</f>
        <v/>
      </c>
      <c r="B1496" s="2" t="n">
        <v>43212.55402777778</v>
      </c>
      <c r="C1496" t="n">
        <v>0</v>
      </c>
      <c r="D1496" t="n">
        <v>9</v>
      </c>
      <c r="E1496" t="s">
        <v>1502</v>
      </c>
      <c r="F1496" t="s"/>
      <c r="G1496" t="s"/>
      <c r="H1496" t="s"/>
      <c r="I1496" t="s"/>
      <c r="J1496" t="n">
        <v>0.6908</v>
      </c>
      <c r="K1496" t="n">
        <v>0</v>
      </c>
      <c r="L1496" t="n">
        <v>0.678</v>
      </c>
      <c r="M1496" t="n">
        <v>0.322</v>
      </c>
    </row>
    <row r="1497" spans="1:13">
      <c r="A1497" s="1">
        <f>HYPERLINK("http://www.twitter.com/NathanBLawrence/status/988044126489927680", "988044126489927680")</f>
        <v/>
      </c>
      <c r="B1497" s="2" t="n">
        <v>43212.55383101852</v>
      </c>
      <c r="C1497" t="n">
        <v>8</v>
      </c>
      <c r="D1497" t="n">
        <v>9</v>
      </c>
      <c r="E1497" t="s">
        <v>1503</v>
      </c>
      <c r="F1497" t="s"/>
      <c r="G1497" t="s"/>
      <c r="H1497" t="s"/>
      <c r="I1497" t="s"/>
      <c r="J1497" t="n">
        <v>0.6908</v>
      </c>
      <c r="K1497" t="n">
        <v>0</v>
      </c>
      <c r="L1497" t="n">
        <v>0.769</v>
      </c>
      <c r="M1497" t="n">
        <v>0.231</v>
      </c>
    </row>
    <row r="1498" spans="1:13">
      <c r="A1498" s="1">
        <f>HYPERLINK("http://www.twitter.com/NathanBLawrence/status/988040938130935808", "988040938130935808")</f>
        <v/>
      </c>
      <c r="B1498" s="2" t="n">
        <v>43212.54503472222</v>
      </c>
      <c r="C1498" t="n">
        <v>0</v>
      </c>
      <c r="D1498" t="n">
        <v>8</v>
      </c>
      <c r="E1498" t="s">
        <v>1504</v>
      </c>
      <c r="F1498" t="s"/>
      <c r="G1498" t="s"/>
      <c r="H1498" t="s"/>
      <c r="I1498" t="s"/>
      <c r="J1498" t="n">
        <v>0</v>
      </c>
      <c r="K1498" t="n">
        <v>0</v>
      </c>
      <c r="L1498" t="n">
        <v>1</v>
      </c>
      <c r="M1498" t="n">
        <v>0</v>
      </c>
    </row>
    <row r="1499" spans="1:13">
      <c r="A1499" s="1">
        <f>HYPERLINK("http://www.twitter.com/NathanBLawrence/status/988040878030639104", "988040878030639104")</f>
        <v/>
      </c>
      <c r="B1499" s="2" t="n">
        <v>43212.54486111111</v>
      </c>
      <c r="C1499" t="n">
        <v>8</v>
      </c>
      <c r="D1499" t="n">
        <v>8</v>
      </c>
      <c r="E1499" t="s">
        <v>1505</v>
      </c>
      <c r="F1499" t="s"/>
      <c r="G1499" t="s"/>
      <c r="H1499" t="s"/>
      <c r="I1499" t="s"/>
      <c r="J1499" t="n">
        <v>0</v>
      </c>
      <c r="K1499" t="n">
        <v>0</v>
      </c>
      <c r="L1499" t="n">
        <v>1</v>
      </c>
      <c r="M1499" t="n">
        <v>0</v>
      </c>
    </row>
    <row r="1500" spans="1:13">
      <c r="A1500" s="1">
        <f>HYPERLINK("http://www.twitter.com/NathanBLawrence/status/988030853249929217", "988030853249929217")</f>
        <v/>
      </c>
      <c r="B1500" s="2" t="n">
        <v>43212.51719907407</v>
      </c>
      <c r="C1500" t="n">
        <v>0</v>
      </c>
      <c r="D1500" t="n">
        <v>1</v>
      </c>
      <c r="E1500" t="s">
        <v>1506</v>
      </c>
      <c r="F1500">
        <f>HYPERLINK("http://pbs.twimg.com/media/DbYv_-0VMAAspna.jpg", "http://pbs.twimg.com/media/DbYv_-0VMAAspna.jpg")</f>
        <v/>
      </c>
      <c r="G1500" t="s"/>
      <c r="H1500" t="s"/>
      <c r="I1500" t="s"/>
      <c r="J1500" t="n">
        <v>-0.6705</v>
      </c>
      <c r="K1500" t="n">
        <v>0.244</v>
      </c>
      <c r="L1500" t="n">
        <v>0.756</v>
      </c>
      <c r="M1500" t="n">
        <v>0</v>
      </c>
    </row>
    <row r="1501" spans="1:13">
      <c r="A1501" s="1">
        <f>HYPERLINK("http://www.twitter.com/NathanBLawrence/status/988030815132114945", "988030815132114945")</f>
        <v/>
      </c>
      <c r="B1501" s="2" t="n">
        <v>43212.51709490741</v>
      </c>
      <c r="C1501" t="n">
        <v>0</v>
      </c>
      <c r="D1501" t="n">
        <v>1</v>
      </c>
      <c r="E1501" t="s">
        <v>1507</v>
      </c>
      <c r="F1501">
        <f>HYPERLINK("http://pbs.twimg.com/media/DbYv_-0VMAAspna.jpg", "http://pbs.twimg.com/media/DbYv_-0VMAAspna.jpg")</f>
        <v/>
      </c>
      <c r="G1501" t="s"/>
      <c r="H1501" t="s"/>
      <c r="I1501" t="s"/>
      <c r="J1501" t="n">
        <v>-0.6705</v>
      </c>
      <c r="K1501" t="n">
        <v>0.159</v>
      </c>
      <c r="L1501" t="n">
        <v>0.841</v>
      </c>
      <c r="M1501" t="n">
        <v>0</v>
      </c>
    </row>
    <row r="1502" spans="1:13">
      <c r="A1502" s="1">
        <f>HYPERLINK("http://www.twitter.com/NathanBLawrence/status/988014338672922625", "988014338672922625")</f>
        <v/>
      </c>
      <c r="B1502" s="2" t="n">
        <v>43212.47163194444</v>
      </c>
      <c r="C1502" t="n">
        <v>0</v>
      </c>
      <c r="D1502" t="n">
        <v>8</v>
      </c>
      <c r="E1502" t="s">
        <v>1508</v>
      </c>
      <c r="F1502" t="s"/>
      <c r="G1502" t="s"/>
      <c r="H1502" t="s"/>
      <c r="I1502" t="s"/>
      <c r="J1502" t="n">
        <v>0</v>
      </c>
      <c r="K1502" t="n">
        <v>0</v>
      </c>
      <c r="L1502" t="n">
        <v>1</v>
      </c>
      <c r="M1502" t="n">
        <v>0</v>
      </c>
    </row>
    <row r="1503" spans="1:13">
      <c r="A1503" s="1">
        <f>HYPERLINK("http://www.twitter.com/NathanBLawrence/status/988014293424762880", "988014293424762880")</f>
        <v/>
      </c>
      <c r="B1503" s="2" t="n">
        <v>43212.47150462963</v>
      </c>
      <c r="C1503" t="n">
        <v>9</v>
      </c>
      <c r="D1503" t="n">
        <v>8</v>
      </c>
      <c r="E1503" t="s">
        <v>1509</v>
      </c>
      <c r="F1503" t="s"/>
      <c r="G1503" t="s"/>
      <c r="H1503" t="s"/>
      <c r="I1503" t="s"/>
      <c r="J1503" t="n">
        <v>0</v>
      </c>
      <c r="K1503" t="n">
        <v>0</v>
      </c>
      <c r="L1503" t="n">
        <v>1</v>
      </c>
      <c r="M1503" t="n">
        <v>0</v>
      </c>
    </row>
    <row r="1504" spans="1:13">
      <c r="A1504" s="1">
        <f>HYPERLINK("http://www.twitter.com/NathanBLawrence/status/988012519037038592", "988012519037038592")</f>
        <v/>
      </c>
      <c r="B1504" s="2" t="n">
        <v>43212.4666087963</v>
      </c>
      <c r="C1504" t="n">
        <v>0</v>
      </c>
      <c r="D1504" t="n">
        <v>1</v>
      </c>
      <c r="E1504" t="s">
        <v>1510</v>
      </c>
      <c r="F1504" t="s"/>
      <c r="G1504" t="s"/>
      <c r="H1504" t="s"/>
      <c r="I1504" t="s"/>
      <c r="J1504" t="n">
        <v>0</v>
      </c>
      <c r="K1504" t="n">
        <v>0</v>
      </c>
      <c r="L1504" t="n">
        <v>1</v>
      </c>
      <c r="M1504" t="n">
        <v>0</v>
      </c>
    </row>
    <row r="1505" spans="1:13">
      <c r="A1505" s="1">
        <f>HYPERLINK("http://www.twitter.com/NathanBLawrence/status/988012336152809472", "988012336152809472")</f>
        <v/>
      </c>
      <c r="B1505" s="2" t="n">
        <v>43212.46609953704</v>
      </c>
      <c r="C1505" t="n">
        <v>1</v>
      </c>
      <c r="D1505" t="n">
        <v>1</v>
      </c>
      <c r="E1505" t="s">
        <v>1511</v>
      </c>
      <c r="F1505" t="s"/>
      <c r="G1505" t="s"/>
      <c r="H1505" t="s"/>
      <c r="I1505" t="s"/>
      <c r="J1505" t="n">
        <v>-0.6705</v>
      </c>
      <c r="K1505" t="n">
        <v>0.155</v>
      </c>
      <c r="L1505" t="n">
        <v>0.845</v>
      </c>
      <c r="M1505" t="n">
        <v>0</v>
      </c>
    </row>
    <row r="1506" spans="1:13">
      <c r="A1506" s="1">
        <f>HYPERLINK("http://www.twitter.com/NathanBLawrence/status/988009358247301120", "988009358247301120")</f>
        <v/>
      </c>
      <c r="B1506" s="2" t="n">
        <v>43212.45788194444</v>
      </c>
      <c r="C1506" t="n">
        <v>0</v>
      </c>
      <c r="D1506" t="n">
        <v>1</v>
      </c>
      <c r="E1506" t="s">
        <v>1512</v>
      </c>
      <c r="F1506" t="s"/>
      <c r="G1506" t="s"/>
      <c r="H1506" t="s"/>
      <c r="I1506" t="s"/>
      <c r="J1506" t="n">
        <v>0.5719</v>
      </c>
      <c r="K1506" t="n">
        <v>0</v>
      </c>
      <c r="L1506" t="n">
        <v>0.709</v>
      </c>
      <c r="M1506" t="n">
        <v>0.291</v>
      </c>
    </row>
    <row r="1507" spans="1:13">
      <c r="A1507" s="1">
        <f>HYPERLINK("http://www.twitter.com/NathanBLawrence/status/987890017606537216", "987890017606537216")</f>
        <v/>
      </c>
      <c r="B1507" s="2" t="n">
        <v>43212.12856481481</v>
      </c>
      <c r="C1507" t="n">
        <v>0</v>
      </c>
      <c r="D1507" t="n">
        <v>3</v>
      </c>
      <c r="E1507" t="s">
        <v>1513</v>
      </c>
      <c r="F1507">
        <f>HYPERLINK("http://pbs.twimg.com/media/DbWwDSrWsAUnFdE.jpg", "http://pbs.twimg.com/media/DbWwDSrWsAUnFdE.jpg")</f>
        <v/>
      </c>
      <c r="G1507" t="s"/>
      <c r="H1507" t="s"/>
      <c r="I1507" t="s"/>
      <c r="J1507" t="n">
        <v>0.4404</v>
      </c>
      <c r="K1507" t="n">
        <v>0</v>
      </c>
      <c r="L1507" t="n">
        <v>0.794</v>
      </c>
      <c r="M1507" t="n">
        <v>0.206</v>
      </c>
    </row>
    <row r="1508" spans="1:13">
      <c r="A1508" s="1">
        <f>HYPERLINK("http://www.twitter.com/NathanBLawrence/status/987856914381004800", "987856914381004800")</f>
        <v/>
      </c>
      <c r="B1508" s="2" t="n">
        <v>43212.03722222222</v>
      </c>
      <c r="C1508" t="n">
        <v>0</v>
      </c>
      <c r="D1508" t="n">
        <v>2</v>
      </c>
      <c r="E1508" t="s">
        <v>1514</v>
      </c>
      <c r="F1508" t="s"/>
      <c r="G1508" t="s"/>
      <c r="H1508" t="s"/>
      <c r="I1508" t="s"/>
      <c r="J1508" t="n">
        <v>0.886</v>
      </c>
      <c r="K1508" t="n">
        <v>0</v>
      </c>
      <c r="L1508" t="n">
        <v>0.634</v>
      </c>
      <c r="M1508" t="n">
        <v>0.366</v>
      </c>
    </row>
    <row r="1509" spans="1:13">
      <c r="A1509" s="1">
        <f>HYPERLINK("http://www.twitter.com/NathanBLawrence/status/987856884446134272", "987856884446134272")</f>
        <v/>
      </c>
      <c r="B1509" s="2" t="n">
        <v>43212.03714120371</v>
      </c>
      <c r="C1509" t="n">
        <v>3</v>
      </c>
      <c r="D1509" t="n">
        <v>2</v>
      </c>
      <c r="E1509" t="s">
        <v>1515</v>
      </c>
      <c r="F1509" t="s"/>
      <c r="G1509" t="s"/>
      <c r="H1509" t="s"/>
      <c r="I1509" t="s"/>
      <c r="J1509" t="n">
        <v>0.9169</v>
      </c>
      <c r="K1509" t="n">
        <v>0</v>
      </c>
      <c r="L1509" t="n">
        <v>0.641</v>
      </c>
      <c r="M1509" t="n">
        <v>0.359</v>
      </c>
    </row>
    <row r="1510" spans="1:13">
      <c r="A1510" s="1">
        <f>HYPERLINK("http://www.twitter.com/NathanBLawrence/status/987856790296715264", "987856790296715264")</f>
        <v/>
      </c>
      <c r="B1510" s="2" t="n">
        <v>43212.036875</v>
      </c>
      <c r="C1510" t="n">
        <v>0</v>
      </c>
      <c r="D1510" t="n">
        <v>1</v>
      </c>
      <c r="E1510" t="s">
        <v>1516</v>
      </c>
      <c r="F1510" t="s"/>
      <c r="G1510" t="s"/>
      <c r="H1510" t="s"/>
      <c r="I1510" t="s"/>
      <c r="J1510" t="n">
        <v>0.886</v>
      </c>
      <c r="K1510" t="n">
        <v>0</v>
      </c>
      <c r="L1510" t="n">
        <v>0.634</v>
      </c>
      <c r="M1510" t="n">
        <v>0.366</v>
      </c>
    </row>
    <row r="1511" spans="1:13">
      <c r="A1511" s="1">
        <f>HYPERLINK("http://www.twitter.com/NathanBLawrence/status/987856691172708353", "987856691172708353")</f>
        <v/>
      </c>
      <c r="B1511" s="2" t="n">
        <v>43212.0366087963</v>
      </c>
      <c r="C1511" t="n">
        <v>0</v>
      </c>
      <c r="D1511" t="n">
        <v>1</v>
      </c>
      <c r="E1511" t="s">
        <v>1517</v>
      </c>
      <c r="F1511" t="s"/>
      <c r="G1511" t="s"/>
      <c r="H1511" t="s"/>
      <c r="I1511" t="s"/>
      <c r="J1511" t="n">
        <v>0.9169</v>
      </c>
      <c r="K1511" t="n">
        <v>0</v>
      </c>
      <c r="L1511" t="n">
        <v>0.641</v>
      </c>
      <c r="M1511" t="n">
        <v>0.359</v>
      </c>
    </row>
    <row r="1512" spans="1:13">
      <c r="A1512" s="1">
        <f>HYPERLINK("http://www.twitter.com/NathanBLawrence/status/987856120986382337", "987856120986382337")</f>
        <v/>
      </c>
      <c r="B1512" s="2" t="n">
        <v>43212.03503472222</v>
      </c>
      <c r="C1512" t="n">
        <v>0</v>
      </c>
      <c r="D1512" t="n">
        <v>17</v>
      </c>
      <c r="E1512" t="s">
        <v>1518</v>
      </c>
      <c r="F1512">
        <f>HYPERLINK("http://pbs.twimg.com/media/DbWRVkYU8AEvHcG.jpg", "http://pbs.twimg.com/media/DbWRVkYU8AEvHcG.jpg")</f>
        <v/>
      </c>
      <c r="G1512" t="s"/>
      <c r="H1512" t="s"/>
      <c r="I1512" t="s"/>
      <c r="J1512" t="n">
        <v>-0.1779</v>
      </c>
      <c r="K1512" t="n">
        <v>0.196</v>
      </c>
      <c r="L1512" t="n">
        <v>0.681</v>
      </c>
      <c r="M1512" t="n">
        <v>0.123</v>
      </c>
    </row>
    <row r="1513" spans="1:13">
      <c r="A1513" s="1">
        <f>HYPERLINK("http://www.twitter.com/NathanBLawrence/status/987846811879727105", "987846811879727105")</f>
        <v/>
      </c>
      <c r="B1513" s="2" t="n">
        <v>43212.00934027778</v>
      </c>
      <c r="C1513" t="n">
        <v>0</v>
      </c>
      <c r="D1513" t="n">
        <v>1</v>
      </c>
      <c r="E1513" t="s">
        <v>1519</v>
      </c>
      <c r="F1513" t="s"/>
      <c r="G1513" t="s"/>
      <c r="H1513" t="s"/>
      <c r="I1513" t="s"/>
      <c r="J1513" t="n">
        <v>0</v>
      </c>
      <c r="K1513" t="n">
        <v>0</v>
      </c>
      <c r="L1513" t="n">
        <v>1</v>
      </c>
      <c r="M1513" t="n">
        <v>0</v>
      </c>
    </row>
    <row r="1514" spans="1:13">
      <c r="A1514" s="1">
        <f>HYPERLINK("http://www.twitter.com/NathanBLawrence/status/987841018748981248", "987841018748981248")</f>
        <v/>
      </c>
      <c r="B1514" s="2" t="n">
        <v>43211.99335648148</v>
      </c>
      <c r="C1514" t="n">
        <v>0</v>
      </c>
      <c r="D1514" t="n">
        <v>17</v>
      </c>
      <c r="E1514" t="s">
        <v>1520</v>
      </c>
      <c r="F1514">
        <f>HYPERLINK("http://pbs.twimg.com/media/DbWDKwoWAAMT4t3.jpg", "http://pbs.twimg.com/media/DbWDKwoWAAMT4t3.jpg")</f>
        <v/>
      </c>
      <c r="G1514" t="s"/>
      <c r="H1514" t="s"/>
      <c r="I1514" t="s"/>
      <c r="J1514" t="n">
        <v>0.2263</v>
      </c>
      <c r="K1514" t="n">
        <v>0</v>
      </c>
      <c r="L1514" t="n">
        <v>0.888</v>
      </c>
      <c r="M1514" t="n">
        <v>0.112</v>
      </c>
    </row>
    <row r="1515" spans="1:13">
      <c r="A1515" s="1">
        <f>HYPERLINK("http://www.twitter.com/NathanBLawrence/status/987836804954017792", "987836804954017792")</f>
        <v/>
      </c>
      <c r="B1515" s="2" t="n">
        <v>43211.98173611111</v>
      </c>
      <c r="C1515" t="n">
        <v>0</v>
      </c>
      <c r="D1515" t="n">
        <v>7</v>
      </c>
      <c r="E1515" t="s">
        <v>1521</v>
      </c>
      <c r="F1515" t="s"/>
      <c r="G1515" t="s"/>
      <c r="H1515" t="s"/>
      <c r="I1515" t="s"/>
      <c r="J1515" t="n">
        <v>-0.4019</v>
      </c>
      <c r="K1515" t="n">
        <v>0.109</v>
      </c>
      <c r="L1515" t="n">
        <v>0.891</v>
      </c>
      <c r="M1515" t="n">
        <v>0</v>
      </c>
    </row>
    <row r="1516" spans="1:13">
      <c r="A1516" s="1">
        <f>HYPERLINK("http://www.twitter.com/NathanBLawrence/status/987836727376207873", "987836727376207873")</f>
        <v/>
      </c>
      <c r="B1516" s="2" t="n">
        <v>43211.9815162037</v>
      </c>
      <c r="C1516" t="n">
        <v>11</v>
      </c>
      <c r="D1516" t="n">
        <v>7</v>
      </c>
      <c r="E1516" t="s">
        <v>1522</v>
      </c>
      <c r="F1516" t="s"/>
      <c r="G1516" t="s"/>
      <c r="H1516" t="s"/>
      <c r="I1516" t="s"/>
      <c r="J1516" t="n">
        <v>0.5927</v>
      </c>
      <c r="K1516" t="n">
        <v>0.061</v>
      </c>
      <c r="L1516" t="n">
        <v>0.746</v>
      </c>
      <c r="M1516" t="n">
        <v>0.193</v>
      </c>
    </row>
    <row r="1517" spans="1:13">
      <c r="A1517" s="1">
        <f>HYPERLINK("http://www.twitter.com/NathanBLawrence/status/987835642636832773", "987835642636832773")</f>
        <v/>
      </c>
      <c r="B1517" s="2" t="n">
        <v>43211.97851851852</v>
      </c>
      <c r="C1517" t="n">
        <v>0</v>
      </c>
      <c r="D1517" t="n">
        <v>2</v>
      </c>
      <c r="E1517" t="s">
        <v>1523</v>
      </c>
      <c r="F1517" t="s"/>
      <c r="G1517" t="s"/>
      <c r="H1517" t="s"/>
      <c r="I1517" t="s"/>
      <c r="J1517" t="n">
        <v>-0.3818</v>
      </c>
      <c r="K1517" t="n">
        <v>0.12</v>
      </c>
      <c r="L1517" t="n">
        <v>0.88</v>
      </c>
      <c r="M1517" t="n">
        <v>0</v>
      </c>
    </row>
    <row r="1518" spans="1:13">
      <c r="A1518" s="1">
        <f>HYPERLINK("http://www.twitter.com/NathanBLawrence/status/987835555747713024", "987835555747713024")</f>
        <v/>
      </c>
      <c r="B1518" s="2" t="n">
        <v>43211.97828703704</v>
      </c>
      <c r="C1518" t="n">
        <v>8</v>
      </c>
      <c r="D1518" t="n">
        <v>2</v>
      </c>
      <c r="E1518" t="s">
        <v>1524</v>
      </c>
      <c r="F1518" t="s"/>
      <c r="G1518" t="s"/>
      <c r="H1518" t="s"/>
      <c r="I1518" t="s"/>
      <c r="J1518" t="n">
        <v>-0.3818</v>
      </c>
      <c r="K1518" t="n">
        <v>0.12</v>
      </c>
      <c r="L1518" t="n">
        <v>0.88</v>
      </c>
      <c r="M1518" t="n">
        <v>0</v>
      </c>
    </row>
    <row r="1519" spans="1:13">
      <c r="A1519" s="1">
        <f>HYPERLINK("http://www.twitter.com/NathanBLawrence/status/987835223181266944", "987835223181266944")</f>
        <v/>
      </c>
      <c r="B1519" s="2" t="n">
        <v>43211.97736111111</v>
      </c>
      <c r="C1519" t="n">
        <v>0</v>
      </c>
      <c r="D1519" t="n">
        <v>31</v>
      </c>
      <c r="E1519" t="s">
        <v>1525</v>
      </c>
      <c r="F1519" t="s"/>
      <c r="G1519" t="s"/>
      <c r="H1519" t="s"/>
      <c r="I1519" t="s"/>
      <c r="J1519" t="n">
        <v>-0.6705</v>
      </c>
      <c r="K1519" t="n">
        <v>0.2</v>
      </c>
      <c r="L1519" t="n">
        <v>0.8</v>
      </c>
      <c r="M1519" t="n">
        <v>0</v>
      </c>
    </row>
    <row r="1520" spans="1:13">
      <c r="A1520" s="1">
        <f>HYPERLINK("http://www.twitter.com/NathanBLawrence/status/987811787251830784", "987811787251830784")</f>
        <v/>
      </c>
      <c r="B1520" s="2" t="n">
        <v>43211.91269675926</v>
      </c>
      <c r="C1520" t="n">
        <v>0</v>
      </c>
      <c r="D1520" t="n">
        <v>1</v>
      </c>
      <c r="E1520" t="s">
        <v>1526</v>
      </c>
      <c r="F1520" t="s"/>
      <c r="G1520" t="s"/>
      <c r="H1520" t="s"/>
      <c r="I1520" t="s"/>
      <c r="J1520" t="n">
        <v>0.2249</v>
      </c>
      <c r="K1520" t="n">
        <v>0.106</v>
      </c>
      <c r="L1520" t="n">
        <v>0.749</v>
      </c>
      <c r="M1520" t="n">
        <v>0.145</v>
      </c>
    </row>
    <row r="1521" spans="1:13">
      <c r="A1521" s="1">
        <f>HYPERLINK("http://www.twitter.com/NathanBLawrence/status/987724165498245122", "987724165498245122")</f>
        <v/>
      </c>
      <c r="B1521" s="2" t="n">
        <v>43211.67090277778</v>
      </c>
      <c r="C1521" t="n">
        <v>0</v>
      </c>
      <c r="D1521" t="n">
        <v>59</v>
      </c>
      <c r="E1521" t="s">
        <v>1527</v>
      </c>
      <c r="F1521" t="s"/>
      <c r="G1521" t="s"/>
      <c r="H1521" t="s"/>
      <c r="I1521" t="s"/>
      <c r="J1521" t="n">
        <v>0.0531</v>
      </c>
      <c r="K1521" t="n">
        <v>0.089</v>
      </c>
      <c r="L1521" t="n">
        <v>0.8129999999999999</v>
      </c>
      <c r="M1521" t="n">
        <v>0.098</v>
      </c>
    </row>
    <row r="1522" spans="1:13">
      <c r="A1522" s="1">
        <f>HYPERLINK("http://www.twitter.com/NathanBLawrence/status/987712042894331904", "987712042894331904")</f>
        <v/>
      </c>
      <c r="B1522" s="2" t="n">
        <v>43211.6374537037</v>
      </c>
      <c r="C1522" t="n">
        <v>0</v>
      </c>
      <c r="D1522" t="n">
        <v>2</v>
      </c>
      <c r="E1522" t="s">
        <v>1528</v>
      </c>
      <c r="F1522" t="s"/>
      <c r="G1522" t="s"/>
      <c r="H1522" t="s"/>
      <c r="I1522" t="s"/>
      <c r="J1522" t="n">
        <v>-0.3182</v>
      </c>
      <c r="K1522" t="n">
        <v>0.126</v>
      </c>
      <c r="L1522" t="n">
        <v>0.874</v>
      </c>
      <c r="M1522" t="n">
        <v>0</v>
      </c>
    </row>
    <row r="1523" spans="1:13">
      <c r="A1523" s="1">
        <f>HYPERLINK("http://www.twitter.com/NathanBLawrence/status/987690368379621376", "987690368379621376")</f>
        <v/>
      </c>
      <c r="B1523" s="2" t="n">
        <v>43211.57763888889</v>
      </c>
      <c r="C1523" t="n">
        <v>0</v>
      </c>
      <c r="D1523" t="n">
        <v>17</v>
      </c>
      <c r="E1523" t="s">
        <v>1529</v>
      </c>
      <c r="F1523">
        <f>HYPERLINK("http://pbs.twimg.com/media/DbQ-H-NWkAUbwgn.jpg", "http://pbs.twimg.com/media/DbQ-H-NWkAUbwgn.jpg")</f>
        <v/>
      </c>
      <c r="G1523" t="s"/>
      <c r="H1523" t="s"/>
      <c r="I1523" t="s"/>
      <c r="J1523" t="n">
        <v>0.3182</v>
      </c>
      <c r="K1523" t="n">
        <v>0.059</v>
      </c>
      <c r="L1523" t="n">
        <v>0.822</v>
      </c>
      <c r="M1523" t="n">
        <v>0.119</v>
      </c>
    </row>
    <row r="1524" spans="1:13">
      <c r="A1524" s="1">
        <f>HYPERLINK("http://www.twitter.com/NathanBLawrence/status/987683499292360704", "987683499292360704")</f>
        <v/>
      </c>
      <c r="B1524" s="2" t="n">
        <v>43211.55869212963</v>
      </c>
      <c r="C1524" t="n">
        <v>0</v>
      </c>
      <c r="D1524" t="n">
        <v>0</v>
      </c>
      <c r="E1524" t="s">
        <v>1530</v>
      </c>
      <c r="F1524" t="s"/>
      <c r="G1524" t="s"/>
      <c r="H1524" t="s"/>
      <c r="I1524" t="s"/>
      <c r="J1524" t="n">
        <v>0.0258</v>
      </c>
      <c r="K1524" t="n">
        <v>0</v>
      </c>
      <c r="L1524" t="n">
        <v>0.9419999999999999</v>
      </c>
      <c r="M1524" t="n">
        <v>0.058</v>
      </c>
    </row>
    <row r="1525" spans="1:13">
      <c r="A1525" s="1">
        <f>HYPERLINK("http://www.twitter.com/NathanBLawrence/status/987661845363417088", "987661845363417088")</f>
        <v/>
      </c>
      <c r="B1525" s="2" t="n">
        <v>43211.49893518518</v>
      </c>
      <c r="C1525" t="n">
        <v>0</v>
      </c>
      <c r="D1525" t="n">
        <v>1</v>
      </c>
      <c r="E1525" t="s">
        <v>1531</v>
      </c>
      <c r="F1525">
        <f>HYPERLINK("http://pbs.twimg.com/media/DbTgJ9qX0AAANAv.jpg", "http://pbs.twimg.com/media/DbTgJ9qX0AAANAv.jpg")</f>
        <v/>
      </c>
      <c r="G1525" t="s"/>
      <c r="H1525" t="s"/>
      <c r="I1525" t="s"/>
      <c r="J1525" t="n">
        <v>0</v>
      </c>
      <c r="K1525" t="n">
        <v>0</v>
      </c>
      <c r="L1525" t="n">
        <v>1</v>
      </c>
      <c r="M1525" t="n">
        <v>0</v>
      </c>
    </row>
    <row r="1526" spans="1:13">
      <c r="A1526" s="1">
        <f>HYPERLINK("http://www.twitter.com/NathanBLawrence/status/987660690969255936", "987660690969255936")</f>
        <v/>
      </c>
      <c r="B1526" s="2" t="n">
        <v>43211.49575231481</v>
      </c>
      <c r="C1526" t="n">
        <v>1</v>
      </c>
      <c r="D1526" t="n">
        <v>1</v>
      </c>
      <c r="E1526" t="s">
        <v>1532</v>
      </c>
      <c r="F1526">
        <f>HYPERLINK("http://pbs.twimg.com/media/DbTgJ9qX0AAANAv.jpg", "http://pbs.twimg.com/media/DbTgJ9qX0AAANAv.jpg")</f>
        <v/>
      </c>
      <c r="G1526" t="s"/>
      <c r="H1526" t="s"/>
      <c r="I1526" t="s"/>
      <c r="J1526" t="n">
        <v>0</v>
      </c>
      <c r="K1526" t="n">
        <v>0</v>
      </c>
      <c r="L1526" t="n">
        <v>1</v>
      </c>
      <c r="M1526" t="n">
        <v>0</v>
      </c>
    </row>
    <row r="1527" spans="1:13">
      <c r="A1527" s="1">
        <f>HYPERLINK("http://www.twitter.com/NathanBLawrence/status/987544110612602881", "987544110612602881")</f>
        <v/>
      </c>
      <c r="B1527" s="2" t="n">
        <v>43211.17405092593</v>
      </c>
      <c r="C1527" t="n">
        <v>0</v>
      </c>
      <c r="D1527" t="n">
        <v>1</v>
      </c>
      <c r="E1527" t="s">
        <v>1533</v>
      </c>
      <c r="F1527" t="s"/>
      <c r="G1527" t="s"/>
      <c r="H1527" t="s"/>
      <c r="I1527" t="s"/>
      <c r="J1527" t="n">
        <v>0.2732</v>
      </c>
      <c r="K1527" t="n">
        <v>0</v>
      </c>
      <c r="L1527" t="n">
        <v>0.884</v>
      </c>
      <c r="M1527" t="n">
        <v>0.116</v>
      </c>
    </row>
    <row r="1528" spans="1:13">
      <c r="A1528" s="1">
        <f>HYPERLINK("http://www.twitter.com/NathanBLawrence/status/987544092417708033", "987544092417708033")</f>
        <v/>
      </c>
      <c r="B1528" s="2" t="n">
        <v>43211.17399305556</v>
      </c>
      <c r="C1528" t="n">
        <v>0</v>
      </c>
      <c r="D1528" t="n">
        <v>1</v>
      </c>
      <c r="E1528" t="s">
        <v>1534</v>
      </c>
      <c r="F1528" t="s"/>
      <c r="G1528" t="s"/>
      <c r="H1528" t="s"/>
      <c r="I1528" t="s"/>
      <c r="J1528" t="n">
        <v>0.2732</v>
      </c>
      <c r="K1528" t="n">
        <v>0</v>
      </c>
      <c r="L1528" t="n">
        <v>0.87</v>
      </c>
      <c r="M1528" t="n">
        <v>0.13</v>
      </c>
    </row>
    <row r="1529" spans="1:13">
      <c r="A1529" s="1">
        <f>HYPERLINK("http://www.twitter.com/NathanBLawrence/status/987524418342662144", "987524418342662144")</f>
        <v/>
      </c>
      <c r="B1529" s="2" t="n">
        <v>43211.11971064815</v>
      </c>
      <c r="C1529" t="n">
        <v>0</v>
      </c>
      <c r="D1529" t="n">
        <v>0</v>
      </c>
      <c r="E1529" t="s">
        <v>1535</v>
      </c>
      <c r="F1529" t="s"/>
      <c r="G1529" t="s"/>
      <c r="H1529" t="s"/>
      <c r="I1529" t="s"/>
      <c r="J1529" t="n">
        <v>0.3612</v>
      </c>
      <c r="K1529" t="n">
        <v>0.06900000000000001</v>
      </c>
      <c r="L1529" t="n">
        <v>0.788</v>
      </c>
      <c r="M1529" t="n">
        <v>0.143</v>
      </c>
    </row>
    <row r="1530" spans="1:13">
      <c r="A1530" s="1">
        <f>HYPERLINK("http://www.twitter.com/NathanBLawrence/status/987512940793401345", "987512940793401345")</f>
        <v/>
      </c>
      <c r="B1530" s="2" t="n">
        <v>43211.08803240741</v>
      </c>
      <c r="C1530" t="n">
        <v>0</v>
      </c>
      <c r="D1530" t="n">
        <v>1</v>
      </c>
      <c r="E1530" t="s">
        <v>1536</v>
      </c>
      <c r="F1530" t="s"/>
      <c r="G1530" t="s"/>
      <c r="H1530" t="s"/>
      <c r="I1530" t="s"/>
      <c r="J1530" t="n">
        <v>0.4588</v>
      </c>
      <c r="K1530" t="n">
        <v>0</v>
      </c>
      <c r="L1530" t="n">
        <v>0.625</v>
      </c>
      <c r="M1530" t="n">
        <v>0.375</v>
      </c>
    </row>
    <row r="1531" spans="1:13">
      <c r="A1531" s="1">
        <f>HYPERLINK("http://www.twitter.com/NathanBLawrence/status/987512925370900480", "987512925370900480")</f>
        <v/>
      </c>
      <c r="B1531" s="2" t="n">
        <v>43211.08799768519</v>
      </c>
      <c r="C1531" t="n">
        <v>0</v>
      </c>
      <c r="D1531" t="n">
        <v>3</v>
      </c>
      <c r="E1531" t="s">
        <v>1537</v>
      </c>
      <c r="F1531" t="s"/>
      <c r="G1531" t="s"/>
      <c r="H1531" t="s"/>
      <c r="I1531" t="s"/>
      <c r="J1531" t="n">
        <v>-0.6249</v>
      </c>
      <c r="K1531" t="n">
        <v>0.204</v>
      </c>
      <c r="L1531" t="n">
        <v>0.743</v>
      </c>
      <c r="M1531" t="n">
        <v>0.052</v>
      </c>
    </row>
    <row r="1532" spans="1:13">
      <c r="A1532" s="1">
        <f>HYPERLINK("http://www.twitter.com/NathanBLawrence/status/987512896686116865", "987512896686116865")</f>
        <v/>
      </c>
      <c r="B1532" s="2" t="n">
        <v>43211.08791666666</v>
      </c>
      <c r="C1532" t="n">
        <v>0</v>
      </c>
      <c r="D1532" t="n">
        <v>1</v>
      </c>
      <c r="E1532" t="s">
        <v>1538</v>
      </c>
      <c r="F1532" t="s"/>
      <c r="G1532" t="s"/>
      <c r="H1532" t="s"/>
      <c r="I1532" t="s"/>
      <c r="J1532" t="n">
        <v>0.4588</v>
      </c>
      <c r="K1532" t="n">
        <v>0</v>
      </c>
      <c r="L1532" t="n">
        <v>0.5</v>
      </c>
      <c r="M1532" t="n">
        <v>0.5</v>
      </c>
    </row>
    <row r="1533" spans="1:13">
      <c r="A1533" s="1">
        <f>HYPERLINK("http://www.twitter.com/NathanBLawrence/status/987512768524845058", "987512768524845058")</f>
        <v/>
      </c>
      <c r="B1533" s="2" t="n">
        <v>43211.08755787037</v>
      </c>
      <c r="C1533" t="n">
        <v>2</v>
      </c>
      <c r="D1533" t="n">
        <v>3</v>
      </c>
      <c r="E1533" t="s">
        <v>1539</v>
      </c>
      <c r="F1533" t="s"/>
      <c r="G1533" t="s"/>
      <c r="H1533" t="s"/>
      <c r="I1533" t="s"/>
      <c r="J1533" t="n">
        <v>-0.6249</v>
      </c>
      <c r="K1533" t="n">
        <v>0.158</v>
      </c>
      <c r="L1533" t="n">
        <v>0.802</v>
      </c>
      <c r="M1533" t="n">
        <v>0.04</v>
      </c>
    </row>
    <row r="1534" spans="1:13">
      <c r="A1534" s="1">
        <f>HYPERLINK("http://www.twitter.com/NathanBLawrence/status/987492441665269760", "987492441665269760")</f>
        <v/>
      </c>
      <c r="B1534" s="2" t="n">
        <v>43211.03146990741</v>
      </c>
      <c r="C1534" t="n">
        <v>0</v>
      </c>
      <c r="D1534" t="n">
        <v>0</v>
      </c>
      <c r="E1534" t="s">
        <v>1540</v>
      </c>
      <c r="F1534" t="s"/>
      <c r="G1534" t="s"/>
      <c r="H1534" t="s"/>
      <c r="I1534" t="s"/>
      <c r="J1534" t="n">
        <v>-0.6513</v>
      </c>
      <c r="K1534" t="n">
        <v>0.262</v>
      </c>
      <c r="L1534" t="n">
        <v>0.738</v>
      </c>
      <c r="M1534" t="n">
        <v>0</v>
      </c>
    </row>
    <row r="1535" spans="1:13">
      <c r="A1535" s="1">
        <f>HYPERLINK("http://www.twitter.com/NathanBLawrence/status/987485353744453633", "987485353744453633")</f>
        <v/>
      </c>
      <c r="B1535" s="2" t="n">
        <v>43211.01190972222</v>
      </c>
      <c r="C1535" t="n">
        <v>0</v>
      </c>
      <c r="D1535" t="n">
        <v>0</v>
      </c>
      <c r="E1535" t="s">
        <v>1541</v>
      </c>
      <c r="F1535" t="s"/>
      <c r="G1535" t="s"/>
      <c r="H1535" t="s"/>
      <c r="I1535" t="s"/>
      <c r="J1535" t="n">
        <v>0.4215</v>
      </c>
      <c r="K1535" t="n">
        <v>0.106</v>
      </c>
      <c r="L1535" t="n">
        <v>0.662</v>
      </c>
      <c r="M1535" t="n">
        <v>0.232</v>
      </c>
    </row>
    <row r="1536" spans="1:13">
      <c r="A1536" s="1">
        <f>HYPERLINK("http://www.twitter.com/NathanBLawrence/status/987480585236033536", "987480585236033536")</f>
        <v/>
      </c>
      <c r="B1536" s="2" t="n">
        <v>43210.99875</v>
      </c>
      <c r="C1536" t="n">
        <v>1</v>
      </c>
      <c r="D1536" t="n">
        <v>0</v>
      </c>
      <c r="E1536" t="s">
        <v>1542</v>
      </c>
      <c r="F1536" t="s"/>
      <c r="G1536" t="s"/>
      <c r="H1536" t="s"/>
      <c r="I1536" t="s"/>
      <c r="J1536" t="n">
        <v>0</v>
      </c>
      <c r="K1536" t="n">
        <v>0</v>
      </c>
      <c r="L1536" t="n">
        <v>1</v>
      </c>
      <c r="M1536" t="n">
        <v>0</v>
      </c>
    </row>
    <row r="1537" spans="1:13">
      <c r="A1537" s="1">
        <f>HYPERLINK("http://www.twitter.com/NathanBLawrence/status/987478922987229185", "987478922987229185")</f>
        <v/>
      </c>
      <c r="B1537" s="2" t="n">
        <v>43210.99416666666</v>
      </c>
      <c r="C1537" t="n">
        <v>0</v>
      </c>
      <c r="D1537" t="n">
        <v>1</v>
      </c>
      <c r="E1537" t="s">
        <v>1543</v>
      </c>
      <c r="F1537" t="s"/>
      <c r="G1537" t="s"/>
      <c r="H1537" t="s"/>
      <c r="I1537" t="s"/>
      <c r="J1537" t="n">
        <v>0.4588</v>
      </c>
      <c r="K1537" t="n">
        <v>0</v>
      </c>
      <c r="L1537" t="n">
        <v>0.885</v>
      </c>
      <c r="M1537" t="n">
        <v>0.115</v>
      </c>
    </row>
    <row r="1538" spans="1:13">
      <c r="A1538" s="1">
        <f>HYPERLINK("http://www.twitter.com/NathanBLawrence/status/987478835842174976", "987478835842174976")</f>
        <v/>
      </c>
      <c r="B1538" s="2" t="n">
        <v>43210.99392361111</v>
      </c>
      <c r="C1538" t="n">
        <v>0</v>
      </c>
      <c r="D1538" t="n">
        <v>1</v>
      </c>
      <c r="E1538" t="s">
        <v>1544</v>
      </c>
      <c r="F1538" t="s"/>
      <c r="G1538" t="s"/>
      <c r="H1538" t="s"/>
      <c r="I1538" t="s"/>
      <c r="J1538" t="n">
        <v>-0.6124000000000001</v>
      </c>
      <c r="K1538" t="n">
        <v>0.14</v>
      </c>
      <c r="L1538" t="n">
        <v>0.8</v>
      </c>
      <c r="M1538" t="n">
        <v>0.06</v>
      </c>
    </row>
    <row r="1539" spans="1:13">
      <c r="A1539" s="1">
        <f>HYPERLINK("http://www.twitter.com/NathanBLawrence/status/987476224598532097", "987476224598532097")</f>
        <v/>
      </c>
      <c r="B1539" s="2" t="n">
        <v>43210.98672453704</v>
      </c>
      <c r="C1539" t="n">
        <v>1</v>
      </c>
      <c r="D1539" t="n">
        <v>1</v>
      </c>
      <c r="E1539" t="s">
        <v>1545</v>
      </c>
      <c r="F1539" t="s"/>
      <c r="G1539" t="s"/>
      <c r="H1539" t="s"/>
      <c r="I1539" t="s"/>
      <c r="J1539" t="n">
        <v>-0.5423</v>
      </c>
      <c r="K1539" t="n">
        <v>0.189</v>
      </c>
      <c r="L1539" t="n">
        <v>0.8110000000000001</v>
      </c>
      <c r="M1539" t="n">
        <v>0</v>
      </c>
    </row>
    <row r="1540" spans="1:13">
      <c r="A1540" s="1">
        <f>HYPERLINK("http://www.twitter.com/NathanBLawrence/status/987461785186979841", "987461785186979841")</f>
        <v/>
      </c>
      <c r="B1540" s="2" t="n">
        <v>43210.946875</v>
      </c>
      <c r="C1540" t="n">
        <v>0</v>
      </c>
      <c r="D1540" t="n">
        <v>5</v>
      </c>
      <c r="E1540" t="s">
        <v>1546</v>
      </c>
      <c r="F1540" t="s"/>
      <c r="G1540" t="s"/>
      <c r="H1540" t="s"/>
      <c r="I1540" t="s"/>
      <c r="J1540" t="n">
        <v>0.1695</v>
      </c>
      <c r="K1540" t="n">
        <v>0</v>
      </c>
      <c r="L1540" t="n">
        <v>0.9320000000000001</v>
      </c>
      <c r="M1540" t="n">
        <v>0.068</v>
      </c>
    </row>
    <row r="1541" spans="1:13">
      <c r="A1541" s="1">
        <f>HYPERLINK("http://www.twitter.com/NathanBLawrence/status/987461355807657990", "987461355807657990")</f>
        <v/>
      </c>
      <c r="B1541" s="2" t="n">
        <v>43210.94569444445</v>
      </c>
      <c r="C1541" t="n">
        <v>5</v>
      </c>
      <c r="D1541" t="n">
        <v>5</v>
      </c>
      <c r="E1541" t="s">
        <v>1547</v>
      </c>
      <c r="F1541" t="s"/>
      <c r="G1541" t="s"/>
      <c r="H1541" t="s"/>
      <c r="I1541" t="s"/>
      <c r="J1541" t="n">
        <v>0.1695</v>
      </c>
      <c r="K1541" t="n">
        <v>0</v>
      </c>
      <c r="L1541" t="n">
        <v>0.9320000000000001</v>
      </c>
      <c r="M1541" t="n">
        <v>0.068</v>
      </c>
    </row>
    <row r="1542" spans="1:13">
      <c r="A1542" s="1">
        <f>HYPERLINK("http://www.twitter.com/NathanBLawrence/status/987367619543126017", "987367619543126017")</f>
        <v/>
      </c>
      <c r="B1542" s="2" t="n">
        <v>43210.68702546296</v>
      </c>
      <c r="C1542" t="n">
        <v>0</v>
      </c>
      <c r="D1542" t="n">
        <v>1</v>
      </c>
      <c r="E1542" t="s">
        <v>1548</v>
      </c>
      <c r="F1542" t="s"/>
      <c r="G1542" t="s"/>
      <c r="H1542" t="s"/>
      <c r="I1542" t="s"/>
      <c r="J1542" t="n">
        <v>-0.6124000000000001</v>
      </c>
      <c r="K1542" t="n">
        <v>0.208</v>
      </c>
      <c r="L1542" t="n">
        <v>0.792</v>
      </c>
      <c r="M1542" t="n">
        <v>0</v>
      </c>
    </row>
    <row r="1543" spans="1:13">
      <c r="A1543" s="1">
        <f>HYPERLINK("http://www.twitter.com/NathanBLawrence/status/987367546356629506", "987367546356629506")</f>
        <v/>
      </c>
      <c r="B1543" s="2" t="n">
        <v>43210.68682870371</v>
      </c>
      <c r="C1543" t="n">
        <v>2</v>
      </c>
      <c r="D1543" t="n">
        <v>1</v>
      </c>
      <c r="E1543" t="s">
        <v>1549</v>
      </c>
      <c r="F1543" t="s"/>
      <c r="G1543" t="s"/>
      <c r="H1543" t="s"/>
      <c r="I1543" t="s"/>
      <c r="J1543" t="n">
        <v>-0.7506</v>
      </c>
      <c r="K1543" t="n">
        <v>0.291</v>
      </c>
      <c r="L1543" t="n">
        <v>0.709</v>
      </c>
      <c r="M1543" t="n">
        <v>0</v>
      </c>
    </row>
    <row r="1544" spans="1:13">
      <c r="A1544" s="1">
        <f>HYPERLINK("http://www.twitter.com/NathanBLawrence/status/987311256318152704", "987311256318152704")</f>
        <v/>
      </c>
      <c r="B1544" s="2" t="n">
        <v>43210.53149305555</v>
      </c>
      <c r="C1544" t="n">
        <v>0</v>
      </c>
      <c r="D1544" t="n">
        <v>2</v>
      </c>
      <c r="E1544" t="s">
        <v>1550</v>
      </c>
      <c r="F1544" t="s"/>
      <c r="G1544" t="s"/>
      <c r="H1544" t="s"/>
      <c r="I1544" t="s"/>
      <c r="J1544" t="n">
        <v>0</v>
      </c>
      <c r="K1544" t="n">
        <v>0</v>
      </c>
      <c r="L1544" t="n">
        <v>1</v>
      </c>
      <c r="M1544" t="n">
        <v>0</v>
      </c>
    </row>
    <row r="1545" spans="1:13">
      <c r="A1545" s="1">
        <f>HYPERLINK("http://www.twitter.com/NathanBLawrence/status/987311130203783169", "987311130203783169")</f>
        <v/>
      </c>
      <c r="B1545" s="2" t="n">
        <v>43210.53114583333</v>
      </c>
      <c r="C1545" t="n">
        <v>2</v>
      </c>
      <c r="D1545" t="n">
        <v>2</v>
      </c>
      <c r="E1545" t="s">
        <v>1551</v>
      </c>
      <c r="F1545" t="s"/>
      <c r="G1545" t="s"/>
      <c r="H1545" t="s"/>
      <c r="I1545" t="s"/>
      <c r="J1545" t="n">
        <v>-0.5266999999999999</v>
      </c>
      <c r="K1545" t="n">
        <v>0.124</v>
      </c>
      <c r="L1545" t="n">
        <v>0.876</v>
      </c>
      <c r="M1545" t="n">
        <v>0</v>
      </c>
    </row>
    <row r="1546" spans="1:13">
      <c r="A1546" s="1">
        <f>HYPERLINK("http://www.twitter.com/NathanBLawrence/status/987279026288058368", "987279026288058368")</f>
        <v/>
      </c>
      <c r="B1546" s="2" t="n">
        <v>43210.44255787037</v>
      </c>
      <c r="C1546" t="n">
        <v>0</v>
      </c>
      <c r="D1546" t="n">
        <v>5</v>
      </c>
      <c r="E1546" t="s">
        <v>1552</v>
      </c>
      <c r="F1546" t="s"/>
      <c r="G1546" t="s"/>
      <c r="H1546" t="s"/>
      <c r="I1546" t="s"/>
      <c r="J1546" t="n">
        <v>0</v>
      </c>
      <c r="K1546" t="n">
        <v>0</v>
      </c>
      <c r="L1546" t="n">
        <v>1</v>
      </c>
      <c r="M1546" t="n">
        <v>0</v>
      </c>
    </row>
    <row r="1547" spans="1:13">
      <c r="A1547" s="1">
        <f>HYPERLINK("http://www.twitter.com/NathanBLawrence/status/987171625052332034", "987171625052332034")</f>
        <v/>
      </c>
      <c r="B1547" s="2" t="n">
        <v>43210.14618055556</v>
      </c>
      <c r="C1547" t="n">
        <v>2</v>
      </c>
      <c r="D1547" t="n">
        <v>0</v>
      </c>
      <c r="E1547" t="s">
        <v>1553</v>
      </c>
      <c r="F1547" t="s"/>
      <c r="G1547" t="s"/>
      <c r="H1547" t="s"/>
      <c r="I1547" t="s"/>
      <c r="J1547" t="n">
        <v>0.128</v>
      </c>
      <c r="K1547" t="n">
        <v>0.137</v>
      </c>
      <c r="L1547" t="n">
        <v>0.664</v>
      </c>
      <c r="M1547" t="n">
        <v>0.199</v>
      </c>
    </row>
    <row r="1548" spans="1:13">
      <c r="A1548" s="1">
        <f>HYPERLINK("http://www.twitter.com/NathanBLawrence/status/987169573299507201", "987169573299507201")</f>
        <v/>
      </c>
      <c r="B1548" s="2" t="n">
        <v>43210.14052083333</v>
      </c>
      <c r="C1548" t="n">
        <v>0</v>
      </c>
      <c r="D1548" t="n">
        <v>3</v>
      </c>
      <c r="E1548" t="s">
        <v>1554</v>
      </c>
      <c r="F1548" t="s"/>
      <c r="G1548" t="s"/>
      <c r="H1548" t="s"/>
      <c r="I1548" t="s"/>
      <c r="J1548" t="n">
        <v>-0.2411</v>
      </c>
      <c r="K1548" t="n">
        <v>0.123</v>
      </c>
      <c r="L1548" t="n">
        <v>0.877</v>
      </c>
      <c r="M1548" t="n">
        <v>0</v>
      </c>
    </row>
    <row r="1549" spans="1:13">
      <c r="A1549" s="1">
        <f>HYPERLINK("http://www.twitter.com/NathanBLawrence/status/987169319804194817", "987169319804194817")</f>
        <v/>
      </c>
      <c r="B1549" s="2" t="n">
        <v>43210.13982638889</v>
      </c>
      <c r="C1549" t="n">
        <v>5</v>
      </c>
      <c r="D1549" t="n">
        <v>3</v>
      </c>
      <c r="E1549" t="s">
        <v>1555</v>
      </c>
      <c r="F1549" t="s"/>
      <c r="G1549" t="s"/>
      <c r="H1549" t="s"/>
      <c r="I1549" t="s"/>
      <c r="J1549" t="n">
        <v>-0.2411</v>
      </c>
      <c r="K1549" t="n">
        <v>0.123</v>
      </c>
      <c r="L1549" t="n">
        <v>0.877</v>
      </c>
      <c r="M1549" t="n">
        <v>0</v>
      </c>
    </row>
    <row r="1550" spans="1:13">
      <c r="A1550" s="1">
        <f>HYPERLINK("http://www.twitter.com/NathanBLawrence/status/987164404746776576", "987164404746776576")</f>
        <v/>
      </c>
      <c r="B1550" s="2" t="n">
        <v>43210.12626157407</v>
      </c>
      <c r="C1550" t="n">
        <v>0</v>
      </c>
      <c r="D1550" t="n">
        <v>1</v>
      </c>
      <c r="E1550" t="s">
        <v>1556</v>
      </c>
      <c r="F1550" t="s"/>
      <c r="G1550" t="s"/>
      <c r="H1550" t="s"/>
      <c r="I1550" t="s"/>
      <c r="J1550" t="n">
        <v>-0.2732</v>
      </c>
      <c r="K1550" t="n">
        <v>0.095</v>
      </c>
      <c r="L1550" t="n">
        <v>0.905</v>
      </c>
      <c r="M1550" t="n">
        <v>0</v>
      </c>
    </row>
    <row r="1551" spans="1:13">
      <c r="A1551" s="1">
        <f>HYPERLINK("http://www.twitter.com/NathanBLawrence/status/987164362698870784", "987164362698870784")</f>
        <v/>
      </c>
      <c r="B1551" s="2" t="n">
        <v>43210.12614583333</v>
      </c>
      <c r="C1551" t="n">
        <v>3</v>
      </c>
      <c r="D1551" t="n">
        <v>1</v>
      </c>
      <c r="E1551" t="s">
        <v>1557</v>
      </c>
      <c r="F1551" t="s"/>
      <c r="G1551" t="s"/>
      <c r="H1551" t="s"/>
      <c r="I1551" t="s"/>
      <c r="J1551" t="n">
        <v>-0.6597</v>
      </c>
      <c r="K1551" t="n">
        <v>0.19</v>
      </c>
      <c r="L1551" t="n">
        <v>0.8100000000000001</v>
      </c>
      <c r="M1551" t="n">
        <v>0</v>
      </c>
    </row>
    <row r="1552" spans="1:13">
      <c r="A1552" s="1">
        <f>HYPERLINK("http://www.twitter.com/NathanBLawrence/status/987163521464102913", "987163521464102913")</f>
        <v/>
      </c>
      <c r="B1552" s="2" t="n">
        <v>43210.12381944444</v>
      </c>
      <c r="C1552" t="n">
        <v>3</v>
      </c>
      <c r="D1552" t="n">
        <v>0</v>
      </c>
      <c r="E1552" t="s">
        <v>1558</v>
      </c>
      <c r="F1552" t="s"/>
      <c r="G1552" t="s"/>
      <c r="H1552" t="s"/>
      <c r="I1552" t="s"/>
      <c r="J1552" t="n">
        <v>0</v>
      </c>
      <c r="K1552" t="n">
        <v>0</v>
      </c>
      <c r="L1552" t="n">
        <v>1</v>
      </c>
      <c r="M1552" t="n">
        <v>0</v>
      </c>
    </row>
    <row r="1553" spans="1:13">
      <c r="A1553" s="1">
        <f>HYPERLINK("http://www.twitter.com/NathanBLawrence/status/987137594394898432", "987137594394898432")</f>
        <v/>
      </c>
      <c r="B1553" s="2" t="n">
        <v>43210.05228009259</v>
      </c>
      <c r="C1553" t="n">
        <v>0</v>
      </c>
      <c r="D1553" t="n">
        <v>12</v>
      </c>
      <c r="E1553" t="s">
        <v>1559</v>
      </c>
      <c r="F1553">
        <f>HYPERLINK("http://pbs.twimg.com/media/DbMCIh_UMAE8Xl4.jpg", "http://pbs.twimg.com/media/DbMCIh_UMAE8Xl4.jpg")</f>
        <v/>
      </c>
      <c r="G1553" t="s"/>
      <c r="H1553" t="s"/>
      <c r="I1553" t="s"/>
      <c r="J1553" t="n">
        <v>0.4391</v>
      </c>
      <c r="K1553" t="n">
        <v>0</v>
      </c>
      <c r="L1553" t="n">
        <v>0.888</v>
      </c>
      <c r="M1553" t="n">
        <v>0.112</v>
      </c>
    </row>
    <row r="1554" spans="1:13">
      <c r="A1554" s="1">
        <f>HYPERLINK("http://www.twitter.com/NathanBLawrence/status/987137494906036225", "987137494906036225")</f>
        <v/>
      </c>
      <c r="B1554" s="2" t="n">
        <v>43210.05200231481</v>
      </c>
      <c r="C1554" t="n">
        <v>0</v>
      </c>
      <c r="D1554" t="n">
        <v>9</v>
      </c>
      <c r="E1554" t="s">
        <v>1560</v>
      </c>
      <c r="F1554">
        <f>HYPERLINK("http://pbs.twimg.com/media/DbMA62sWsAAoO-a.jpg", "http://pbs.twimg.com/media/DbMA62sWsAAoO-a.jpg")</f>
        <v/>
      </c>
      <c r="G1554" t="s"/>
      <c r="H1554" t="s"/>
      <c r="I1554" t="s"/>
      <c r="J1554" t="n">
        <v>0.6166</v>
      </c>
      <c r="K1554" t="n">
        <v>0</v>
      </c>
      <c r="L1554" t="n">
        <v>0.8080000000000001</v>
      </c>
      <c r="M1554" t="n">
        <v>0.192</v>
      </c>
    </row>
    <row r="1555" spans="1:13">
      <c r="A1555" s="1">
        <f>HYPERLINK("http://www.twitter.com/NathanBLawrence/status/987129936522760193", "987129936522760193")</f>
        <v/>
      </c>
      <c r="B1555" s="2" t="n">
        <v>43210.03114583333</v>
      </c>
      <c r="C1555" t="n">
        <v>0</v>
      </c>
      <c r="D1555" t="n">
        <v>6</v>
      </c>
      <c r="E1555" t="s">
        <v>1561</v>
      </c>
      <c r="F1555">
        <f>HYPERLINK("http://pbs.twimg.com/media/DbL665ZXcAEWmTZ.jpg", "http://pbs.twimg.com/media/DbL665ZXcAEWmTZ.jpg")</f>
        <v/>
      </c>
      <c r="G1555" t="s"/>
      <c r="H1555" t="s"/>
      <c r="I1555" t="s"/>
      <c r="J1555" t="n">
        <v>0.6166</v>
      </c>
      <c r="K1555" t="n">
        <v>0</v>
      </c>
      <c r="L1555" t="n">
        <v>0.788</v>
      </c>
      <c r="M1555" t="n">
        <v>0.212</v>
      </c>
    </row>
    <row r="1556" spans="1:13">
      <c r="A1556" s="1">
        <f>HYPERLINK("http://www.twitter.com/NathanBLawrence/status/987127872547708928", "987127872547708928")</f>
        <v/>
      </c>
      <c r="B1556" s="2" t="n">
        <v>43210.02545138889</v>
      </c>
      <c r="C1556" t="n">
        <v>0</v>
      </c>
      <c r="D1556" t="n">
        <v>0</v>
      </c>
      <c r="E1556" t="s">
        <v>1562</v>
      </c>
      <c r="F1556" t="s"/>
      <c r="G1556" t="s"/>
      <c r="H1556" t="s"/>
      <c r="I1556" t="s"/>
      <c r="J1556" t="n">
        <v>0.25</v>
      </c>
      <c r="K1556" t="n">
        <v>0</v>
      </c>
      <c r="L1556" t="n">
        <v>0.8</v>
      </c>
      <c r="M1556" t="n">
        <v>0.2</v>
      </c>
    </row>
    <row r="1557" spans="1:13">
      <c r="A1557" s="1">
        <f>HYPERLINK("http://www.twitter.com/NathanBLawrence/status/987112087209107456", "987112087209107456")</f>
        <v/>
      </c>
      <c r="B1557" s="2" t="n">
        <v>43209.98188657407</v>
      </c>
      <c r="C1557" t="n">
        <v>0</v>
      </c>
      <c r="D1557" t="n">
        <v>7</v>
      </c>
      <c r="E1557" t="s">
        <v>1563</v>
      </c>
      <c r="F1557" t="s"/>
      <c r="G1557" t="s"/>
      <c r="H1557" t="s"/>
      <c r="I1557" t="s"/>
      <c r="J1557" t="n">
        <v>-0.8777</v>
      </c>
      <c r="K1557" t="n">
        <v>0.384</v>
      </c>
      <c r="L1557" t="n">
        <v>0.573</v>
      </c>
      <c r="M1557" t="n">
        <v>0.044</v>
      </c>
    </row>
    <row r="1558" spans="1:13">
      <c r="A1558" s="1">
        <f>HYPERLINK("http://www.twitter.com/NathanBLawrence/status/987099623000076288", "987099623000076288")</f>
        <v/>
      </c>
      <c r="B1558" s="2" t="n">
        <v>43209.9475</v>
      </c>
      <c r="C1558" t="n">
        <v>0</v>
      </c>
      <c r="D1558" t="n">
        <v>10</v>
      </c>
      <c r="E1558" t="s">
        <v>1564</v>
      </c>
      <c r="F1558" t="s"/>
      <c r="G1558" t="s"/>
      <c r="H1558" t="s"/>
      <c r="I1558" t="s"/>
      <c r="J1558" t="n">
        <v>-0.8519</v>
      </c>
      <c r="K1558" t="n">
        <v>0.288</v>
      </c>
      <c r="L1558" t="n">
        <v>0.712</v>
      </c>
      <c r="M1558" t="n">
        <v>0</v>
      </c>
    </row>
    <row r="1559" spans="1:13">
      <c r="A1559" s="1">
        <f>HYPERLINK("http://www.twitter.com/NathanBLawrence/status/987093454508494848", "987093454508494848")</f>
        <v/>
      </c>
      <c r="B1559" s="2" t="n">
        <v>43209.93047453704</v>
      </c>
      <c r="C1559" t="n">
        <v>3</v>
      </c>
      <c r="D1559" t="n">
        <v>0</v>
      </c>
      <c r="E1559" t="s">
        <v>1565</v>
      </c>
      <c r="F1559" t="s"/>
      <c r="G1559" t="s"/>
      <c r="H1559" t="s"/>
      <c r="I1559" t="s"/>
      <c r="J1559" t="n">
        <v>0.7262999999999999</v>
      </c>
      <c r="K1559" t="n">
        <v>0</v>
      </c>
      <c r="L1559" t="n">
        <v>0.535</v>
      </c>
      <c r="M1559" t="n">
        <v>0.465</v>
      </c>
    </row>
    <row r="1560" spans="1:13">
      <c r="A1560" s="1">
        <f>HYPERLINK("http://www.twitter.com/NathanBLawrence/status/987090840861511681", "987090840861511681")</f>
        <v/>
      </c>
      <c r="B1560" s="2" t="n">
        <v>43209.92326388889</v>
      </c>
      <c r="C1560" t="n">
        <v>0</v>
      </c>
      <c r="D1560" t="n">
        <v>1</v>
      </c>
      <c r="E1560" t="s">
        <v>1566</v>
      </c>
      <c r="F1560" t="s"/>
      <c r="G1560" t="s"/>
      <c r="H1560" t="s"/>
      <c r="I1560" t="s"/>
      <c r="J1560" t="n">
        <v>0.4199</v>
      </c>
      <c r="K1560" t="n">
        <v>0</v>
      </c>
      <c r="L1560" t="n">
        <v>0.878</v>
      </c>
      <c r="M1560" t="n">
        <v>0.122</v>
      </c>
    </row>
    <row r="1561" spans="1:13">
      <c r="A1561" s="1">
        <f>HYPERLINK("http://www.twitter.com/NathanBLawrence/status/987079186773938176", "987079186773938176")</f>
        <v/>
      </c>
      <c r="B1561" s="2" t="n">
        <v>43209.89109953704</v>
      </c>
      <c r="C1561" t="n">
        <v>0</v>
      </c>
      <c r="D1561" t="n">
        <v>1</v>
      </c>
      <c r="E1561" t="s">
        <v>1567</v>
      </c>
      <c r="F1561" t="s"/>
      <c r="G1561" t="s"/>
      <c r="H1561" t="s"/>
      <c r="I1561" t="s"/>
      <c r="J1561" t="n">
        <v>0</v>
      </c>
      <c r="K1561" t="n">
        <v>0</v>
      </c>
      <c r="L1561" t="n">
        <v>1</v>
      </c>
      <c r="M1561" t="n">
        <v>0</v>
      </c>
    </row>
    <row r="1562" spans="1:13">
      <c r="A1562" s="1">
        <f>HYPERLINK("http://www.twitter.com/NathanBLawrence/status/987079150581239813", "987079150581239813")</f>
        <v/>
      </c>
      <c r="B1562" s="2" t="n">
        <v>43209.89100694445</v>
      </c>
      <c r="C1562" t="n">
        <v>4</v>
      </c>
      <c r="D1562" t="n">
        <v>1</v>
      </c>
      <c r="E1562" t="s">
        <v>1568</v>
      </c>
      <c r="F1562" t="s"/>
      <c r="G1562" t="s"/>
      <c r="H1562" t="s"/>
      <c r="I1562" t="s"/>
      <c r="J1562" t="n">
        <v>-0.5266999999999999</v>
      </c>
      <c r="K1562" t="n">
        <v>0.112</v>
      </c>
      <c r="L1562" t="n">
        <v>0.888</v>
      </c>
      <c r="M1562" t="n">
        <v>0</v>
      </c>
    </row>
    <row r="1563" spans="1:13">
      <c r="A1563" s="1">
        <f>HYPERLINK("http://www.twitter.com/NathanBLawrence/status/987062801704325120", "987062801704325120")</f>
        <v/>
      </c>
      <c r="B1563" s="2" t="n">
        <v>43209.8458912037</v>
      </c>
      <c r="C1563" t="n">
        <v>0</v>
      </c>
      <c r="D1563" t="n">
        <v>11</v>
      </c>
      <c r="E1563" t="s">
        <v>1569</v>
      </c>
      <c r="F1563" t="s"/>
      <c r="G1563" t="s"/>
      <c r="H1563" t="s"/>
      <c r="I1563" t="s"/>
      <c r="J1563" t="n">
        <v>0.0772</v>
      </c>
      <c r="K1563" t="n">
        <v>0.1</v>
      </c>
      <c r="L1563" t="n">
        <v>0.788</v>
      </c>
      <c r="M1563" t="n">
        <v>0.112</v>
      </c>
    </row>
    <row r="1564" spans="1:13">
      <c r="A1564" s="1">
        <f>HYPERLINK("http://www.twitter.com/NathanBLawrence/status/987059658044116992", "987059658044116992")</f>
        <v/>
      </c>
      <c r="B1564" s="2" t="n">
        <v>43209.83721064815</v>
      </c>
      <c r="C1564" t="n">
        <v>0</v>
      </c>
      <c r="D1564" t="n">
        <v>3</v>
      </c>
      <c r="E1564" t="s">
        <v>1570</v>
      </c>
      <c r="F1564" t="s"/>
      <c r="G1564" t="s"/>
      <c r="H1564" t="s"/>
      <c r="I1564" t="s"/>
      <c r="J1564" t="n">
        <v>0</v>
      </c>
      <c r="K1564" t="n">
        <v>0</v>
      </c>
      <c r="L1564" t="n">
        <v>1</v>
      </c>
      <c r="M1564" t="n">
        <v>0</v>
      </c>
    </row>
    <row r="1565" spans="1:13">
      <c r="A1565" s="1">
        <f>HYPERLINK("http://www.twitter.com/NathanBLawrence/status/987058190704619520", "987058190704619520")</f>
        <v/>
      </c>
      <c r="B1565" s="2" t="n">
        <v>43209.83315972222</v>
      </c>
      <c r="C1565" t="n">
        <v>0</v>
      </c>
      <c r="D1565" t="n">
        <v>1</v>
      </c>
      <c r="E1565" t="s">
        <v>1571</v>
      </c>
      <c r="F1565" t="s"/>
      <c r="G1565" t="s"/>
      <c r="H1565" t="s"/>
      <c r="I1565" t="s"/>
      <c r="J1565" t="n">
        <v>-0.5719</v>
      </c>
      <c r="K1565" t="n">
        <v>0.27</v>
      </c>
      <c r="L1565" t="n">
        <v>0.73</v>
      </c>
      <c r="M1565" t="n">
        <v>0</v>
      </c>
    </row>
    <row r="1566" spans="1:13">
      <c r="A1566" s="1">
        <f>HYPERLINK("http://www.twitter.com/NathanBLawrence/status/987058114548690944", "987058114548690944")</f>
        <v/>
      </c>
      <c r="B1566" s="2" t="n">
        <v>43209.83295138889</v>
      </c>
      <c r="C1566" t="n">
        <v>0</v>
      </c>
      <c r="D1566" t="n">
        <v>7</v>
      </c>
      <c r="E1566" t="s">
        <v>1572</v>
      </c>
      <c r="F1566" t="s"/>
      <c r="G1566" t="s"/>
      <c r="H1566" t="s"/>
      <c r="I1566" t="s"/>
      <c r="J1566" t="n">
        <v>0.5063</v>
      </c>
      <c r="K1566" t="n">
        <v>0.07199999999999999</v>
      </c>
      <c r="L1566" t="n">
        <v>0.729</v>
      </c>
      <c r="M1566" t="n">
        <v>0.198</v>
      </c>
    </row>
    <row r="1567" spans="1:13">
      <c r="A1567" s="1">
        <f>HYPERLINK("http://www.twitter.com/NathanBLawrence/status/987058077118672897", "987058077118672897")</f>
        <v/>
      </c>
      <c r="B1567" s="2" t="n">
        <v>43209.83284722222</v>
      </c>
      <c r="C1567" t="n">
        <v>7</v>
      </c>
      <c r="D1567" t="n">
        <v>7</v>
      </c>
      <c r="E1567" t="s">
        <v>1573</v>
      </c>
      <c r="F1567" t="s"/>
      <c r="G1567" t="s"/>
      <c r="H1567" t="s"/>
      <c r="I1567" t="s"/>
      <c r="J1567" t="n">
        <v>0.7994</v>
      </c>
      <c r="K1567" t="n">
        <v>0.036</v>
      </c>
      <c r="L1567" t="n">
        <v>0.77</v>
      </c>
      <c r="M1567" t="n">
        <v>0.193</v>
      </c>
    </row>
    <row r="1568" spans="1:13">
      <c r="A1568" s="1">
        <f>HYPERLINK("http://www.twitter.com/NathanBLawrence/status/987053018205114368", "987053018205114368")</f>
        <v/>
      </c>
      <c r="B1568" s="2" t="n">
        <v>43209.81888888889</v>
      </c>
      <c r="C1568" t="n">
        <v>0</v>
      </c>
      <c r="D1568" t="n">
        <v>4</v>
      </c>
      <c r="E1568" t="s">
        <v>1574</v>
      </c>
      <c r="F1568" t="s"/>
      <c r="G1568" t="s"/>
      <c r="H1568" t="s"/>
      <c r="I1568" t="s"/>
      <c r="J1568" t="n">
        <v>-0.3182</v>
      </c>
      <c r="K1568" t="n">
        <v>0.176</v>
      </c>
      <c r="L1568" t="n">
        <v>0.733</v>
      </c>
      <c r="M1568" t="n">
        <v>0.092</v>
      </c>
    </row>
    <row r="1569" spans="1:13">
      <c r="A1569" s="1">
        <f>HYPERLINK("http://www.twitter.com/NathanBLawrence/status/987052994041655297", "987052994041655297")</f>
        <v/>
      </c>
      <c r="B1569" s="2" t="n">
        <v>43209.81881944444</v>
      </c>
      <c r="C1569" t="n">
        <v>6</v>
      </c>
      <c r="D1569" t="n">
        <v>4</v>
      </c>
      <c r="E1569" t="s">
        <v>1575</v>
      </c>
      <c r="F1569" t="s"/>
      <c r="G1569" t="s"/>
      <c r="H1569" t="s"/>
      <c r="I1569" t="s"/>
      <c r="J1569" t="n">
        <v>-0.5106000000000001</v>
      </c>
      <c r="K1569" t="n">
        <v>0.24</v>
      </c>
      <c r="L1569" t="n">
        <v>0.671</v>
      </c>
      <c r="M1569" t="n">
        <v>0.08799999999999999</v>
      </c>
    </row>
    <row r="1570" spans="1:13">
      <c r="A1570" s="1">
        <f>HYPERLINK("http://www.twitter.com/NathanBLawrence/status/987052567514447872", "987052567514447872")</f>
        <v/>
      </c>
      <c r="B1570" s="2" t="n">
        <v>43209.81765046297</v>
      </c>
      <c r="C1570" t="n">
        <v>0</v>
      </c>
      <c r="D1570" t="n">
        <v>2</v>
      </c>
      <c r="E1570" t="s">
        <v>1576</v>
      </c>
      <c r="F1570" t="s"/>
      <c r="G1570" t="s"/>
      <c r="H1570" t="s"/>
      <c r="I1570" t="s"/>
      <c r="J1570" t="n">
        <v>0</v>
      </c>
      <c r="K1570" t="n">
        <v>0</v>
      </c>
      <c r="L1570" t="n">
        <v>1</v>
      </c>
      <c r="M1570" t="n">
        <v>0</v>
      </c>
    </row>
    <row r="1571" spans="1:13">
      <c r="A1571" s="1">
        <f>HYPERLINK("http://www.twitter.com/NathanBLawrence/status/987051315850305537", "987051315850305537")</f>
        <v/>
      </c>
      <c r="B1571" s="2" t="n">
        <v>43209.81418981482</v>
      </c>
      <c r="C1571" t="n">
        <v>0</v>
      </c>
      <c r="D1571" t="n">
        <v>1</v>
      </c>
      <c r="E1571" t="s">
        <v>1577</v>
      </c>
      <c r="F1571" t="s"/>
      <c r="G1571" t="s"/>
      <c r="H1571" t="s"/>
      <c r="I1571" t="s"/>
      <c r="J1571" t="n">
        <v>0</v>
      </c>
      <c r="K1571" t="n">
        <v>0</v>
      </c>
      <c r="L1571" t="n">
        <v>1</v>
      </c>
      <c r="M1571" t="n">
        <v>0</v>
      </c>
    </row>
    <row r="1572" spans="1:13">
      <c r="A1572" s="1">
        <f>HYPERLINK("http://www.twitter.com/NathanBLawrence/status/987051242986901505", "987051242986901505")</f>
        <v/>
      </c>
      <c r="B1572" s="2" t="n">
        <v>43209.81399305556</v>
      </c>
      <c r="C1572" t="n">
        <v>0</v>
      </c>
      <c r="D1572" t="n">
        <v>1</v>
      </c>
      <c r="E1572" t="s">
        <v>1578</v>
      </c>
      <c r="F1572" t="s"/>
      <c r="G1572" t="s"/>
      <c r="H1572" t="s"/>
      <c r="I1572" t="s"/>
      <c r="J1572" t="n">
        <v>0</v>
      </c>
      <c r="K1572" t="n">
        <v>0</v>
      </c>
      <c r="L1572" t="n">
        <v>1</v>
      </c>
      <c r="M1572" t="n">
        <v>0</v>
      </c>
    </row>
    <row r="1573" spans="1:13">
      <c r="A1573" s="1">
        <f>HYPERLINK("http://www.twitter.com/NathanBLawrence/status/987050671005454337", "987050671005454337")</f>
        <v/>
      </c>
      <c r="B1573" s="2" t="n">
        <v>43209.81241898148</v>
      </c>
      <c r="C1573" t="n">
        <v>0</v>
      </c>
      <c r="D1573" t="n">
        <v>2</v>
      </c>
      <c r="E1573" t="s">
        <v>1579</v>
      </c>
      <c r="F1573" t="s"/>
      <c r="G1573" t="s"/>
      <c r="H1573" t="s"/>
      <c r="I1573" t="s"/>
      <c r="J1573" t="n">
        <v>-0.0026</v>
      </c>
      <c r="K1573" t="n">
        <v>0.095</v>
      </c>
      <c r="L1573" t="n">
        <v>0.8100000000000001</v>
      </c>
      <c r="M1573" t="n">
        <v>0.095</v>
      </c>
    </row>
    <row r="1574" spans="1:13">
      <c r="A1574" s="1">
        <f>HYPERLINK("http://www.twitter.com/NathanBLawrence/status/987050185338638336", "987050185338638336")</f>
        <v/>
      </c>
      <c r="B1574" s="2" t="n">
        <v>43209.81107638889</v>
      </c>
      <c r="C1574" t="n">
        <v>3</v>
      </c>
      <c r="D1574" t="n">
        <v>2</v>
      </c>
      <c r="E1574" t="s">
        <v>1580</v>
      </c>
      <c r="F1574" t="s"/>
      <c r="G1574" t="s"/>
      <c r="H1574" t="s"/>
      <c r="I1574" t="s"/>
      <c r="J1574" t="n">
        <v>-0.4039</v>
      </c>
      <c r="K1574" t="n">
        <v>0.22</v>
      </c>
      <c r="L1574" t="n">
        <v>0.6850000000000001</v>
      </c>
      <c r="M1574" t="n">
        <v>0.096</v>
      </c>
    </row>
    <row r="1575" spans="1:13">
      <c r="A1575" s="1">
        <f>HYPERLINK("http://www.twitter.com/NathanBLawrence/status/987047812767547392", "987047812767547392")</f>
        <v/>
      </c>
      <c r="B1575" s="2" t="n">
        <v>43209.80452546296</v>
      </c>
      <c r="C1575" t="n">
        <v>0</v>
      </c>
      <c r="D1575" t="n">
        <v>6</v>
      </c>
      <c r="E1575" t="s">
        <v>1581</v>
      </c>
      <c r="F1575" t="s"/>
      <c r="G1575" t="s"/>
      <c r="H1575" t="s"/>
      <c r="I1575" t="s"/>
      <c r="J1575" t="n">
        <v>0.0258</v>
      </c>
      <c r="K1575" t="n">
        <v>0.1</v>
      </c>
      <c r="L1575" t="n">
        <v>0.795</v>
      </c>
      <c r="M1575" t="n">
        <v>0.105</v>
      </c>
    </row>
    <row r="1576" spans="1:13">
      <c r="A1576" s="1">
        <f>HYPERLINK("http://www.twitter.com/NathanBLawrence/status/987047789929615360", "987047789929615360")</f>
        <v/>
      </c>
      <c r="B1576" s="2" t="n">
        <v>43209.80446759259</v>
      </c>
      <c r="C1576" t="n">
        <v>7</v>
      </c>
      <c r="D1576" t="n">
        <v>6</v>
      </c>
      <c r="E1576" t="s">
        <v>1582</v>
      </c>
      <c r="F1576" t="s"/>
      <c r="G1576" t="s"/>
      <c r="H1576" t="s"/>
      <c r="I1576" t="s"/>
      <c r="J1576" t="n">
        <v>-0.5106000000000001</v>
      </c>
      <c r="K1576" t="n">
        <v>0.232</v>
      </c>
      <c r="L1576" t="n">
        <v>0.6830000000000001</v>
      </c>
      <c r="M1576" t="n">
        <v>0.08500000000000001</v>
      </c>
    </row>
    <row r="1577" spans="1:13">
      <c r="A1577" s="1">
        <f>HYPERLINK("http://www.twitter.com/NathanBLawrence/status/987028624443412482", "987028624443412482")</f>
        <v/>
      </c>
      <c r="B1577" s="2" t="n">
        <v>43209.75157407407</v>
      </c>
      <c r="C1577" t="n">
        <v>0</v>
      </c>
      <c r="D1577" t="n">
        <v>10</v>
      </c>
      <c r="E1577" t="s">
        <v>1583</v>
      </c>
      <c r="F1577" t="s"/>
      <c r="G1577" t="s"/>
      <c r="H1577" t="s"/>
      <c r="I1577" t="s"/>
      <c r="J1577" t="n">
        <v>-0.0258</v>
      </c>
      <c r="K1577" t="n">
        <v>0.08400000000000001</v>
      </c>
      <c r="L1577" t="n">
        <v>0.837</v>
      </c>
      <c r="M1577" t="n">
        <v>0.08</v>
      </c>
    </row>
    <row r="1578" spans="1:13">
      <c r="A1578" s="1">
        <f>HYPERLINK("http://www.twitter.com/NathanBLawrence/status/986962489165385728", "986962489165385728")</f>
        <v/>
      </c>
      <c r="B1578" s="2" t="n">
        <v>43209.56907407408</v>
      </c>
      <c r="C1578" t="n">
        <v>0</v>
      </c>
      <c r="D1578" t="n">
        <v>20</v>
      </c>
      <c r="E1578" t="s">
        <v>1584</v>
      </c>
      <c r="F1578" t="s"/>
      <c r="G1578" t="s"/>
      <c r="H1578" t="s"/>
      <c r="I1578" t="s"/>
      <c r="J1578" t="n">
        <v>0.25</v>
      </c>
      <c r="K1578" t="n">
        <v>0.083</v>
      </c>
      <c r="L1578" t="n">
        <v>0.795</v>
      </c>
      <c r="M1578" t="n">
        <v>0.121</v>
      </c>
    </row>
    <row r="1579" spans="1:13">
      <c r="A1579" s="1">
        <f>HYPERLINK("http://www.twitter.com/NathanBLawrence/status/986960264791764993", "986960264791764993")</f>
        <v/>
      </c>
      <c r="B1579" s="2" t="n">
        <v>43209.56293981482</v>
      </c>
      <c r="C1579" t="n">
        <v>1</v>
      </c>
      <c r="D1579" t="n">
        <v>0</v>
      </c>
      <c r="E1579" t="s">
        <v>1585</v>
      </c>
      <c r="F1579" t="s"/>
      <c r="G1579" t="s"/>
      <c r="H1579" t="s"/>
      <c r="I1579" t="s"/>
      <c r="J1579" t="n">
        <v>-0.34</v>
      </c>
      <c r="K1579" t="n">
        <v>0.286</v>
      </c>
      <c r="L1579" t="n">
        <v>0.714</v>
      </c>
      <c r="M1579" t="n">
        <v>0</v>
      </c>
    </row>
    <row r="1580" spans="1:13">
      <c r="A1580" s="1">
        <f>HYPERLINK("http://www.twitter.com/NathanBLawrence/status/986953502562881542", "986953502562881542")</f>
        <v/>
      </c>
      <c r="B1580" s="2" t="n">
        <v>43209.54428240741</v>
      </c>
      <c r="C1580" t="n">
        <v>0</v>
      </c>
      <c r="D1580" t="n">
        <v>5</v>
      </c>
      <c r="E1580" t="s">
        <v>1586</v>
      </c>
      <c r="F1580" t="s"/>
      <c r="G1580" t="s"/>
      <c r="H1580" t="s"/>
      <c r="I1580" t="s"/>
      <c r="J1580" t="n">
        <v>0.296</v>
      </c>
      <c r="K1580" t="n">
        <v>0</v>
      </c>
      <c r="L1580" t="n">
        <v>0.896</v>
      </c>
      <c r="M1580" t="n">
        <v>0.104</v>
      </c>
    </row>
    <row r="1581" spans="1:13">
      <c r="A1581" s="1">
        <f>HYPERLINK("http://www.twitter.com/NathanBLawrence/status/986953454718504960", "986953454718504960")</f>
        <v/>
      </c>
      <c r="B1581" s="2" t="n">
        <v>43209.54414351852</v>
      </c>
      <c r="C1581" t="n">
        <v>5</v>
      </c>
      <c r="D1581" t="n">
        <v>5</v>
      </c>
      <c r="E1581" t="s">
        <v>1587</v>
      </c>
      <c r="F1581" t="s"/>
      <c r="G1581" t="s"/>
      <c r="H1581" t="s"/>
      <c r="I1581" t="s"/>
      <c r="J1581" t="n">
        <v>-0.7717000000000001</v>
      </c>
      <c r="K1581" t="n">
        <v>0.221</v>
      </c>
      <c r="L1581" t="n">
        <v>0.6860000000000001</v>
      </c>
      <c r="M1581" t="n">
        <v>0.093</v>
      </c>
    </row>
    <row r="1582" spans="1:13">
      <c r="A1582" s="1">
        <f>HYPERLINK("http://www.twitter.com/NathanBLawrence/status/986939978964979712", "986939978964979712")</f>
        <v/>
      </c>
      <c r="B1582" s="2" t="n">
        <v>43209.50696759259</v>
      </c>
      <c r="C1582" t="n">
        <v>0</v>
      </c>
      <c r="D1582" t="n">
        <v>0</v>
      </c>
      <c r="E1582" t="s">
        <v>1588</v>
      </c>
      <c r="F1582" t="s"/>
      <c r="G1582" t="s"/>
      <c r="H1582" t="s"/>
      <c r="I1582" t="s"/>
      <c r="J1582" t="n">
        <v>0.34</v>
      </c>
      <c r="K1582" t="n">
        <v>0</v>
      </c>
      <c r="L1582" t="n">
        <v>0.625</v>
      </c>
      <c r="M1582" t="n">
        <v>0.375</v>
      </c>
    </row>
    <row r="1583" spans="1:13">
      <c r="A1583" s="1">
        <f>HYPERLINK("http://www.twitter.com/NathanBLawrence/status/986936399994728448", "986936399994728448")</f>
        <v/>
      </c>
      <c r="B1583" s="2" t="n">
        <v>43209.49708333334</v>
      </c>
      <c r="C1583" t="n">
        <v>0</v>
      </c>
      <c r="D1583" t="n">
        <v>1</v>
      </c>
      <c r="E1583" t="s">
        <v>1589</v>
      </c>
      <c r="F1583" t="s"/>
      <c r="G1583" t="s"/>
      <c r="H1583" t="s"/>
      <c r="I1583" t="s"/>
      <c r="J1583" t="n">
        <v>0.6971000000000001</v>
      </c>
      <c r="K1583" t="n">
        <v>0</v>
      </c>
      <c r="L1583" t="n">
        <v>0.619</v>
      </c>
      <c r="M1583" t="n">
        <v>0.381</v>
      </c>
    </row>
    <row r="1584" spans="1:13">
      <c r="A1584" s="1">
        <f>HYPERLINK("http://www.twitter.com/NathanBLawrence/status/986936323058688000", "986936323058688000")</f>
        <v/>
      </c>
      <c r="B1584" s="2" t="n">
        <v>43209.496875</v>
      </c>
      <c r="C1584" t="n">
        <v>0</v>
      </c>
      <c r="D1584" t="n">
        <v>1</v>
      </c>
      <c r="E1584" t="s">
        <v>1590</v>
      </c>
      <c r="F1584" t="s"/>
      <c r="G1584" t="s"/>
      <c r="H1584" t="s"/>
      <c r="I1584" t="s"/>
      <c r="J1584" t="n">
        <v>0.3182</v>
      </c>
      <c r="K1584" t="n">
        <v>0</v>
      </c>
      <c r="L1584" t="n">
        <v>0.827</v>
      </c>
      <c r="M1584" t="n">
        <v>0.173</v>
      </c>
    </row>
    <row r="1585" spans="1:13">
      <c r="A1585" s="1">
        <f>HYPERLINK("http://www.twitter.com/NathanBLawrence/status/986931726780858368", "986931726780858368")</f>
        <v/>
      </c>
      <c r="B1585" s="2" t="n">
        <v>43209.48418981482</v>
      </c>
      <c r="C1585" t="n">
        <v>0</v>
      </c>
      <c r="D1585" t="n">
        <v>1</v>
      </c>
      <c r="E1585" t="s">
        <v>1591</v>
      </c>
      <c r="F1585" t="s"/>
      <c r="G1585" t="s"/>
      <c r="H1585" t="s"/>
      <c r="I1585" t="s"/>
      <c r="J1585" t="n">
        <v>0.6249</v>
      </c>
      <c r="K1585" t="n">
        <v>0</v>
      </c>
      <c r="L1585" t="n">
        <v>0.702</v>
      </c>
      <c r="M1585" t="n">
        <v>0.298</v>
      </c>
    </row>
    <row r="1586" spans="1:13">
      <c r="A1586" s="1">
        <f>HYPERLINK("http://www.twitter.com/NathanBLawrence/status/986810297905184768", "986810297905184768")</f>
        <v/>
      </c>
      <c r="B1586" s="2" t="n">
        <v>43209.14910879629</v>
      </c>
      <c r="C1586" t="n">
        <v>0</v>
      </c>
      <c r="D1586" t="n">
        <v>8</v>
      </c>
      <c r="E1586" t="s">
        <v>1592</v>
      </c>
      <c r="F1586" t="s"/>
      <c r="G1586" t="s"/>
      <c r="H1586" t="s"/>
      <c r="I1586" t="s"/>
      <c r="J1586" t="n">
        <v>0</v>
      </c>
      <c r="K1586" t="n">
        <v>0</v>
      </c>
      <c r="L1586" t="n">
        <v>1</v>
      </c>
      <c r="M1586" t="n">
        <v>0</v>
      </c>
    </row>
    <row r="1587" spans="1:13">
      <c r="A1587" s="1">
        <f>HYPERLINK("http://www.twitter.com/NathanBLawrence/status/986801577364279296", "986801577364279296")</f>
        <v/>
      </c>
      <c r="B1587" s="2" t="n">
        <v>43209.1250462963</v>
      </c>
      <c r="C1587" t="n">
        <v>0</v>
      </c>
      <c r="D1587" t="n">
        <v>2</v>
      </c>
      <c r="E1587" t="s">
        <v>1593</v>
      </c>
      <c r="F1587" t="s"/>
      <c r="G1587" t="s"/>
      <c r="H1587" t="s"/>
      <c r="I1587" t="s"/>
      <c r="J1587" t="n">
        <v>-0.34</v>
      </c>
      <c r="K1587" t="n">
        <v>0.156</v>
      </c>
      <c r="L1587" t="n">
        <v>0.844</v>
      </c>
      <c r="M1587" t="n">
        <v>0</v>
      </c>
    </row>
    <row r="1588" spans="1:13">
      <c r="A1588" s="1">
        <f>HYPERLINK("http://www.twitter.com/NathanBLawrence/status/986793198243778561", "986793198243778561")</f>
        <v/>
      </c>
      <c r="B1588" s="2" t="n">
        <v>43209.10192129629</v>
      </c>
      <c r="C1588" t="n">
        <v>0</v>
      </c>
      <c r="D1588" t="n">
        <v>4</v>
      </c>
      <c r="E1588" t="s">
        <v>1594</v>
      </c>
      <c r="F1588" t="s"/>
      <c r="G1588" t="s"/>
      <c r="H1588" t="s"/>
      <c r="I1588" t="s"/>
      <c r="J1588" t="n">
        <v>0.3919</v>
      </c>
      <c r="K1588" t="n">
        <v>0</v>
      </c>
      <c r="L1588" t="n">
        <v>0.819</v>
      </c>
      <c r="M1588" t="n">
        <v>0.181</v>
      </c>
    </row>
    <row r="1589" spans="1:13">
      <c r="A1589" s="1">
        <f>HYPERLINK("http://www.twitter.com/NathanBLawrence/status/986789870038405120", "986789870038405120")</f>
        <v/>
      </c>
      <c r="B1589" s="2" t="n">
        <v>43209.09274305555</v>
      </c>
      <c r="C1589" t="n">
        <v>0</v>
      </c>
      <c r="D1589" t="n">
        <v>2</v>
      </c>
      <c r="E1589" t="s">
        <v>1595</v>
      </c>
      <c r="F1589" t="s"/>
      <c r="G1589" t="s"/>
      <c r="H1589" t="s"/>
      <c r="I1589" t="s"/>
      <c r="J1589" t="n">
        <v>0.1027</v>
      </c>
      <c r="K1589" t="n">
        <v>0.101</v>
      </c>
      <c r="L1589" t="n">
        <v>0.784</v>
      </c>
      <c r="M1589" t="n">
        <v>0.116</v>
      </c>
    </row>
    <row r="1590" spans="1:13">
      <c r="A1590" s="1">
        <f>HYPERLINK("http://www.twitter.com/NathanBLawrence/status/986787877186097153", "986787877186097153")</f>
        <v/>
      </c>
      <c r="B1590" s="2" t="n">
        <v>43209.08724537037</v>
      </c>
      <c r="C1590" t="n">
        <v>0</v>
      </c>
      <c r="D1590" t="n">
        <v>1</v>
      </c>
      <c r="E1590" t="s">
        <v>1596</v>
      </c>
      <c r="F1590" t="s"/>
      <c r="G1590" t="s"/>
      <c r="H1590" t="s"/>
      <c r="I1590" t="s"/>
      <c r="J1590" t="n">
        <v>0.5556</v>
      </c>
      <c r="K1590" t="n">
        <v>0</v>
      </c>
      <c r="L1590" t="n">
        <v>0.787</v>
      </c>
      <c r="M1590" t="n">
        <v>0.213</v>
      </c>
    </row>
    <row r="1591" spans="1:13">
      <c r="A1591" s="1">
        <f>HYPERLINK("http://www.twitter.com/NathanBLawrence/status/986787804117176325", "986787804117176325")</f>
        <v/>
      </c>
      <c r="B1591" s="2" t="n">
        <v>43209.08703703704</v>
      </c>
      <c r="C1591" t="n">
        <v>1</v>
      </c>
      <c r="D1591" t="n">
        <v>1</v>
      </c>
      <c r="E1591" t="s">
        <v>1597</v>
      </c>
      <c r="F1591" t="s"/>
      <c r="G1591" t="s"/>
      <c r="H1591" t="s"/>
      <c r="I1591" t="s"/>
      <c r="J1591" t="n">
        <v>0.3374</v>
      </c>
      <c r="K1591" t="n">
        <v>0.08500000000000001</v>
      </c>
      <c r="L1591" t="n">
        <v>0.751</v>
      </c>
      <c r="M1591" t="n">
        <v>0.164</v>
      </c>
    </row>
    <row r="1592" spans="1:13">
      <c r="A1592" s="1">
        <f>HYPERLINK("http://www.twitter.com/NathanBLawrence/status/986785216739074050", "986785216739074050")</f>
        <v/>
      </c>
      <c r="B1592" s="2" t="n">
        <v>43209.07989583333</v>
      </c>
      <c r="C1592" t="n">
        <v>0</v>
      </c>
      <c r="D1592" t="n">
        <v>11</v>
      </c>
      <c r="E1592" t="s">
        <v>1598</v>
      </c>
      <c r="F1592">
        <f>HYPERLINK("http://pbs.twimg.com/media/DbHCbK4X0AAHwhf.jpg", "http://pbs.twimg.com/media/DbHCbK4X0AAHwhf.jpg")</f>
        <v/>
      </c>
      <c r="G1592" t="s"/>
      <c r="H1592" t="s"/>
      <c r="I1592" t="s"/>
      <c r="J1592" t="n">
        <v>0.7739</v>
      </c>
      <c r="K1592" t="n">
        <v>0</v>
      </c>
      <c r="L1592" t="n">
        <v>0.728</v>
      </c>
      <c r="M1592" t="n">
        <v>0.272</v>
      </c>
    </row>
    <row r="1593" spans="1:13">
      <c r="A1593" s="1">
        <f>HYPERLINK("http://www.twitter.com/NathanBLawrence/status/986784247863304192", "986784247863304192")</f>
        <v/>
      </c>
      <c r="B1593" s="2" t="n">
        <v>43209.07722222222</v>
      </c>
      <c r="C1593" t="n">
        <v>0</v>
      </c>
      <c r="D1593" t="n">
        <v>14</v>
      </c>
      <c r="E1593" t="s">
        <v>1599</v>
      </c>
      <c r="F1593" t="s"/>
      <c r="G1593" t="s"/>
      <c r="H1593" t="s"/>
      <c r="I1593" t="s"/>
      <c r="J1593" t="n">
        <v>-0.908</v>
      </c>
      <c r="K1593" t="n">
        <v>0.443</v>
      </c>
      <c r="L1593" t="n">
        <v>0.478</v>
      </c>
      <c r="M1593" t="n">
        <v>0.08</v>
      </c>
    </row>
    <row r="1594" spans="1:13">
      <c r="A1594" s="1">
        <f>HYPERLINK("http://www.twitter.com/NathanBLawrence/status/986775248367443969", "986775248367443969")</f>
        <v/>
      </c>
      <c r="B1594" s="2" t="n">
        <v>43209.05239583334</v>
      </c>
      <c r="C1594" t="n">
        <v>0</v>
      </c>
      <c r="D1594" t="n">
        <v>10</v>
      </c>
      <c r="E1594" t="s">
        <v>1600</v>
      </c>
      <c r="F1594" t="s"/>
      <c r="G1594" t="s"/>
      <c r="H1594" t="s"/>
      <c r="I1594" t="s"/>
      <c r="J1594" t="n">
        <v>0.4215</v>
      </c>
      <c r="K1594" t="n">
        <v>0</v>
      </c>
      <c r="L1594" t="n">
        <v>0.877</v>
      </c>
      <c r="M1594" t="n">
        <v>0.123</v>
      </c>
    </row>
    <row r="1595" spans="1:13">
      <c r="A1595" s="1">
        <f>HYPERLINK("http://www.twitter.com/NathanBLawrence/status/986775181203996672", "986775181203996672")</f>
        <v/>
      </c>
      <c r="B1595" s="2" t="n">
        <v>43209.05221064815</v>
      </c>
      <c r="C1595" t="n">
        <v>0</v>
      </c>
      <c r="D1595" t="n">
        <v>13</v>
      </c>
      <c r="E1595" t="s">
        <v>1601</v>
      </c>
      <c r="F1595" t="s"/>
      <c r="G1595" t="s"/>
      <c r="H1595" t="s"/>
      <c r="I1595" t="s"/>
      <c r="J1595" t="n">
        <v>0</v>
      </c>
      <c r="K1595" t="n">
        <v>0</v>
      </c>
      <c r="L1595" t="n">
        <v>1</v>
      </c>
      <c r="M1595" t="n">
        <v>0</v>
      </c>
    </row>
    <row r="1596" spans="1:13">
      <c r="A1596" s="1">
        <f>HYPERLINK("http://www.twitter.com/NathanBLawrence/status/986775025977118721", "986775025977118721")</f>
        <v/>
      </c>
      <c r="B1596" s="2" t="n">
        <v>43209.0517824074</v>
      </c>
      <c r="C1596" t="n">
        <v>0</v>
      </c>
      <c r="D1596" t="n">
        <v>32</v>
      </c>
      <c r="E1596" t="s">
        <v>1602</v>
      </c>
      <c r="F1596" t="s"/>
      <c r="G1596" t="s"/>
      <c r="H1596" t="s"/>
      <c r="I1596" t="s"/>
      <c r="J1596" t="n">
        <v>-0.7845</v>
      </c>
      <c r="K1596" t="n">
        <v>0.273</v>
      </c>
      <c r="L1596" t="n">
        <v>0.727</v>
      </c>
      <c r="M1596" t="n">
        <v>0</v>
      </c>
    </row>
    <row r="1597" spans="1:13">
      <c r="A1597" s="1">
        <f>HYPERLINK("http://www.twitter.com/NathanBLawrence/status/986739742279716865", "986739742279716865")</f>
        <v/>
      </c>
      <c r="B1597" s="2" t="n">
        <v>43208.95440972222</v>
      </c>
      <c r="C1597" t="n">
        <v>0</v>
      </c>
      <c r="D1597" t="n">
        <v>1</v>
      </c>
      <c r="E1597" t="s">
        <v>1603</v>
      </c>
      <c r="F1597" t="s"/>
      <c r="G1597" t="s"/>
      <c r="H1597" t="s"/>
      <c r="I1597" t="s"/>
      <c r="J1597" t="n">
        <v>0</v>
      </c>
      <c r="K1597" t="n">
        <v>0</v>
      </c>
      <c r="L1597" t="n">
        <v>1</v>
      </c>
      <c r="M1597" t="n">
        <v>0</v>
      </c>
    </row>
    <row r="1598" spans="1:13">
      <c r="A1598" s="1">
        <f>HYPERLINK("http://www.twitter.com/NathanBLawrence/status/986738346520170497", "986738346520170497")</f>
        <v/>
      </c>
      <c r="B1598" s="2" t="n">
        <v>43208.95056712963</v>
      </c>
      <c r="C1598" t="n">
        <v>0</v>
      </c>
      <c r="D1598" t="n">
        <v>3</v>
      </c>
      <c r="E1598" t="s">
        <v>1604</v>
      </c>
      <c r="F1598" t="s"/>
      <c r="G1598" t="s"/>
      <c r="H1598" t="s"/>
      <c r="I1598" t="s"/>
      <c r="J1598" t="n">
        <v>0.4019</v>
      </c>
      <c r="K1598" t="n">
        <v>0</v>
      </c>
      <c r="L1598" t="n">
        <v>0.881</v>
      </c>
      <c r="M1598" t="n">
        <v>0.119</v>
      </c>
    </row>
    <row r="1599" spans="1:13">
      <c r="A1599" s="1">
        <f>HYPERLINK("http://www.twitter.com/NathanBLawrence/status/986738265700040704", "986738265700040704")</f>
        <v/>
      </c>
      <c r="B1599" s="2" t="n">
        <v>43208.95033564815</v>
      </c>
      <c r="C1599" t="n">
        <v>5</v>
      </c>
      <c r="D1599" t="n">
        <v>3</v>
      </c>
      <c r="E1599" t="s">
        <v>1605</v>
      </c>
      <c r="F1599" t="s"/>
      <c r="G1599" t="s"/>
      <c r="H1599" t="s"/>
      <c r="I1599" t="s"/>
      <c r="J1599" t="n">
        <v>0.4019</v>
      </c>
      <c r="K1599" t="n">
        <v>0</v>
      </c>
      <c r="L1599" t="n">
        <v>0.92</v>
      </c>
      <c r="M1599" t="n">
        <v>0.08</v>
      </c>
    </row>
    <row r="1600" spans="1:13">
      <c r="A1600" s="1">
        <f>HYPERLINK("http://www.twitter.com/NathanBLawrence/status/986737098140119040", "986737098140119040")</f>
        <v/>
      </c>
      <c r="B1600" s="2" t="n">
        <v>43208.94711805556</v>
      </c>
      <c r="C1600" t="n">
        <v>0</v>
      </c>
      <c r="D1600" t="n">
        <v>5</v>
      </c>
      <c r="E1600" t="s">
        <v>1606</v>
      </c>
      <c r="F1600" t="s"/>
      <c r="G1600" t="s"/>
      <c r="H1600" t="s"/>
      <c r="I1600" t="s"/>
      <c r="J1600" t="n">
        <v>-0.4939</v>
      </c>
      <c r="K1600" t="n">
        <v>0.167</v>
      </c>
      <c r="L1600" t="n">
        <v>0.833</v>
      </c>
      <c r="M1600" t="n">
        <v>0</v>
      </c>
    </row>
    <row r="1601" spans="1:13">
      <c r="A1601" s="1">
        <f>HYPERLINK("http://www.twitter.com/NathanBLawrence/status/986720533420048384", "986720533420048384")</f>
        <v/>
      </c>
      <c r="B1601" s="2" t="n">
        <v>43208.90141203703</v>
      </c>
      <c r="C1601" t="n">
        <v>0</v>
      </c>
      <c r="D1601" t="n">
        <v>1</v>
      </c>
      <c r="E1601" t="s">
        <v>1607</v>
      </c>
      <c r="F1601" t="s"/>
      <c r="G1601" t="s"/>
      <c r="H1601" t="s"/>
      <c r="I1601" t="s"/>
      <c r="J1601" t="n">
        <v>0.4019</v>
      </c>
      <c r="K1601" t="n">
        <v>0</v>
      </c>
      <c r="L1601" t="n">
        <v>0.863</v>
      </c>
      <c r="M1601" t="n">
        <v>0.137</v>
      </c>
    </row>
    <row r="1602" spans="1:13">
      <c r="A1602" s="1">
        <f>HYPERLINK("http://www.twitter.com/NathanBLawrence/status/986718906965471236", "986718906965471236")</f>
        <v/>
      </c>
      <c r="B1602" s="2" t="n">
        <v>43208.8969212963</v>
      </c>
      <c r="C1602" t="n">
        <v>1</v>
      </c>
      <c r="D1602" t="n">
        <v>1</v>
      </c>
      <c r="E1602" t="s">
        <v>1608</v>
      </c>
      <c r="F1602" t="s"/>
      <c r="G1602" t="s"/>
      <c r="H1602" t="s"/>
      <c r="I1602" t="s"/>
      <c r="J1602" t="n">
        <v>0.1531</v>
      </c>
      <c r="K1602" t="n">
        <v>0.092</v>
      </c>
      <c r="L1602" t="n">
        <v>0.789</v>
      </c>
      <c r="M1602" t="n">
        <v>0.118</v>
      </c>
    </row>
    <row r="1603" spans="1:13">
      <c r="A1603" s="1">
        <f>HYPERLINK("http://www.twitter.com/NathanBLawrence/status/986710063145455617", "986710063145455617")</f>
        <v/>
      </c>
      <c r="B1603" s="2" t="n">
        <v>43208.87251157407</v>
      </c>
      <c r="C1603" t="n">
        <v>1</v>
      </c>
      <c r="D1603" t="n">
        <v>0</v>
      </c>
      <c r="E1603" t="s">
        <v>1609</v>
      </c>
      <c r="F1603" t="s"/>
      <c r="G1603" t="s"/>
      <c r="H1603" t="s"/>
      <c r="I1603" t="s"/>
      <c r="J1603" t="n">
        <v>0.5719</v>
      </c>
      <c r="K1603" t="n">
        <v>0</v>
      </c>
      <c r="L1603" t="n">
        <v>0.598</v>
      </c>
      <c r="M1603" t="n">
        <v>0.402</v>
      </c>
    </row>
    <row r="1604" spans="1:13">
      <c r="A1604" s="1">
        <f>HYPERLINK("http://www.twitter.com/NathanBLawrence/status/986707711386628098", "986707711386628098")</f>
        <v/>
      </c>
      <c r="B1604" s="2" t="n">
        <v>43208.86603009259</v>
      </c>
      <c r="C1604" t="n">
        <v>0</v>
      </c>
      <c r="D1604" t="n">
        <v>5</v>
      </c>
      <c r="E1604" t="s">
        <v>1610</v>
      </c>
      <c r="F1604" t="s"/>
      <c r="G1604" t="s"/>
      <c r="H1604" t="s"/>
      <c r="I1604" t="s"/>
      <c r="J1604" t="n">
        <v>0.2584</v>
      </c>
      <c r="K1604" t="n">
        <v>0</v>
      </c>
      <c r="L1604" t="n">
        <v>0.711</v>
      </c>
      <c r="M1604" t="n">
        <v>0.289</v>
      </c>
    </row>
    <row r="1605" spans="1:13">
      <c r="A1605" s="1">
        <f>HYPERLINK("http://www.twitter.com/NathanBLawrence/status/986707040159617024", "986707040159617024")</f>
        <v/>
      </c>
      <c r="B1605" s="2" t="n">
        <v>43208.86417824074</v>
      </c>
      <c r="C1605" t="n">
        <v>0</v>
      </c>
      <c r="D1605" t="n">
        <v>9</v>
      </c>
      <c r="E1605" t="s">
        <v>1611</v>
      </c>
      <c r="F1605" t="s"/>
      <c r="G1605" t="s"/>
      <c r="H1605" t="s"/>
      <c r="I1605" t="s"/>
      <c r="J1605" t="n">
        <v>0.3595</v>
      </c>
      <c r="K1605" t="n">
        <v>0</v>
      </c>
      <c r="L1605" t="n">
        <v>0.868</v>
      </c>
      <c r="M1605" t="n">
        <v>0.132</v>
      </c>
    </row>
    <row r="1606" spans="1:13">
      <c r="A1606" s="1">
        <f>HYPERLINK("http://www.twitter.com/NathanBLawrence/status/986706841404170240", "986706841404170240")</f>
        <v/>
      </c>
      <c r="B1606" s="2" t="n">
        <v>43208.86362268519</v>
      </c>
      <c r="C1606" t="n">
        <v>0</v>
      </c>
      <c r="D1606" t="n">
        <v>1</v>
      </c>
      <c r="E1606" t="s">
        <v>1612</v>
      </c>
      <c r="F1606" t="s"/>
      <c r="G1606" t="s"/>
      <c r="H1606" t="s"/>
      <c r="I1606" t="s"/>
      <c r="J1606" t="n">
        <v>-0.8807</v>
      </c>
      <c r="K1606" t="n">
        <v>0.481</v>
      </c>
      <c r="L1606" t="n">
        <v>0.519</v>
      </c>
      <c r="M1606" t="n">
        <v>0</v>
      </c>
    </row>
    <row r="1607" spans="1:13">
      <c r="A1607" s="1">
        <f>HYPERLINK("http://www.twitter.com/NathanBLawrence/status/986706777034186755", "986706777034186755")</f>
        <v/>
      </c>
      <c r="B1607" s="2" t="n">
        <v>43208.86344907407</v>
      </c>
      <c r="C1607" t="n">
        <v>0</v>
      </c>
      <c r="D1607" t="n">
        <v>1</v>
      </c>
      <c r="E1607" t="s">
        <v>1613</v>
      </c>
      <c r="F1607" t="s"/>
      <c r="G1607" t="s"/>
      <c r="H1607" t="s"/>
      <c r="I1607" t="s"/>
      <c r="J1607" t="n">
        <v>-0.8807</v>
      </c>
      <c r="K1607" t="n">
        <v>0.531</v>
      </c>
      <c r="L1607" t="n">
        <v>0.469</v>
      </c>
      <c r="M1607" t="n">
        <v>0</v>
      </c>
    </row>
    <row r="1608" spans="1:13">
      <c r="A1608" s="1">
        <f>HYPERLINK("http://www.twitter.com/NathanBLawrence/status/986705932850745345", "986705932850745345")</f>
        <v/>
      </c>
      <c r="B1608" s="2" t="n">
        <v>43208.86112268519</v>
      </c>
      <c r="C1608" t="n">
        <v>0</v>
      </c>
      <c r="D1608" t="n">
        <v>4</v>
      </c>
      <c r="E1608" t="s">
        <v>1614</v>
      </c>
      <c r="F1608" t="s"/>
      <c r="G1608" t="s"/>
      <c r="H1608" t="s"/>
      <c r="I1608" t="s"/>
      <c r="J1608" t="n">
        <v>0.5562</v>
      </c>
      <c r="K1608" t="n">
        <v>0</v>
      </c>
      <c r="L1608" t="n">
        <v>0.8070000000000001</v>
      </c>
      <c r="M1608" t="n">
        <v>0.193</v>
      </c>
    </row>
    <row r="1609" spans="1:13">
      <c r="A1609" s="1">
        <f>HYPERLINK("http://www.twitter.com/NathanBLawrence/status/986697900020379648", "986697900020379648")</f>
        <v/>
      </c>
      <c r="B1609" s="2" t="n">
        <v>43208.83894675926</v>
      </c>
      <c r="C1609" t="n">
        <v>0</v>
      </c>
      <c r="D1609" t="n">
        <v>1</v>
      </c>
      <c r="E1609" t="s">
        <v>1615</v>
      </c>
      <c r="F1609" t="s"/>
      <c r="G1609" t="s"/>
      <c r="H1609" t="s"/>
      <c r="I1609" t="s"/>
      <c r="J1609" t="n">
        <v>-0.4404</v>
      </c>
      <c r="K1609" t="n">
        <v>0.209</v>
      </c>
      <c r="L1609" t="n">
        <v>0.791</v>
      </c>
      <c r="M1609" t="n">
        <v>0</v>
      </c>
    </row>
    <row r="1610" spans="1:13">
      <c r="A1610" s="1">
        <f>HYPERLINK("http://www.twitter.com/NathanBLawrence/status/986697839291125762", "986697839291125762")</f>
        <v/>
      </c>
      <c r="B1610" s="2" t="n">
        <v>43208.83878472223</v>
      </c>
      <c r="C1610" t="n">
        <v>0</v>
      </c>
      <c r="D1610" t="n">
        <v>1</v>
      </c>
      <c r="E1610" t="s">
        <v>1616</v>
      </c>
      <c r="F1610" t="s"/>
      <c r="G1610" t="s"/>
      <c r="H1610" t="s"/>
      <c r="I1610" t="s"/>
      <c r="J1610" t="n">
        <v>-0.4404</v>
      </c>
      <c r="K1610" t="n">
        <v>0.244</v>
      </c>
      <c r="L1610" t="n">
        <v>0.756</v>
      </c>
      <c r="M1610" t="n">
        <v>0</v>
      </c>
    </row>
    <row r="1611" spans="1:13">
      <c r="A1611" s="1">
        <f>HYPERLINK("http://www.twitter.com/NathanBLawrence/status/986691469720412160", "986691469720412160")</f>
        <v/>
      </c>
      <c r="B1611" s="2" t="n">
        <v>43208.8212037037</v>
      </c>
      <c r="C1611" t="n">
        <v>0</v>
      </c>
      <c r="D1611" t="n">
        <v>4</v>
      </c>
      <c r="E1611" t="s">
        <v>1617</v>
      </c>
      <c r="F1611" t="s"/>
      <c r="G1611" t="s"/>
      <c r="H1611" t="s"/>
      <c r="I1611" t="s"/>
      <c r="J1611" t="n">
        <v>-0.4767</v>
      </c>
      <c r="K1611" t="n">
        <v>0.107</v>
      </c>
      <c r="L1611" t="n">
        <v>0.893</v>
      </c>
      <c r="M1611" t="n">
        <v>0</v>
      </c>
    </row>
    <row r="1612" spans="1:13">
      <c r="A1612" s="1">
        <f>HYPERLINK("http://www.twitter.com/NathanBLawrence/status/986678937471389696", "986678937471389696")</f>
        <v/>
      </c>
      <c r="B1612" s="2" t="n">
        <v>43208.78662037037</v>
      </c>
      <c r="C1612" t="n">
        <v>0</v>
      </c>
      <c r="D1612" t="n">
        <v>15</v>
      </c>
      <c r="E1612" t="s">
        <v>1618</v>
      </c>
      <c r="F1612" t="s"/>
      <c r="G1612" t="s"/>
      <c r="H1612" t="s"/>
      <c r="I1612" t="s"/>
      <c r="J1612" t="n">
        <v>0.875</v>
      </c>
      <c r="K1612" t="n">
        <v>0</v>
      </c>
      <c r="L1612" t="n">
        <v>0.655</v>
      </c>
      <c r="M1612" t="n">
        <v>0.345</v>
      </c>
    </row>
    <row r="1613" spans="1:13">
      <c r="A1613" s="1">
        <f>HYPERLINK("http://www.twitter.com/NathanBLawrence/status/986668422724497408", "986668422724497408")</f>
        <v/>
      </c>
      <c r="B1613" s="2" t="n">
        <v>43208.75761574074</v>
      </c>
      <c r="C1613" t="n">
        <v>0</v>
      </c>
      <c r="D1613" t="n">
        <v>4</v>
      </c>
      <c r="E1613" t="s">
        <v>1619</v>
      </c>
      <c r="F1613" t="s"/>
      <c r="G1613" t="s"/>
      <c r="H1613" t="s"/>
      <c r="I1613" t="s"/>
      <c r="J1613" t="n">
        <v>-0.4019</v>
      </c>
      <c r="K1613" t="n">
        <v>0.114</v>
      </c>
      <c r="L1613" t="n">
        <v>0.886</v>
      </c>
      <c r="M1613" t="n">
        <v>0</v>
      </c>
    </row>
    <row r="1614" spans="1:13">
      <c r="A1614" s="1">
        <f>HYPERLINK("http://www.twitter.com/NathanBLawrence/status/986648368385576963", "986648368385576963")</f>
        <v/>
      </c>
      <c r="B1614" s="2" t="n">
        <v>43208.70226851852</v>
      </c>
      <c r="C1614" t="n">
        <v>0</v>
      </c>
      <c r="D1614" t="n">
        <v>18</v>
      </c>
      <c r="E1614" t="s">
        <v>1620</v>
      </c>
      <c r="F1614" t="s"/>
      <c r="G1614" t="s"/>
      <c r="H1614" t="s"/>
      <c r="I1614" t="s"/>
      <c r="J1614" t="n">
        <v>0</v>
      </c>
      <c r="K1614" t="n">
        <v>0</v>
      </c>
      <c r="L1614" t="n">
        <v>1</v>
      </c>
      <c r="M1614" t="n">
        <v>0</v>
      </c>
    </row>
    <row r="1615" spans="1:13">
      <c r="A1615" s="1">
        <f>HYPERLINK("http://www.twitter.com/NathanBLawrence/status/986641575525707776", "986641575525707776")</f>
        <v/>
      </c>
      <c r="B1615" s="2" t="n">
        <v>43208.6835300926</v>
      </c>
      <c r="C1615" t="n">
        <v>0</v>
      </c>
      <c r="D1615" t="n">
        <v>3</v>
      </c>
      <c r="E1615" t="s">
        <v>1621</v>
      </c>
      <c r="F1615" t="s"/>
      <c r="G1615" t="s"/>
      <c r="H1615" t="s"/>
      <c r="I1615" t="s"/>
      <c r="J1615" t="n">
        <v>0</v>
      </c>
      <c r="K1615" t="n">
        <v>0</v>
      </c>
      <c r="L1615" t="n">
        <v>1</v>
      </c>
      <c r="M1615" t="n">
        <v>0</v>
      </c>
    </row>
    <row r="1616" spans="1:13">
      <c r="A1616" s="1">
        <f>HYPERLINK("http://www.twitter.com/NathanBLawrence/status/986641445124796416", "986641445124796416")</f>
        <v/>
      </c>
      <c r="B1616" s="2" t="n">
        <v>43208.6831712963</v>
      </c>
      <c r="C1616" t="n">
        <v>2</v>
      </c>
      <c r="D1616" t="n">
        <v>3</v>
      </c>
      <c r="E1616" t="s">
        <v>1622</v>
      </c>
      <c r="F1616" t="s"/>
      <c r="G1616" t="s"/>
      <c r="H1616" t="s"/>
      <c r="I1616" t="s"/>
      <c r="J1616" t="n">
        <v>0</v>
      </c>
      <c r="K1616" t="n">
        <v>0</v>
      </c>
      <c r="L1616" t="n">
        <v>1</v>
      </c>
      <c r="M1616" t="n">
        <v>0</v>
      </c>
    </row>
    <row r="1617" spans="1:13">
      <c r="A1617" s="1">
        <f>HYPERLINK("http://www.twitter.com/NathanBLawrence/status/986640270660980738", "986640270660980738")</f>
        <v/>
      </c>
      <c r="B1617" s="2" t="n">
        <v>43208.67993055555</v>
      </c>
      <c r="C1617" t="n">
        <v>0</v>
      </c>
      <c r="D1617" t="n">
        <v>6</v>
      </c>
      <c r="E1617" t="s">
        <v>1623</v>
      </c>
      <c r="F1617">
        <f>HYPERLINK("http://pbs.twimg.com/media/DbE8PMDV4AE_-vq.jpg", "http://pbs.twimg.com/media/DbE8PMDV4AE_-vq.jpg")</f>
        <v/>
      </c>
      <c r="G1617" t="s"/>
      <c r="H1617" t="s"/>
      <c r="I1617" t="s"/>
      <c r="J1617" t="n">
        <v>0</v>
      </c>
      <c r="K1617" t="n">
        <v>0</v>
      </c>
      <c r="L1617" t="n">
        <v>1</v>
      </c>
      <c r="M1617" t="n">
        <v>0</v>
      </c>
    </row>
    <row r="1618" spans="1:13">
      <c r="A1618" s="1">
        <f>HYPERLINK("http://www.twitter.com/NathanBLawrence/status/986639917722882049", "986639917722882049")</f>
        <v/>
      </c>
      <c r="B1618" s="2" t="n">
        <v>43208.67894675926</v>
      </c>
      <c r="C1618" t="n">
        <v>1</v>
      </c>
      <c r="D1618" t="n">
        <v>0</v>
      </c>
      <c r="E1618" t="s">
        <v>1624</v>
      </c>
      <c r="F1618" t="s"/>
      <c r="G1618" t="s"/>
      <c r="H1618" t="s"/>
      <c r="I1618" t="s"/>
      <c r="J1618" t="n">
        <v>-0.6486</v>
      </c>
      <c r="K1618" t="n">
        <v>0.11</v>
      </c>
      <c r="L1618" t="n">
        <v>0.89</v>
      </c>
      <c r="M1618" t="n">
        <v>0</v>
      </c>
    </row>
    <row r="1619" spans="1:13">
      <c r="A1619" s="1">
        <f>HYPERLINK("http://www.twitter.com/NathanBLawrence/status/986621615751487495", "986621615751487495")</f>
        <v/>
      </c>
      <c r="B1619" s="2" t="n">
        <v>43208.62844907407</v>
      </c>
      <c r="C1619" t="n">
        <v>0</v>
      </c>
      <c r="D1619" t="n">
        <v>11</v>
      </c>
      <c r="E1619" t="s">
        <v>1625</v>
      </c>
      <c r="F1619" t="s"/>
      <c r="G1619" t="s"/>
      <c r="H1619" t="s"/>
      <c r="I1619" t="s"/>
      <c r="J1619" t="n">
        <v>0.2263</v>
      </c>
      <c r="K1619" t="n">
        <v>0</v>
      </c>
      <c r="L1619" t="n">
        <v>0.899</v>
      </c>
      <c r="M1619" t="n">
        <v>0.101</v>
      </c>
    </row>
    <row r="1620" spans="1:13">
      <c r="A1620" s="1">
        <f>HYPERLINK("http://www.twitter.com/NathanBLawrence/status/986621602535215107", "986621602535215107")</f>
        <v/>
      </c>
      <c r="B1620" s="2" t="n">
        <v>43208.62841435185</v>
      </c>
      <c r="C1620" t="n">
        <v>0</v>
      </c>
      <c r="D1620" t="n">
        <v>6</v>
      </c>
      <c r="E1620" t="s">
        <v>1626</v>
      </c>
      <c r="F1620">
        <f>HYPERLINK("http://pbs.twimg.com/media/DbEuxM3X0AA8ZLK.jpg", "http://pbs.twimg.com/media/DbEuxM3X0AA8ZLK.jpg")</f>
        <v/>
      </c>
      <c r="G1620" t="s"/>
      <c r="H1620" t="s"/>
      <c r="I1620" t="s"/>
      <c r="J1620" t="n">
        <v>0</v>
      </c>
      <c r="K1620" t="n">
        <v>0</v>
      </c>
      <c r="L1620" t="n">
        <v>1</v>
      </c>
      <c r="M1620" t="n">
        <v>0</v>
      </c>
    </row>
    <row r="1621" spans="1:13">
      <c r="A1621" s="1">
        <f>HYPERLINK("http://www.twitter.com/NathanBLawrence/status/986621546637742080", "986621546637742080")</f>
        <v/>
      </c>
      <c r="B1621" s="2" t="n">
        <v>43208.62825231482</v>
      </c>
      <c r="C1621" t="n">
        <v>7</v>
      </c>
      <c r="D1621" t="n">
        <v>6</v>
      </c>
      <c r="E1621" t="s">
        <v>1627</v>
      </c>
      <c r="F1621">
        <f>HYPERLINK("http://pbs.twimg.com/media/DbEuxM3X0AA8ZLK.jpg", "http://pbs.twimg.com/media/DbEuxM3X0AA8ZLK.jpg")</f>
        <v/>
      </c>
      <c r="G1621" t="s"/>
      <c r="H1621" t="s"/>
      <c r="I1621" t="s"/>
      <c r="J1621" t="n">
        <v>0</v>
      </c>
      <c r="K1621" t="n">
        <v>0</v>
      </c>
      <c r="L1621" t="n">
        <v>1</v>
      </c>
      <c r="M1621" t="n">
        <v>0</v>
      </c>
    </row>
    <row r="1622" spans="1:13">
      <c r="A1622" s="1">
        <f>HYPERLINK("http://www.twitter.com/NathanBLawrence/status/986619782765084672", "986619782765084672")</f>
        <v/>
      </c>
      <c r="B1622" s="2" t="n">
        <v>43208.62339120371</v>
      </c>
      <c r="C1622" t="n">
        <v>0</v>
      </c>
      <c r="D1622" t="n">
        <v>11</v>
      </c>
      <c r="E1622" t="s">
        <v>1628</v>
      </c>
      <c r="F1622" t="s"/>
      <c r="G1622" t="s"/>
      <c r="H1622" t="s"/>
      <c r="I1622" t="s"/>
      <c r="J1622" t="n">
        <v>-0.0772</v>
      </c>
      <c r="K1622" t="n">
        <v>0.058</v>
      </c>
      <c r="L1622" t="n">
        <v>0.9419999999999999</v>
      </c>
      <c r="M1622" t="n">
        <v>0</v>
      </c>
    </row>
    <row r="1623" spans="1:13">
      <c r="A1623" s="1">
        <f>HYPERLINK("http://www.twitter.com/NathanBLawrence/status/986619700737175554", "986619700737175554")</f>
        <v/>
      </c>
      <c r="B1623" s="2" t="n">
        <v>43208.62315972222</v>
      </c>
      <c r="C1623" t="n">
        <v>0</v>
      </c>
      <c r="D1623" t="n">
        <v>3</v>
      </c>
      <c r="E1623" t="s">
        <v>1629</v>
      </c>
      <c r="F1623" t="s"/>
      <c r="G1623" t="s"/>
      <c r="H1623" t="s"/>
      <c r="I1623" t="s"/>
      <c r="J1623" t="n">
        <v>0.3612</v>
      </c>
      <c r="K1623" t="n">
        <v>0</v>
      </c>
      <c r="L1623" t="n">
        <v>0.889</v>
      </c>
      <c r="M1623" t="n">
        <v>0.111</v>
      </c>
    </row>
    <row r="1624" spans="1:13">
      <c r="A1624" s="1">
        <f>HYPERLINK("http://www.twitter.com/NathanBLawrence/status/986610463764082688", "986610463764082688")</f>
        <v/>
      </c>
      <c r="B1624" s="2" t="n">
        <v>43208.59767361111</v>
      </c>
      <c r="C1624" t="n">
        <v>0</v>
      </c>
      <c r="D1624" t="n">
        <v>5</v>
      </c>
      <c r="E1624" t="s">
        <v>1630</v>
      </c>
      <c r="F1624" t="s"/>
      <c r="G1624" t="s"/>
      <c r="H1624" t="s"/>
      <c r="I1624" t="s"/>
      <c r="J1624" t="n">
        <v>0</v>
      </c>
      <c r="K1624" t="n">
        <v>0</v>
      </c>
      <c r="L1624" t="n">
        <v>1</v>
      </c>
      <c r="M1624" t="n">
        <v>0</v>
      </c>
    </row>
    <row r="1625" spans="1:13">
      <c r="A1625" s="1">
        <f>HYPERLINK("http://www.twitter.com/NathanBLawrence/status/986610348449988608", "986610348449988608")</f>
        <v/>
      </c>
      <c r="B1625" s="2" t="n">
        <v>43208.59736111111</v>
      </c>
      <c r="C1625" t="n">
        <v>0</v>
      </c>
      <c r="D1625" t="n">
        <v>9</v>
      </c>
      <c r="E1625" t="s">
        <v>1631</v>
      </c>
      <c r="F1625">
        <f>HYPERLINK("http://pbs.twimg.com/media/DbEksoFXUAInxX0.jpg", "http://pbs.twimg.com/media/DbEksoFXUAInxX0.jpg")</f>
        <v/>
      </c>
      <c r="G1625" t="s"/>
      <c r="H1625" t="s"/>
      <c r="I1625" t="s"/>
      <c r="J1625" t="n">
        <v>0</v>
      </c>
      <c r="K1625" t="n">
        <v>0</v>
      </c>
      <c r="L1625" t="n">
        <v>1</v>
      </c>
      <c r="M1625" t="n">
        <v>0</v>
      </c>
    </row>
    <row r="1626" spans="1:13">
      <c r="A1626" s="1">
        <f>HYPERLINK("http://www.twitter.com/NathanBLawrence/status/986610264668684288", "986610264668684288")</f>
        <v/>
      </c>
      <c r="B1626" s="2" t="n">
        <v>43208.59712962963</v>
      </c>
      <c r="C1626" t="n">
        <v>8</v>
      </c>
      <c r="D1626" t="n">
        <v>9</v>
      </c>
      <c r="E1626" t="s">
        <v>1632</v>
      </c>
      <c r="F1626">
        <f>HYPERLINK("http://pbs.twimg.com/media/DbEksoFXUAInxX0.jpg", "http://pbs.twimg.com/media/DbEksoFXUAInxX0.jpg")</f>
        <v/>
      </c>
      <c r="G1626" t="s"/>
      <c r="H1626" t="s"/>
      <c r="I1626" t="s"/>
      <c r="J1626" t="n">
        <v>0</v>
      </c>
      <c r="K1626" t="n">
        <v>0</v>
      </c>
      <c r="L1626" t="n">
        <v>1</v>
      </c>
      <c r="M1626" t="n">
        <v>0</v>
      </c>
    </row>
    <row r="1627" spans="1:13">
      <c r="A1627" s="1">
        <f>HYPERLINK("http://www.twitter.com/NathanBLawrence/status/986607917926440960", "986607917926440960")</f>
        <v/>
      </c>
      <c r="B1627" s="2" t="n">
        <v>43208.59064814815</v>
      </c>
      <c r="C1627" t="n">
        <v>0</v>
      </c>
      <c r="D1627" t="n">
        <v>8</v>
      </c>
      <c r="E1627" t="s">
        <v>1633</v>
      </c>
      <c r="F1627" t="s"/>
      <c r="G1627" t="s"/>
      <c r="H1627" t="s"/>
      <c r="I1627" t="s"/>
      <c r="J1627" t="n">
        <v>0</v>
      </c>
      <c r="K1627" t="n">
        <v>0</v>
      </c>
      <c r="L1627" t="n">
        <v>1</v>
      </c>
      <c r="M1627" t="n">
        <v>0</v>
      </c>
    </row>
    <row r="1628" spans="1:13">
      <c r="A1628" s="1">
        <f>HYPERLINK("http://www.twitter.com/NathanBLawrence/status/986607718571134976", "986607718571134976")</f>
        <v/>
      </c>
      <c r="B1628" s="2" t="n">
        <v>43208.59010416667</v>
      </c>
      <c r="C1628" t="n">
        <v>0</v>
      </c>
      <c r="D1628" t="n">
        <v>4</v>
      </c>
      <c r="E1628" t="s">
        <v>1634</v>
      </c>
      <c r="F1628" t="s"/>
      <c r="G1628" t="s"/>
      <c r="H1628" t="s"/>
      <c r="I1628" t="s"/>
      <c r="J1628" t="n">
        <v>0</v>
      </c>
      <c r="K1628" t="n">
        <v>0</v>
      </c>
      <c r="L1628" t="n">
        <v>1</v>
      </c>
      <c r="M1628" t="n">
        <v>0</v>
      </c>
    </row>
    <row r="1629" spans="1:13">
      <c r="A1629" s="1">
        <f>HYPERLINK("http://www.twitter.com/NathanBLawrence/status/986604973571170306", "986604973571170306")</f>
        <v/>
      </c>
      <c r="B1629" s="2" t="n">
        <v>43208.58252314815</v>
      </c>
      <c r="C1629" t="n">
        <v>0</v>
      </c>
      <c r="D1629" t="n">
        <v>8</v>
      </c>
      <c r="E1629" t="s">
        <v>1635</v>
      </c>
      <c r="F1629">
        <f>HYPERLINK("http://pbs.twimg.com/media/DbDvoF1UQAAGKhy.jpg", "http://pbs.twimg.com/media/DbDvoF1UQAAGKhy.jpg")</f>
        <v/>
      </c>
      <c r="G1629" t="s"/>
      <c r="H1629" t="s"/>
      <c r="I1629" t="s"/>
      <c r="J1629" t="n">
        <v>-0.2342</v>
      </c>
      <c r="K1629" t="n">
        <v>0.134</v>
      </c>
      <c r="L1629" t="n">
        <v>0.763</v>
      </c>
      <c r="M1629" t="n">
        <v>0.103</v>
      </c>
    </row>
    <row r="1630" spans="1:13">
      <c r="A1630" s="1">
        <f>HYPERLINK("http://www.twitter.com/NathanBLawrence/status/986597005958008833", "986597005958008833")</f>
        <v/>
      </c>
      <c r="B1630" s="2" t="n">
        <v>43208.56053240741</v>
      </c>
      <c r="C1630" t="n">
        <v>0</v>
      </c>
      <c r="D1630" t="n">
        <v>2</v>
      </c>
      <c r="E1630" t="s">
        <v>1636</v>
      </c>
      <c r="F1630" t="s"/>
      <c r="G1630" t="s"/>
      <c r="H1630" t="s"/>
      <c r="I1630" t="s"/>
      <c r="J1630" t="n">
        <v>-0.3814</v>
      </c>
      <c r="K1630" t="n">
        <v>0.192</v>
      </c>
      <c r="L1630" t="n">
        <v>0.714</v>
      </c>
      <c r="M1630" t="n">
        <v>0.094</v>
      </c>
    </row>
    <row r="1631" spans="1:13">
      <c r="A1631" s="1">
        <f>HYPERLINK("http://www.twitter.com/NathanBLawrence/status/986593998805655553", "986593998805655553")</f>
        <v/>
      </c>
      <c r="B1631" s="2" t="n">
        <v>43208.55224537037</v>
      </c>
      <c r="C1631" t="n">
        <v>0</v>
      </c>
      <c r="D1631" t="n">
        <v>1</v>
      </c>
      <c r="E1631" t="s">
        <v>1637</v>
      </c>
      <c r="F1631" t="s"/>
      <c r="G1631" t="s"/>
      <c r="H1631" t="s"/>
      <c r="I1631" t="s"/>
      <c r="J1631" t="n">
        <v>0.1139</v>
      </c>
      <c r="K1631" t="n">
        <v>0</v>
      </c>
      <c r="L1631" t="n">
        <v>0.907</v>
      </c>
      <c r="M1631" t="n">
        <v>0.093</v>
      </c>
    </row>
    <row r="1632" spans="1:13">
      <c r="A1632" s="1">
        <f>HYPERLINK("http://www.twitter.com/NathanBLawrence/status/986593911132098561", "986593911132098561")</f>
        <v/>
      </c>
      <c r="B1632" s="2" t="n">
        <v>43208.55200231481</v>
      </c>
      <c r="C1632" t="n">
        <v>1</v>
      </c>
      <c r="D1632" t="n">
        <v>1</v>
      </c>
      <c r="E1632" t="s">
        <v>1638</v>
      </c>
      <c r="F1632" t="s"/>
      <c r="G1632" t="s"/>
      <c r="H1632" t="s"/>
      <c r="I1632" t="s"/>
      <c r="J1632" t="n">
        <v>0.1139</v>
      </c>
      <c r="K1632" t="n">
        <v>0</v>
      </c>
      <c r="L1632" t="n">
        <v>0.9</v>
      </c>
      <c r="M1632" t="n">
        <v>0.1</v>
      </c>
    </row>
    <row r="1633" spans="1:13">
      <c r="A1633" s="1">
        <f>HYPERLINK("http://www.twitter.com/NathanBLawrence/status/986577132200570881", "986577132200570881")</f>
        <v/>
      </c>
      <c r="B1633" s="2" t="n">
        <v>43208.50569444444</v>
      </c>
      <c r="C1633" t="n">
        <v>0</v>
      </c>
      <c r="D1633" t="n">
        <v>2</v>
      </c>
      <c r="E1633" t="s">
        <v>1639</v>
      </c>
      <c r="F1633" t="s"/>
      <c r="G1633" t="s"/>
      <c r="H1633" t="s"/>
      <c r="I1633" t="s"/>
      <c r="J1633" t="n">
        <v>0</v>
      </c>
      <c r="K1633" t="n">
        <v>0</v>
      </c>
      <c r="L1633" t="n">
        <v>1</v>
      </c>
      <c r="M1633" t="n">
        <v>0</v>
      </c>
    </row>
    <row r="1634" spans="1:13">
      <c r="A1634" s="1">
        <f>HYPERLINK("http://www.twitter.com/NathanBLawrence/status/986576917892562945", "986576917892562945")</f>
        <v/>
      </c>
      <c r="B1634" s="2" t="n">
        <v>43208.50510416667</v>
      </c>
      <c r="C1634" t="n">
        <v>5</v>
      </c>
      <c r="D1634" t="n">
        <v>2</v>
      </c>
      <c r="E1634" t="s">
        <v>1640</v>
      </c>
      <c r="F1634" t="s"/>
      <c r="G1634" t="s"/>
      <c r="H1634" t="s"/>
      <c r="I1634" t="s"/>
      <c r="J1634" t="n">
        <v>0.34</v>
      </c>
      <c r="K1634" t="n">
        <v>0</v>
      </c>
      <c r="L1634" t="n">
        <v>0.9360000000000001</v>
      </c>
      <c r="M1634" t="n">
        <v>0.064</v>
      </c>
    </row>
    <row r="1635" spans="1:13">
      <c r="A1635" s="1">
        <f>HYPERLINK("http://www.twitter.com/NathanBLawrence/status/986575952162512897", "986575952162512897")</f>
        <v/>
      </c>
      <c r="B1635" s="2" t="n">
        <v>43208.50244212963</v>
      </c>
      <c r="C1635" t="n">
        <v>0</v>
      </c>
      <c r="D1635" t="n">
        <v>1</v>
      </c>
      <c r="E1635" t="s">
        <v>1641</v>
      </c>
      <c r="F1635" t="s"/>
      <c r="G1635" t="s"/>
      <c r="H1635" t="s"/>
      <c r="I1635" t="s"/>
      <c r="J1635" t="n">
        <v>-0.6697</v>
      </c>
      <c r="K1635" t="n">
        <v>0.282</v>
      </c>
      <c r="L1635" t="n">
        <v>0.718</v>
      </c>
      <c r="M1635" t="n">
        <v>0</v>
      </c>
    </row>
    <row r="1636" spans="1:13">
      <c r="A1636" s="1">
        <f>HYPERLINK("http://www.twitter.com/NathanBLawrence/status/986575753054707712", "986575753054707712")</f>
        <v/>
      </c>
      <c r="B1636" s="2" t="n">
        <v>43208.50188657407</v>
      </c>
      <c r="C1636" t="n">
        <v>0</v>
      </c>
      <c r="D1636" t="n">
        <v>7</v>
      </c>
      <c r="E1636" t="s">
        <v>1642</v>
      </c>
      <c r="F1636" t="s"/>
      <c r="G1636" t="s"/>
      <c r="H1636" t="s"/>
      <c r="I1636" t="s"/>
      <c r="J1636" t="n">
        <v>-0.8074</v>
      </c>
      <c r="K1636" t="n">
        <v>0.278</v>
      </c>
      <c r="L1636" t="n">
        <v>0.722</v>
      </c>
      <c r="M1636" t="n">
        <v>0</v>
      </c>
    </row>
    <row r="1637" spans="1:13">
      <c r="A1637" s="1">
        <f>HYPERLINK("http://www.twitter.com/NathanBLawrence/status/986571753232138241", "986571753232138241")</f>
        <v/>
      </c>
      <c r="B1637" s="2" t="n">
        <v>43208.49085648148</v>
      </c>
      <c r="C1637" t="n">
        <v>1</v>
      </c>
      <c r="D1637" t="n">
        <v>1</v>
      </c>
      <c r="E1637" t="s">
        <v>1643</v>
      </c>
      <c r="F1637" t="s"/>
      <c r="G1637" t="s"/>
      <c r="H1637" t="s"/>
      <c r="I1637" t="s"/>
      <c r="J1637" t="n">
        <v>-0.6697</v>
      </c>
      <c r="K1637" t="n">
        <v>0.314</v>
      </c>
      <c r="L1637" t="n">
        <v>0.6860000000000001</v>
      </c>
      <c r="M1637" t="n">
        <v>0</v>
      </c>
    </row>
    <row r="1638" spans="1:13">
      <c r="A1638" s="1">
        <f>HYPERLINK("http://www.twitter.com/NathanBLawrence/status/986563855022198786", "986563855022198786")</f>
        <v/>
      </c>
      <c r="B1638" s="2" t="n">
        <v>43208.4690625</v>
      </c>
      <c r="C1638" t="n">
        <v>0</v>
      </c>
      <c r="D1638" t="n">
        <v>2</v>
      </c>
      <c r="E1638" t="s">
        <v>1644</v>
      </c>
      <c r="F1638" t="s"/>
      <c r="G1638" t="s"/>
      <c r="H1638" t="s"/>
      <c r="I1638" t="s"/>
      <c r="J1638" t="n">
        <v>-0.3612</v>
      </c>
      <c r="K1638" t="n">
        <v>0.185</v>
      </c>
      <c r="L1638" t="n">
        <v>0.8149999999999999</v>
      </c>
      <c r="M1638" t="n">
        <v>0</v>
      </c>
    </row>
    <row r="1639" spans="1:13">
      <c r="A1639" s="1">
        <f>HYPERLINK("http://www.twitter.com/NathanBLawrence/status/986557173932199937", "986557173932199937")</f>
        <v/>
      </c>
      <c r="B1639" s="2" t="n">
        <v>43208.450625</v>
      </c>
      <c r="C1639" t="n">
        <v>0</v>
      </c>
      <c r="D1639" t="n">
        <v>0</v>
      </c>
      <c r="E1639" t="s">
        <v>1645</v>
      </c>
      <c r="F1639" t="s"/>
      <c r="G1639" t="s"/>
      <c r="H1639" t="s"/>
      <c r="I1639" t="s"/>
      <c r="J1639" t="n">
        <v>-0.2732</v>
      </c>
      <c r="K1639" t="n">
        <v>0.091</v>
      </c>
      <c r="L1639" t="n">
        <v>0.909</v>
      </c>
      <c r="M1639" t="n">
        <v>0</v>
      </c>
    </row>
    <row r="1640" spans="1:13">
      <c r="A1640" s="1">
        <f>HYPERLINK("http://www.twitter.com/NathanBLawrence/status/986555174561951744", "986555174561951744")</f>
        <v/>
      </c>
      <c r="B1640" s="2" t="n">
        <v>43208.44510416667</v>
      </c>
      <c r="C1640" t="n">
        <v>0</v>
      </c>
      <c r="D1640" t="n">
        <v>6</v>
      </c>
      <c r="E1640" t="s">
        <v>1646</v>
      </c>
      <c r="F1640" t="s"/>
      <c r="G1640" t="s"/>
      <c r="H1640" t="s"/>
      <c r="I1640" t="s"/>
      <c r="J1640" t="n">
        <v>0</v>
      </c>
      <c r="K1640" t="n">
        <v>0</v>
      </c>
      <c r="L1640" t="n">
        <v>1</v>
      </c>
      <c r="M1640" t="n">
        <v>0</v>
      </c>
    </row>
    <row r="1641" spans="1:13">
      <c r="A1641" s="1">
        <f>HYPERLINK("http://www.twitter.com/NathanBLawrence/status/986555036464484352", "986555036464484352")</f>
        <v/>
      </c>
      <c r="B1641" s="2" t="n">
        <v>43208.44472222222</v>
      </c>
      <c r="C1641" t="n">
        <v>0</v>
      </c>
      <c r="D1641" t="n">
        <v>3</v>
      </c>
      <c r="E1641" t="s">
        <v>1647</v>
      </c>
      <c r="F1641" t="s"/>
      <c r="G1641" t="s"/>
      <c r="H1641" t="s"/>
      <c r="I1641" t="s"/>
      <c r="J1641" t="n">
        <v>0</v>
      </c>
      <c r="K1641" t="n">
        <v>0</v>
      </c>
      <c r="L1641" t="n">
        <v>1</v>
      </c>
      <c r="M1641" t="n">
        <v>0</v>
      </c>
    </row>
    <row r="1642" spans="1:13">
      <c r="A1642" s="1">
        <f>HYPERLINK("http://www.twitter.com/NathanBLawrence/status/986520517413883904", "986520517413883904")</f>
        <v/>
      </c>
      <c r="B1642" s="2" t="n">
        <v>43208.34946759259</v>
      </c>
      <c r="C1642" t="n">
        <v>0</v>
      </c>
      <c r="D1642" t="n">
        <v>5</v>
      </c>
      <c r="E1642" t="s">
        <v>1648</v>
      </c>
      <c r="F1642" t="s"/>
      <c r="G1642" t="s"/>
      <c r="H1642" t="s"/>
      <c r="I1642" t="s"/>
      <c r="J1642" t="n">
        <v>0.3382</v>
      </c>
      <c r="K1642" t="n">
        <v>0</v>
      </c>
      <c r="L1642" t="n">
        <v>0.893</v>
      </c>
      <c r="M1642" t="n">
        <v>0.107</v>
      </c>
    </row>
    <row r="1643" spans="1:13">
      <c r="A1643" s="1">
        <f>HYPERLINK("http://www.twitter.com/NathanBLawrence/status/986520401353330688", "986520401353330688")</f>
        <v/>
      </c>
      <c r="B1643" s="2" t="n">
        <v>43208.34915509259</v>
      </c>
      <c r="C1643" t="n">
        <v>0</v>
      </c>
      <c r="D1643" t="n">
        <v>4</v>
      </c>
      <c r="E1643" t="s">
        <v>1649</v>
      </c>
      <c r="F1643" t="s"/>
      <c r="G1643" t="s"/>
      <c r="H1643" t="s"/>
      <c r="I1643" t="s"/>
      <c r="J1643" t="n">
        <v>-0.296</v>
      </c>
      <c r="K1643" t="n">
        <v>0.147</v>
      </c>
      <c r="L1643" t="n">
        <v>0.754</v>
      </c>
      <c r="M1643" t="n">
        <v>0.099</v>
      </c>
    </row>
    <row r="1644" spans="1:13">
      <c r="A1644" s="1">
        <f>HYPERLINK("http://www.twitter.com/NathanBLawrence/status/986520369464008704", "986520369464008704")</f>
        <v/>
      </c>
      <c r="B1644" s="2" t="n">
        <v>43208.3490625</v>
      </c>
      <c r="C1644" t="n">
        <v>0</v>
      </c>
      <c r="D1644" t="n">
        <v>4</v>
      </c>
      <c r="E1644" t="s">
        <v>1650</v>
      </c>
      <c r="F1644" t="s"/>
      <c r="G1644" t="s"/>
      <c r="H1644" t="s"/>
      <c r="I1644" t="s"/>
      <c r="J1644" t="n">
        <v>-0.1779</v>
      </c>
      <c r="K1644" t="n">
        <v>0.13</v>
      </c>
      <c r="L1644" t="n">
        <v>0.769</v>
      </c>
      <c r="M1644" t="n">
        <v>0.101</v>
      </c>
    </row>
    <row r="1645" spans="1:13">
      <c r="A1645" s="1">
        <f>HYPERLINK("http://www.twitter.com/NathanBLawrence/status/986519888809332736", "986519888809332736")</f>
        <v/>
      </c>
      <c r="B1645" s="2" t="n">
        <v>43208.34773148148</v>
      </c>
      <c r="C1645" t="n">
        <v>0</v>
      </c>
      <c r="D1645" t="n">
        <v>20</v>
      </c>
      <c r="E1645" t="s">
        <v>1651</v>
      </c>
      <c r="F1645" t="s"/>
      <c r="G1645" t="s"/>
      <c r="H1645" t="s"/>
      <c r="I1645" t="s"/>
      <c r="J1645" t="n">
        <v>0.7184</v>
      </c>
      <c r="K1645" t="n">
        <v>0</v>
      </c>
      <c r="L1645" t="n">
        <v>0.778</v>
      </c>
      <c r="M1645" t="n">
        <v>0.222</v>
      </c>
    </row>
    <row r="1646" spans="1:13">
      <c r="A1646" s="1">
        <f>HYPERLINK("http://www.twitter.com/NathanBLawrence/status/986449406617686021", "986449406617686021")</f>
        <v/>
      </c>
      <c r="B1646" s="2" t="n">
        <v>43208.15324074074</v>
      </c>
      <c r="C1646" t="n">
        <v>0</v>
      </c>
      <c r="D1646" t="n">
        <v>1</v>
      </c>
      <c r="E1646" t="s">
        <v>1652</v>
      </c>
      <c r="F1646" t="s"/>
      <c r="G1646" t="s"/>
      <c r="H1646" t="s"/>
      <c r="I1646" t="s"/>
      <c r="J1646" t="n">
        <v>-0.4801</v>
      </c>
      <c r="K1646" t="n">
        <v>0.228</v>
      </c>
      <c r="L1646" t="n">
        <v>0.7</v>
      </c>
      <c r="M1646" t="n">
        <v>0.07199999999999999</v>
      </c>
    </row>
    <row r="1647" spans="1:13">
      <c r="A1647" s="1">
        <f>HYPERLINK("http://www.twitter.com/NathanBLawrence/status/986446142689959936", "986446142689959936")</f>
        <v/>
      </c>
      <c r="B1647" s="2" t="n">
        <v>43208.14423611111</v>
      </c>
      <c r="C1647" t="n">
        <v>2</v>
      </c>
      <c r="D1647" t="n">
        <v>1</v>
      </c>
      <c r="E1647" t="s">
        <v>1653</v>
      </c>
      <c r="F1647" t="s"/>
      <c r="G1647" t="s"/>
      <c r="H1647" t="s"/>
      <c r="I1647" t="s"/>
      <c r="J1647" t="n">
        <v>-0.4801</v>
      </c>
      <c r="K1647" t="n">
        <v>0.253</v>
      </c>
      <c r="L1647" t="n">
        <v>0.666</v>
      </c>
      <c r="M1647" t="n">
        <v>0.08</v>
      </c>
    </row>
    <row r="1648" spans="1:13">
      <c r="A1648" s="1">
        <f>HYPERLINK("http://www.twitter.com/NathanBLawrence/status/986440489032396802", "986440489032396802")</f>
        <v/>
      </c>
      <c r="B1648" s="2" t="n">
        <v>43208.12863425926</v>
      </c>
      <c r="C1648" t="n">
        <v>0</v>
      </c>
      <c r="D1648" t="n">
        <v>0</v>
      </c>
      <c r="E1648" t="s">
        <v>1654</v>
      </c>
      <c r="F1648" t="s"/>
      <c r="G1648" t="s"/>
      <c r="H1648" t="s"/>
      <c r="I1648" t="s"/>
      <c r="J1648" t="n">
        <v>-0.296</v>
      </c>
      <c r="K1648" t="n">
        <v>0.046</v>
      </c>
      <c r="L1648" t="n">
        <v>0.954</v>
      </c>
      <c r="M1648" t="n">
        <v>0</v>
      </c>
    </row>
    <row r="1649" spans="1:13">
      <c r="A1649" s="1">
        <f>HYPERLINK("http://www.twitter.com/NathanBLawrence/status/986440149738426370", "986440149738426370")</f>
        <v/>
      </c>
      <c r="B1649" s="2" t="n">
        <v>43208.12769675926</v>
      </c>
      <c r="C1649" t="n">
        <v>0</v>
      </c>
      <c r="D1649" t="n">
        <v>0</v>
      </c>
      <c r="E1649" t="s">
        <v>1655</v>
      </c>
      <c r="F1649" t="s"/>
      <c r="G1649" t="s"/>
      <c r="H1649" t="s"/>
      <c r="I1649" t="s"/>
      <c r="J1649" t="n">
        <v>-0.8555</v>
      </c>
      <c r="K1649" t="n">
        <v>0.183</v>
      </c>
      <c r="L1649" t="n">
        <v>0.8169999999999999</v>
      </c>
      <c r="M1649" t="n">
        <v>0</v>
      </c>
    </row>
    <row r="1650" spans="1:13">
      <c r="A1650" s="1">
        <f>HYPERLINK("http://www.twitter.com/NathanBLawrence/status/986438711570202624", "986438711570202624")</f>
        <v/>
      </c>
      <c r="B1650" s="2" t="n">
        <v>43208.12372685185</v>
      </c>
      <c r="C1650" t="n">
        <v>0</v>
      </c>
      <c r="D1650" t="n">
        <v>1</v>
      </c>
      <c r="E1650" t="s">
        <v>1656</v>
      </c>
      <c r="F1650" t="s"/>
      <c r="G1650" t="s"/>
      <c r="H1650" t="s"/>
      <c r="I1650" t="s"/>
      <c r="J1650" t="n">
        <v>0.6249</v>
      </c>
      <c r="K1650" t="n">
        <v>0</v>
      </c>
      <c r="L1650" t="n">
        <v>0.769</v>
      </c>
      <c r="M1650" t="n">
        <v>0.231</v>
      </c>
    </row>
    <row r="1651" spans="1:13">
      <c r="A1651" s="1">
        <f>HYPERLINK("http://www.twitter.com/NathanBLawrence/status/986438637612085248", "986438637612085248")</f>
        <v/>
      </c>
      <c r="B1651" s="2" t="n">
        <v>43208.12353009259</v>
      </c>
      <c r="C1651" t="n">
        <v>1</v>
      </c>
      <c r="D1651" t="n">
        <v>1</v>
      </c>
      <c r="E1651" t="s">
        <v>1657</v>
      </c>
      <c r="F1651" t="s"/>
      <c r="G1651" t="s"/>
      <c r="H1651" t="s"/>
      <c r="I1651" t="s"/>
      <c r="J1651" t="n">
        <v>0.6249</v>
      </c>
      <c r="K1651" t="n">
        <v>0</v>
      </c>
      <c r="L1651" t="n">
        <v>0.746</v>
      </c>
      <c r="M1651" t="n">
        <v>0.254</v>
      </c>
    </row>
    <row r="1652" spans="1:13">
      <c r="A1652" s="1">
        <f>HYPERLINK("http://www.twitter.com/NathanBLawrence/status/986438180697182208", "986438180697182208")</f>
        <v/>
      </c>
      <c r="B1652" s="2" t="n">
        <v>43208.12226851852</v>
      </c>
      <c r="C1652" t="n">
        <v>0</v>
      </c>
      <c r="D1652" t="n">
        <v>4</v>
      </c>
      <c r="E1652" t="s">
        <v>1658</v>
      </c>
      <c r="F1652" t="s"/>
      <c r="G1652" t="s"/>
      <c r="H1652" t="s"/>
      <c r="I1652" t="s"/>
      <c r="J1652" t="n">
        <v>0</v>
      </c>
      <c r="K1652" t="n">
        <v>0</v>
      </c>
      <c r="L1652" t="n">
        <v>1</v>
      </c>
      <c r="M1652" t="n">
        <v>0</v>
      </c>
    </row>
    <row r="1653" spans="1:13">
      <c r="A1653" s="1">
        <f>HYPERLINK("http://www.twitter.com/NathanBLawrence/status/986438116729700352", "986438116729700352")</f>
        <v/>
      </c>
      <c r="B1653" s="2" t="n">
        <v>43208.12208333334</v>
      </c>
      <c r="C1653" t="n">
        <v>0</v>
      </c>
      <c r="D1653" t="n">
        <v>1</v>
      </c>
      <c r="E1653" t="s">
        <v>1659</v>
      </c>
      <c r="F1653" t="s"/>
      <c r="G1653" t="s"/>
      <c r="H1653" t="s"/>
      <c r="I1653" t="s"/>
      <c r="J1653" t="n">
        <v>-0.3818</v>
      </c>
      <c r="K1653" t="n">
        <v>0.167</v>
      </c>
      <c r="L1653" t="n">
        <v>0.833</v>
      </c>
      <c r="M1653" t="n">
        <v>0</v>
      </c>
    </row>
    <row r="1654" spans="1:13">
      <c r="A1654" s="1">
        <f>HYPERLINK("http://www.twitter.com/NathanBLawrence/status/986438086195367938", "986438086195367938")</f>
        <v/>
      </c>
      <c r="B1654" s="2" t="n">
        <v>43208.12200231481</v>
      </c>
      <c r="C1654" t="n">
        <v>0</v>
      </c>
      <c r="D1654" t="n">
        <v>4</v>
      </c>
      <c r="E1654" t="s">
        <v>1660</v>
      </c>
      <c r="F1654" t="s"/>
      <c r="G1654" t="s"/>
      <c r="H1654" t="s"/>
      <c r="I1654" t="s"/>
      <c r="J1654" t="n">
        <v>-0.34</v>
      </c>
      <c r="K1654" t="n">
        <v>0.103</v>
      </c>
      <c r="L1654" t="n">
        <v>0.897</v>
      </c>
      <c r="M1654" t="n">
        <v>0</v>
      </c>
    </row>
    <row r="1655" spans="1:13">
      <c r="A1655" s="1">
        <f>HYPERLINK("http://www.twitter.com/NathanBLawrence/status/986434989339398144", "986434989339398144")</f>
        <v/>
      </c>
      <c r="B1655" s="2" t="n">
        <v>43208.11346064815</v>
      </c>
      <c r="C1655" t="n">
        <v>0</v>
      </c>
      <c r="D1655" t="n">
        <v>1</v>
      </c>
      <c r="E1655" t="s">
        <v>1661</v>
      </c>
      <c r="F1655" t="s"/>
      <c r="G1655" t="s"/>
      <c r="H1655" t="s"/>
      <c r="I1655" t="s"/>
      <c r="J1655" t="n">
        <v>0</v>
      </c>
      <c r="K1655" t="n">
        <v>0</v>
      </c>
      <c r="L1655" t="n">
        <v>1</v>
      </c>
      <c r="M1655" t="n">
        <v>0</v>
      </c>
    </row>
    <row r="1656" spans="1:13">
      <c r="A1656" s="1">
        <f>HYPERLINK("http://www.twitter.com/NathanBLawrence/status/986434943470403584", "986434943470403584")</f>
        <v/>
      </c>
      <c r="B1656" s="2" t="n">
        <v>43208.11333333333</v>
      </c>
      <c r="C1656" t="n">
        <v>0</v>
      </c>
      <c r="D1656" t="n">
        <v>1</v>
      </c>
      <c r="E1656" t="s">
        <v>1662</v>
      </c>
      <c r="F1656" t="s"/>
      <c r="G1656" t="s"/>
      <c r="H1656" t="s"/>
      <c r="I1656" t="s"/>
      <c r="J1656" t="n">
        <v>0</v>
      </c>
      <c r="K1656" t="n">
        <v>0</v>
      </c>
      <c r="L1656" t="n">
        <v>1</v>
      </c>
      <c r="M1656" t="n">
        <v>0</v>
      </c>
    </row>
    <row r="1657" spans="1:13">
      <c r="A1657" s="1">
        <f>HYPERLINK("http://www.twitter.com/NathanBLawrence/status/986432447830257669", "986432447830257669")</f>
        <v/>
      </c>
      <c r="B1657" s="2" t="n">
        <v>43208.10644675926</v>
      </c>
      <c r="C1657" t="n">
        <v>0</v>
      </c>
      <c r="D1657" t="n">
        <v>1</v>
      </c>
      <c r="E1657" t="s">
        <v>1663</v>
      </c>
      <c r="F1657" t="s"/>
      <c r="G1657" t="s"/>
      <c r="H1657" t="s"/>
      <c r="I1657" t="s"/>
      <c r="J1657" t="n">
        <v>0</v>
      </c>
      <c r="K1657" t="n">
        <v>0</v>
      </c>
      <c r="L1657" t="n">
        <v>1</v>
      </c>
      <c r="M1657" t="n">
        <v>0</v>
      </c>
    </row>
    <row r="1658" spans="1:13">
      <c r="A1658" s="1">
        <f>HYPERLINK("http://www.twitter.com/NathanBLawrence/status/986432391664361473", "986432391664361473")</f>
        <v/>
      </c>
      <c r="B1658" s="2" t="n">
        <v>43208.10628472222</v>
      </c>
      <c r="C1658" t="n">
        <v>1</v>
      </c>
      <c r="D1658" t="n">
        <v>1</v>
      </c>
      <c r="E1658" t="s">
        <v>1664</v>
      </c>
      <c r="F1658" t="s"/>
      <c r="G1658" t="s"/>
      <c r="H1658" t="s"/>
      <c r="I1658" t="s"/>
      <c r="J1658" t="n">
        <v>0</v>
      </c>
      <c r="K1658" t="n">
        <v>0</v>
      </c>
      <c r="L1658" t="n">
        <v>1</v>
      </c>
      <c r="M1658" t="n">
        <v>0</v>
      </c>
    </row>
    <row r="1659" spans="1:13">
      <c r="A1659" s="1">
        <f>HYPERLINK("http://www.twitter.com/NathanBLawrence/status/986418905752260608", "986418905752260608")</f>
        <v/>
      </c>
      <c r="B1659" s="2" t="n">
        <v>43208.06907407408</v>
      </c>
      <c r="C1659" t="n">
        <v>0</v>
      </c>
      <c r="D1659" t="n">
        <v>1</v>
      </c>
      <c r="E1659" t="s">
        <v>1665</v>
      </c>
      <c r="F1659" t="s"/>
      <c r="G1659" t="s"/>
      <c r="H1659" t="s"/>
      <c r="I1659" t="s"/>
      <c r="J1659" t="n">
        <v>0.2714</v>
      </c>
      <c r="K1659" t="n">
        <v>0.112</v>
      </c>
      <c r="L1659" t="n">
        <v>0.71</v>
      </c>
      <c r="M1659" t="n">
        <v>0.177</v>
      </c>
    </row>
    <row r="1660" spans="1:13">
      <c r="A1660" s="1">
        <f>HYPERLINK("http://www.twitter.com/NathanBLawrence/status/986416755571679232", "986416755571679232")</f>
        <v/>
      </c>
      <c r="B1660" s="2" t="n">
        <v>43208.06313657408</v>
      </c>
      <c r="C1660" t="n">
        <v>0</v>
      </c>
      <c r="D1660" t="n">
        <v>1</v>
      </c>
      <c r="E1660" t="s">
        <v>1666</v>
      </c>
      <c r="F1660" t="s"/>
      <c r="G1660" t="s"/>
      <c r="H1660" t="s"/>
      <c r="I1660" t="s"/>
      <c r="J1660" t="n">
        <v>0.2714</v>
      </c>
      <c r="K1660" t="n">
        <v>0.128</v>
      </c>
      <c r="L1660" t="n">
        <v>0.672</v>
      </c>
      <c r="M1660" t="n">
        <v>0.201</v>
      </c>
    </row>
    <row r="1661" spans="1:13">
      <c r="A1661" s="1">
        <f>HYPERLINK("http://www.twitter.com/NathanBLawrence/status/986413464481665025", "986413464481665025")</f>
        <v/>
      </c>
      <c r="B1661" s="2" t="n">
        <v>43208.0540625</v>
      </c>
      <c r="C1661" t="n">
        <v>0</v>
      </c>
      <c r="D1661" t="n">
        <v>15</v>
      </c>
      <c r="E1661" t="s">
        <v>1667</v>
      </c>
      <c r="F1661" t="s"/>
      <c r="G1661" t="s"/>
      <c r="H1661" t="s"/>
      <c r="I1661" t="s"/>
      <c r="J1661" t="n">
        <v>0.507</v>
      </c>
      <c r="K1661" t="n">
        <v>0.115</v>
      </c>
      <c r="L1661" t="n">
        <v>0.698</v>
      </c>
      <c r="M1661" t="n">
        <v>0.187</v>
      </c>
    </row>
    <row r="1662" spans="1:13">
      <c r="A1662" s="1">
        <f>HYPERLINK("http://www.twitter.com/NathanBLawrence/status/986413439882088448", "986413439882088448")</f>
        <v/>
      </c>
      <c r="B1662" s="2" t="n">
        <v>43208.05399305555</v>
      </c>
      <c r="C1662" t="n">
        <v>21</v>
      </c>
      <c r="D1662" t="n">
        <v>15</v>
      </c>
      <c r="E1662" t="s">
        <v>1668</v>
      </c>
      <c r="F1662" t="s"/>
      <c r="G1662" t="s"/>
      <c r="H1662" t="s"/>
      <c r="I1662" t="s"/>
      <c r="J1662" t="n">
        <v>0.507</v>
      </c>
      <c r="K1662" t="n">
        <v>0.08</v>
      </c>
      <c r="L1662" t="n">
        <v>0.791</v>
      </c>
      <c r="M1662" t="n">
        <v>0.13</v>
      </c>
    </row>
    <row r="1663" spans="1:13">
      <c r="A1663" s="1">
        <f>HYPERLINK("http://www.twitter.com/NathanBLawrence/status/986412776292798465", "986412776292798465")</f>
        <v/>
      </c>
      <c r="B1663" s="2" t="n">
        <v>43208.05216435185</v>
      </c>
      <c r="C1663" t="n">
        <v>0</v>
      </c>
      <c r="D1663" t="n">
        <v>6</v>
      </c>
      <c r="E1663" t="s">
        <v>1669</v>
      </c>
      <c r="F1663">
        <f>HYPERLINK("http://pbs.twimg.com/media/DbBw7mPW4AAScwf.jpg", "http://pbs.twimg.com/media/DbBw7mPW4AAScwf.jpg")</f>
        <v/>
      </c>
      <c r="G1663" t="s"/>
      <c r="H1663" t="s"/>
      <c r="I1663" t="s"/>
      <c r="J1663" t="n">
        <v>0.9098000000000001</v>
      </c>
      <c r="K1663" t="n">
        <v>0</v>
      </c>
      <c r="L1663" t="n">
        <v>0.61</v>
      </c>
      <c r="M1663" t="n">
        <v>0.39</v>
      </c>
    </row>
    <row r="1664" spans="1:13">
      <c r="A1664" s="1">
        <f>HYPERLINK("http://www.twitter.com/NathanBLawrence/status/986412143221379073", "986412143221379073")</f>
        <v/>
      </c>
      <c r="B1664" s="2" t="n">
        <v>43208.05041666667</v>
      </c>
      <c r="C1664" t="n">
        <v>0</v>
      </c>
      <c r="D1664" t="n">
        <v>0</v>
      </c>
      <c r="E1664" t="s">
        <v>1670</v>
      </c>
      <c r="F1664" t="s"/>
      <c r="G1664" t="s"/>
      <c r="H1664" t="s"/>
      <c r="I1664" t="s"/>
      <c r="J1664" t="n">
        <v>0</v>
      </c>
      <c r="K1664" t="n">
        <v>0</v>
      </c>
      <c r="L1664" t="n">
        <v>1</v>
      </c>
      <c r="M1664" t="n">
        <v>0</v>
      </c>
    </row>
    <row r="1665" spans="1:13">
      <c r="A1665" s="1">
        <f>HYPERLINK("http://www.twitter.com/NathanBLawrence/status/986408897270427648", "986408897270427648")</f>
        <v/>
      </c>
      <c r="B1665" s="2" t="n">
        <v>43208.04145833333</v>
      </c>
      <c r="C1665" t="n">
        <v>0</v>
      </c>
      <c r="D1665" t="n">
        <v>7</v>
      </c>
      <c r="E1665" t="s">
        <v>1671</v>
      </c>
      <c r="F1665" t="s"/>
      <c r="G1665" t="s"/>
      <c r="H1665" t="s"/>
      <c r="I1665" t="s"/>
      <c r="J1665" t="n">
        <v>-0.9125</v>
      </c>
      <c r="K1665" t="n">
        <v>0.336</v>
      </c>
      <c r="L1665" t="n">
        <v>0.664</v>
      </c>
      <c r="M1665" t="n">
        <v>0</v>
      </c>
    </row>
    <row r="1666" spans="1:13">
      <c r="A1666" s="1">
        <f>HYPERLINK("http://www.twitter.com/NathanBLawrence/status/986408863133028352", "986408863133028352")</f>
        <v/>
      </c>
      <c r="B1666" s="2" t="n">
        <v>43208.04136574074</v>
      </c>
      <c r="C1666" t="n">
        <v>7</v>
      </c>
      <c r="D1666" t="n">
        <v>7</v>
      </c>
      <c r="E1666" t="s">
        <v>1672</v>
      </c>
      <c r="F1666" t="s"/>
      <c r="G1666" t="s"/>
      <c r="H1666" t="s"/>
      <c r="I1666" t="s"/>
      <c r="J1666" t="n">
        <v>-0.9498</v>
      </c>
      <c r="K1666" t="n">
        <v>0.352</v>
      </c>
      <c r="L1666" t="n">
        <v>0.648</v>
      </c>
      <c r="M1666" t="n">
        <v>0</v>
      </c>
    </row>
    <row r="1667" spans="1:13">
      <c r="A1667" s="1">
        <f>HYPERLINK("http://www.twitter.com/NathanBLawrence/status/986408213011730434", "986408213011730434")</f>
        <v/>
      </c>
      <c r="B1667" s="2" t="n">
        <v>43208.03957175926</v>
      </c>
      <c r="C1667" t="n">
        <v>0</v>
      </c>
      <c r="D1667" t="n">
        <v>6</v>
      </c>
      <c r="E1667" t="s">
        <v>1673</v>
      </c>
      <c r="F1667" t="s"/>
      <c r="G1667" t="s"/>
      <c r="H1667" t="s"/>
      <c r="I1667" t="s"/>
      <c r="J1667" t="n">
        <v>-0.2023</v>
      </c>
      <c r="K1667" t="n">
        <v>0.125</v>
      </c>
      <c r="L1667" t="n">
        <v>0.781</v>
      </c>
      <c r="M1667" t="n">
        <v>0.094</v>
      </c>
    </row>
    <row r="1668" spans="1:13">
      <c r="A1668" s="1">
        <f>HYPERLINK("http://www.twitter.com/NathanBLawrence/status/986408111798878208", "986408111798878208")</f>
        <v/>
      </c>
      <c r="B1668" s="2" t="n">
        <v>43208.03929398148</v>
      </c>
      <c r="C1668" t="n">
        <v>6</v>
      </c>
      <c r="D1668" t="n">
        <v>6</v>
      </c>
      <c r="E1668" t="s">
        <v>1674</v>
      </c>
      <c r="F1668" t="s"/>
      <c r="G1668" t="s"/>
      <c r="H1668" t="s"/>
      <c r="I1668" t="s"/>
      <c r="J1668" t="n">
        <v>-0.2617</v>
      </c>
      <c r="K1668" t="n">
        <v>0.142</v>
      </c>
      <c r="L1668" t="n">
        <v>0.757</v>
      </c>
      <c r="M1668" t="n">
        <v>0.102</v>
      </c>
    </row>
    <row r="1669" spans="1:13">
      <c r="A1669" s="1">
        <f>HYPERLINK("http://www.twitter.com/NathanBLawrence/status/986406667729428480", "986406667729428480")</f>
        <v/>
      </c>
      <c r="B1669" s="2" t="n">
        <v>43208.03530092593</v>
      </c>
      <c r="C1669" t="n">
        <v>0</v>
      </c>
      <c r="D1669" t="n">
        <v>565</v>
      </c>
      <c r="E1669" t="s">
        <v>1675</v>
      </c>
      <c r="F1669" t="s"/>
      <c r="G1669" t="s"/>
      <c r="H1669" t="s"/>
      <c r="I1669" t="s"/>
      <c r="J1669" t="n">
        <v>0.2001</v>
      </c>
      <c r="K1669" t="n">
        <v>0</v>
      </c>
      <c r="L1669" t="n">
        <v>0.883</v>
      </c>
      <c r="M1669" t="n">
        <v>0.117</v>
      </c>
    </row>
    <row r="1670" spans="1:13">
      <c r="A1670" s="1">
        <f>HYPERLINK("http://www.twitter.com/NathanBLawrence/status/986406589895774208", "986406589895774208")</f>
        <v/>
      </c>
      <c r="B1670" s="2" t="n">
        <v>43208.0350925926</v>
      </c>
      <c r="C1670" t="n">
        <v>13</v>
      </c>
      <c r="D1670" t="n">
        <v>9</v>
      </c>
      <c r="E1670" t="s">
        <v>1676</v>
      </c>
      <c r="F1670" t="s"/>
      <c r="G1670" t="s"/>
      <c r="H1670" t="s"/>
      <c r="I1670" t="s"/>
      <c r="J1670" t="n">
        <v>0.8773</v>
      </c>
      <c r="K1670" t="n">
        <v>0.049</v>
      </c>
      <c r="L1670" t="n">
        <v>0.696</v>
      </c>
      <c r="M1670" t="n">
        <v>0.255</v>
      </c>
    </row>
    <row r="1671" spans="1:13">
      <c r="A1671" s="1">
        <f>HYPERLINK("http://www.twitter.com/NathanBLawrence/status/986396484970180608", "986396484970180608")</f>
        <v/>
      </c>
      <c r="B1671" s="2" t="n">
        <v>43208.00721064815</v>
      </c>
      <c r="C1671" t="n">
        <v>0</v>
      </c>
      <c r="D1671" t="n">
        <v>44</v>
      </c>
      <c r="E1671" t="s">
        <v>1677</v>
      </c>
      <c r="F1671" t="s"/>
      <c r="G1671" t="s"/>
      <c r="H1671" t="s"/>
      <c r="I1671" t="s"/>
      <c r="J1671" t="n">
        <v>0</v>
      </c>
      <c r="K1671" t="n">
        <v>0</v>
      </c>
      <c r="L1671" t="n">
        <v>1</v>
      </c>
      <c r="M1671" t="n">
        <v>0</v>
      </c>
    </row>
    <row r="1672" spans="1:13">
      <c r="A1672" s="1">
        <f>HYPERLINK("http://www.twitter.com/NathanBLawrence/status/986387039917572096", "986387039917572096")</f>
        <v/>
      </c>
      <c r="B1672" s="2" t="n">
        <v>43207.98114583334</v>
      </c>
      <c r="C1672" t="n">
        <v>0</v>
      </c>
      <c r="D1672" t="n">
        <v>1</v>
      </c>
      <c r="E1672" t="s">
        <v>1678</v>
      </c>
      <c r="F1672" t="s"/>
      <c r="G1672" t="s"/>
      <c r="H1672" t="s"/>
      <c r="I1672" t="s"/>
      <c r="J1672" t="n">
        <v>0</v>
      </c>
      <c r="K1672" t="n">
        <v>0</v>
      </c>
      <c r="L1672" t="n">
        <v>1</v>
      </c>
      <c r="M1672" t="n">
        <v>0</v>
      </c>
    </row>
    <row r="1673" spans="1:13">
      <c r="A1673" s="1">
        <f>HYPERLINK("http://www.twitter.com/NathanBLawrence/status/986376315321405442", "986376315321405442")</f>
        <v/>
      </c>
      <c r="B1673" s="2" t="n">
        <v>43207.95155092593</v>
      </c>
      <c r="C1673" t="n">
        <v>0</v>
      </c>
      <c r="D1673" t="n">
        <v>1</v>
      </c>
      <c r="E1673" t="s">
        <v>1679</v>
      </c>
      <c r="F1673" t="s"/>
      <c r="G1673" t="s"/>
      <c r="H1673" t="s"/>
      <c r="I1673" t="s"/>
      <c r="J1673" t="n">
        <v>0</v>
      </c>
      <c r="K1673" t="n">
        <v>0</v>
      </c>
      <c r="L1673" t="n">
        <v>1</v>
      </c>
      <c r="M1673" t="n">
        <v>0</v>
      </c>
    </row>
    <row r="1674" spans="1:13">
      <c r="A1674" s="1">
        <f>HYPERLINK("http://www.twitter.com/NathanBLawrence/status/986375163917848576", "986375163917848576")</f>
        <v/>
      </c>
      <c r="B1674" s="2" t="n">
        <v>43207.94836805556</v>
      </c>
      <c r="C1674" t="n">
        <v>1</v>
      </c>
      <c r="D1674" t="n">
        <v>1</v>
      </c>
      <c r="E1674" t="s">
        <v>1680</v>
      </c>
      <c r="F1674" t="s"/>
      <c r="G1674" t="s"/>
      <c r="H1674" t="s"/>
      <c r="I1674" t="s"/>
      <c r="J1674" t="n">
        <v>0</v>
      </c>
      <c r="K1674" t="n">
        <v>0</v>
      </c>
      <c r="L1674" t="n">
        <v>1</v>
      </c>
      <c r="M1674" t="n">
        <v>0</v>
      </c>
    </row>
    <row r="1675" spans="1:13">
      <c r="A1675" s="1">
        <f>HYPERLINK("http://www.twitter.com/NathanBLawrence/status/986357569097818112", "986357569097818112")</f>
        <v/>
      </c>
      <c r="B1675" s="2" t="n">
        <v>43207.89981481482</v>
      </c>
      <c r="C1675" t="n">
        <v>0</v>
      </c>
      <c r="D1675" t="n">
        <v>1</v>
      </c>
      <c r="E1675" t="s">
        <v>1681</v>
      </c>
      <c r="F1675" t="s"/>
      <c r="G1675" t="s"/>
      <c r="H1675" t="s"/>
      <c r="I1675" t="s"/>
      <c r="J1675" t="n">
        <v>0.6908</v>
      </c>
      <c r="K1675" t="n">
        <v>0</v>
      </c>
      <c r="L1675" t="n">
        <v>0.787</v>
      </c>
      <c r="M1675" t="n">
        <v>0.213</v>
      </c>
    </row>
    <row r="1676" spans="1:13">
      <c r="A1676" s="1">
        <f>HYPERLINK("http://www.twitter.com/NathanBLawrence/status/986345926561357824", "986345926561357824")</f>
        <v/>
      </c>
      <c r="B1676" s="2" t="n">
        <v>43207.86768518519</v>
      </c>
      <c r="C1676" t="n">
        <v>4</v>
      </c>
      <c r="D1676" t="n">
        <v>0</v>
      </c>
      <c r="E1676" t="s">
        <v>1682</v>
      </c>
      <c r="F1676" t="s"/>
      <c r="G1676" t="s"/>
      <c r="H1676" t="s"/>
      <c r="I1676" t="s"/>
      <c r="J1676" t="n">
        <v>-0.5423</v>
      </c>
      <c r="K1676" t="n">
        <v>0.241</v>
      </c>
      <c r="L1676" t="n">
        <v>0.759</v>
      </c>
      <c r="M1676" t="n">
        <v>0</v>
      </c>
    </row>
    <row r="1677" spans="1:13">
      <c r="A1677" s="1">
        <f>HYPERLINK("http://www.twitter.com/NathanBLawrence/status/986345696990253056", "986345696990253056")</f>
        <v/>
      </c>
      <c r="B1677" s="2" t="n">
        <v>43207.86706018518</v>
      </c>
      <c r="C1677" t="n">
        <v>0</v>
      </c>
      <c r="D1677" t="n">
        <v>0</v>
      </c>
      <c r="E1677" t="s">
        <v>1683</v>
      </c>
      <c r="F1677" t="s"/>
      <c r="G1677" t="s"/>
      <c r="H1677" t="s"/>
      <c r="I1677" t="s"/>
      <c r="J1677" t="n">
        <v>0</v>
      </c>
      <c r="K1677" t="n">
        <v>0</v>
      </c>
      <c r="L1677" t="n">
        <v>1</v>
      </c>
      <c r="M1677" t="n">
        <v>0</v>
      </c>
    </row>
    <row r="1678" spans="1:13">
      <c r="A1678" s="1">
        <f>HYPERLINK("http://www.twitter.com/NathanBLawrence/status/986345595282558977", "986345595282558977")</f>
        <v/>
      </c>
      <c r="B1678" s="2" t="n">
        <v>43207.86677083333</v>
      </c>
      <c r="C1678" t="n">
        <v>0</v>
      </c>
      <c r="D1678" t="n">
        <v>1</v>
      </c>
      <c r="E1678" t="s">
        <v>1684</v>
      </c>
      <c r="F1678">
        <f>HYPERLINK("http://pbs.twimg.com/media/DbAxgFKWsAEuNTr.jpg", "http://pbs.twimg.com/media/DbAxgFKWsAEuNTr.jpg")</f>
        <v/>
      </c>
      <c r="G1678" t="s"/>
      <c r="H1678" t="s"/>
      <c r="I1678" t="s"/>
      <c r="J1678" t="n">
        <v>0</v>
      </c>
      <c r="K1678" t="n">
        <v>0</v>
      </c>
      <c r="L1678" t="n">
        <v>1</v>
      </c>
      <c r="M1678" t="n">
        <v>0</v>
      </c>
    </row>
    <row r="1679" spans="1:13">
      <c r="A1679" s="1">
        <f>HYPERLINK("http://www.twitter.com/NathanBLawrence/status/986344792111157249", "986344792111157249")</f>
        <v/>
      </c>
      <c r="B1679" s="2" t="n">
        <v>43207.86456018518</v>
      </c>
      <c r="C1679" t="n">
        <v>0</v>
      </c>
      <c r="D1679" t="n">
        <v>2</v>
      </c>
      <c r="E1679" t="s">
        <v>1685</v>
      </c>
      <c r="F1679" t="s"/>
      <c r="G1679" t="s"/>
      <c r="H1679" t="s"/>
      <c r="I1679" t="s"/>
      <c r="J1679" t="n">
        <v>0</v>
      </c>
      <c r="K1679" t="n">
        <v>0</v>
      </c>
      <c r="L1679" t="n">
        <v>1</v>
      </c>
      <c r="M1679" t="n">
        <v>0</v>
      </c>
    </row>
    <row r="1680" spans="1:13">
      <c r="A1680" s="1">
        <f>HYPERLINK("http://www.twitter.com/NathanBLawrence/status/986317414609620992", "986317414609620992")</f>
        <v/>
      </c>
      <c r="B1680" s="2" t="n">
        <v>43207.7890162037</v>
      </c>
      <c r="C1680" t="n">
        <v>0</v>
      </c>
      <c r="D1680" t="n">
        <v>6</v>
      </c>
      <c r="E1680" t="s">
        <v>1686</v>
      </c>
      <c r="F1680">
        <f>HYPERLINK("http://pbs.twimg.com/media/DbAaFWkU8AA-s2A.jpg", "http://pbs.twimg.com/media/DbAaFWkU8AA-s2A.jpg")</f>
        <v/>
      </c>
      <c r="G1680" t="s"/>
      <c r="H1680" t="s"/>
      <c r="I1680" t="s"/>
      <c r="J1680" t="n">
        <v>0.8302</v>
      </c>
      <c r="K1680" t="n">
        <v>0</v>
      </c>
      <c r="L1680" t="n">
        <v>0.673</v>
      </c>
      <c r="M1680" t="n">
        <v>0.327</v>
      </c>
    </row>
    <row r="1681" spans="1:13">
      <c r="A1681" s="1">
        <f>HYPERLINK("http://www.twitter.com/NathanBLawrence/status/986316586792480773", "986316586792480773")</f>
        <v/>
      </c>
      <c r="B1681" s="2" t="n">
        <v>43207.78672453704</v>
      </c>
      <c r="C1681" t="n">
        <v>0</v>
      </c>
      <c r="D1681" t="n">
        <v>18</v>
      </c>
      <c r="E1681" t="s">
        <v>1687</v>
      </c>
      <c r="F1681">
        <f>HYPERLINK("http://pbs.twimg.com/media/DbAZOmZXUAIdnQI.jpg", "http://pbs.twimg.com/media/DbAZOmZXUAIdnQI.jpg")</f>
        <v/>
      </c>
      <c r="G1681" t="s"/>
      <c r="H1681" t="s"/>
      <c r="I1681" t="s"/>
      <c r="J1681" t="n">
        <v>-0.3612</v>
      </c>
      <c r="K1681" t="n">
        <v>0.102</v>
      </c>
      <c r="L1681" t="n">
        <v>0.898</v>
      </c>
      <c r="M1681" t="n">
        <v>0</v>
      </c>
    </row>
    <row r="1682" spans="1:13">
      <c r="A1682" s="1">
        <f>HYPERLINK("http://www.twitter.com/NathanBLawrence/status/986315440451457024", "986315440451457024")</f>
        <v/>
      </c>
      <c r="B1682" s="2" t="n">
        <v>43207.78356481482</v>
      </c>
      <c r="C1682" t="n">
        <v>0</v>
      </c>
      <c r="D1682" t="n">
        <v>3</v>
      </c>
      <c r="E1682" t="s">
        <v>1688</v>
      </c>
      <c r="F1682" t="s"/>
      <c r="G1682" t="s"/>
      <c r="H1682" t="s"/>
      <c r="I1682" t="s"/>
      <c r="J1682" t="n">
        <v>0.128</v>
      </c>
      <c r="K1682" t="n">
        <v>0.123</v>
      </c>
      <c r="L1682" t="n">
        <v>0.731</v>
      </c>
      <c r="M1682" t="n">
        <v>0.146</v>
      </c>
    </row>
    <row r="1683" spans="1:13">
      <c r="A1683" s="1">
        <f>HYPERLINK("http://www.twitter.com/NathanBLawrence/status/986315358729629697", "986315358729629697")</f>
        <v/>
      </c>
      <c r="B1683" s="2" t="n">
        <v>43207.78334490741</v>
      </c>
      <c r="C1683" t="n">
        <v>3</v>
      </c>
      <c r="D1683" t="n">
        <v>3</v>
      </c>
      <c r="E1683" t="s">
        <v>1689</v>
      </c>
      <c r="F1683" t="s"/>
      <c r="G1683" t="s"/>
      <c r="H1683" t="s"/>
      <c r="I1683" t="s"/>
      <c r="J1683" t="n">
        <v>-0.6249</v>
      </c>
      <c r="K1683" t="n">
        <v>0.191</v>
      </c>
      <c r="L1683" t="n">
        <v>0.736</v>
      </c>
      <c r="M1683" t="n">
        <v>0.074</v>
      </c>
    </row>
    <row r="1684" spans="1:13">
      <c r="A1684" s="1">
        <f>HYPERLINK("http://www.twitter.com/NathanBLawrence/status/986313969504804865", "986313969504804865")</f>
        <v/>
      </c>
      <c r="B1684" s="2" t="n">
        <v>43207.77950231481</v>
      </c>
      <c r="C1684" t="n">
        <v>0</v>
      </c>
      <c r="D1684" t="n">
        <v>2</v>
      </c>
      <c r="E1684" t="s">
        <v>1690</v>
      </c>
      <c r="F1684" t="s"/>
      <c r="G1684" t="s"/>
      <c r="H1684" t="s"/>
      <c r="I1684" t="s"/>
      <c r="J1684" t="n">
        <v>0</v>
      </c>
      <c r="K1684" t="n">
        <v>0</v>
      </c>
      <c r="L1684" t="n">
        <v>1</v>
      </c>
      <c r="M1684" t="n">
        <v>0</v>
      </c>
    </row>
    <row r="1685" spans="1:13">
      <c r="A1685" s="1">
        <f>HYPERLINK("http://www.twitter.com/NathanBLawrence/status/986313797060186113", "986313797060186113")</f>
        <v/>
      </c>
      <c r="B1685" s="2" t="n">
        <v>43207.77902777777</v>
      </c>
      <c r="C1685" t="n">
        <v>3</v>
      </c>
      <c r="D1685" t="n">
        <v>2</v>
      </c>
      <c r="E1685" t="s">
        <v>1691</v>
      </c>
      <c r="F1685" t="s"/>
      <c r="G1685" t="s"/>
      <c r="H1685" t="s"/>
      <c r="I1685" t="s"/>
      <c r="J1685" t="n">
        <v>0</v>
      </c>
      <c r="K1685" t="n">
        <v>0</v>
      </c>
      <c r="L1685" t="n">
        <v>1</v>
      </c>
      <c r="M1685" t="n">
        <v>0</v>
      </c>
    </row>
    <row r="1686" spans="1:13">
      <c r="A1686" s="1">
        <f>HYPERLINK("http://www.twitter.com/NathanBLawrence/status/986312740422733825", "986312740422733825")</f>
        <v/>
      </c>
      <c r="B1686" s="2" t="n">
        <v>43207.77611111111</v>
      </c>
      <c r="C1686" t="n">
        <v>0</v>
      </c>
      <c r="D1686" t="n">
        <v>4</v>
      </c>
      <c r="E1686" t="s">
        <v>1692</v>
      </c>
      <c r="F1686">
        <f>HYPERLINK("http://pbs.twimg.com/media/DbAWEC9UwAA2SCu.jpg", "http://pbs.twimg.com/media/DbAWEC9UwAA2SCu.jpg")</f>
        <v/>
      </c>
      <c r="G1686" t="s"/>
      <c r="H1686" t="s"/>
      <c r="I1686" t="s"/>
      <c r="J1686" t="n">
        <v>0</v>
      </c>
      <c r="K1686" t="n">
        <v>0</v>
      </c>
      <c r="L1686" t="n">
        <v>1</v>
      </c>
      <c r="M1686" t="n">
        <v>0</v>
      </c>
    </row>
    <row r="1687" spans="1:13">
      <c r="A1687" s="1">
        <f>HYPERLINK("http://www.twitter.com/NathanBLawrence/status/986312684881707015", "986312684881707015")</f>
        <v/>
      </c>
      <c r="B1687" s="2" t="n">
        <v>43207.77596064815</v>
      </c>
      <c r="C1687" t="n">
        <v>0</v>
      </c>
      <c r="D1687" t="n">
        <v>17</v>
      </c>
      <c r="E1687" t="s">
        <v>1693</v>
      </c>
      <c r="F1687">
        <f>HYPERLINK("http://pbs.twimg.com/media/DbAWBSHWsAA6OEZ.jpg", "http://pbs.twimg.com/media/DbAWBSHWsAA6OEZ.jpg")</f>
        <v/>
      </c>
      <c r="G1687" t="s"/>
      <c r="H1687" t="s"/>
      <c r="I1687" t="s"/>
      <c r="J1687" t="n">
        <v>0</v>
      </c>
      <c r="K1687" t="n">
        <v>0</v>
      </c>
      <c r="L1687" t="n">
        <v>1</v>
      </c>
      <c r="M1687" t="n">
        <v>0</v>
      </c>
    </row>
    <row r="1688" spans="1:13">
      <c r="A1688" s="1">
        <f>HYPERLINK("http://www.twitter.com/NathanBLawrence/status/986312667127271424", "986312667127271424")</f>
        <v/>
      </c>
      <c r="B1688" s="2" t="n">
        <v>43207.77591435185</v>
      </c>
      <c r="C1688" t="n">
        <v>16</v>
      </c>
      <c r="D1688" t="n">
        <v>17</v>
      </c>
      <c r="E1688" t="s">
        <v>1694</v>
      </c>
      <c r="F1688">
        <f>HYPERLINK("http://pbs.twimg.com/media/DbAWBSHWsAA6OEZ.jpg", "http://pbs.twimg.com/media/DbAWBSHWsAA6OEZ.jpg")</f>
        <v/>
      </c>
      <c r="G1688" t="s"/>
      <c r="H1688" t="s"/>
      <c r="I1688" t="s"/>
      <c r="J1688" t="n">
        <v>0</v>
      </c>
      <c r="K1688" t="n">
        <v>0</v>
      </c>
      <c r="L1688" t="n">
        <v>1</v>
      </c>
      <c r="M1688" t="n">
        <v>0</v>
      </c>
    </row>
    <row r="1689" spans="1:13">
      <c r="A1689" s="1">
        <f>HYPERLINK("http://www.twitter.com/NathanBLawrence/status/986308306363928579", "986308306363928579")</f>
        <v/>
      </c>
      <c r="B1689" s="2" t="n">
        <v>43207.76387731481</v>
      </c>
      <c r="C1689" t="n">
        <v>0</v>
      </c>
      <c r="D1689" t="n">
        <v>13</v>
      </c>
      <c r="E1689" t="s">
        <v>1695</v>
      </c>
      <c r="F1689">
        <f>HYPERLINK("http://pbs.twimg.com/media/DbARwtlW4AAMmsg.jpg", "http://pbs.twimg.com/media/DbARwtlW4AAMmsg.jpg")</f>
        <v/>
      </c>
      <c r="G1689" t="s"/>
      <c r="H1689" t="s"/>
      <c r="I1689" t="s"/>
      <c r="J1689" t="n">
        <v>0</v>
      </c>
      <c r="K1689" t="n">
        <v>0</v>
      </c>
      <c r="L1689" t="n">
        <v>1</v>
      </c>
      <c r="M1689" t="n">
        <v>0</v>
      </c>
    </row>
    <row r="1690" spans="1:13">
      <c r="A1690" s="1">
        <f>HYPERLINK("http://www.twitter.com/NathanBLawrence/status/986306953277329415", "986306953277329415")</f>
        <v/>
      </c>
      <c r="B1690" s="2" t="n">
        <v>43207.76015046296</v>
      </c>
      <c r="C1690" t="n">
        <v>0</v>
      </c>
      <c r="D1690" t="n">
        <v>2</v>
      </c>
      <c r="E1690" t="s">
        <v>1696</v>
      </c>
      <c r="F1690" t="s"/>
      <c r="G1690" t="s"/>
      <c r="H1690" t="s"/>
      <c r="I1690" t="s"/>
      <c r="J1690" t="n">
        <v>0</v>
      </c>
      <c r="K1690" t="n">
        <v>0</v>
      </c>
      <c r="L1690" t="n">
        <v>1</v>
      </c>
      <c r="M1690" t="n">
        <v>0</v>
      </c>
    </row>
    <row r="1691" spans="1:13">
      <c r="A1691" s="1">
        <f>HYPERLINK("http://www.twitter.com/NathanBLawrence/status/986306909992046592", "986306909992046592")</f>
        <v/>
      </c>
      <c r="B1691" s="2" t="n">
        <v>43207.76002314815</v>
      </c>
      <c r="C1691" t="n">
        <v>2</v>
      </c>
      <c r="D1691" t="n">
        <v>2</v>
      </c>
      <c r="E1691" t="s">
        <v>1697</v>
      </c>
      <c r="F1691" t="s"/>
      <c r="G1691" t="s"/>
      <c r="H1691" t="s"/>
      <c r="I1691" t="s"/>
      <c r="J1691" t="n">
        <v>0</v>
      </c>
      <c r="K1691" t="n">
        <v>0</v>
      </c>
      <c r="L1691" t="n">
        <v>1</v>
      </c>
      <c r="M1691" t="n">
        <v>0</v>
      </c>
    </row>
    <row r="1692" spans="1:13">
      <c r="A1692" s="1">
        <f>HYPERLINK("http://www.twitter.com/NathanBLawrence/status/986306438359285765", "986306438359285765")</f>
        <v/>
      </c>
      <c r="B1692" s="2" t="n">
        <v>43207.75872685185</v>
      </c>
      <c r="C1692" t="n">
        <v>0</v>
      </c>
      <c r="D1692" t="n">
        <v>1</v>
      </c>
      <c r="E1692" t="s">
        <v>1698</v>
      </c>
      <c r="F1692" t="s"/>
      <c r="G1692" t="s"/>
      <c r="H1692" t="s"/>
      <c r="I1692" t="s"/>
      <c r="J1692" t="n">
        <v>0.8176</v>
      </c>
      <c r="K1692" t="n">
        <v>0</v>
      </c>
      <c r="L1692" t="n">
        <v>0.605</v>
      </c>
      <c r="M1692" t="n">
        <v>0.395</v>
      </c>
    </row>
    <row r="1693" spans="1:13">
      <c r="A1693" s="1">
        <f>HYPERLINK("http://www.twitter.com/NathanBLawrence/status/986301922276773888", "986301922276773888")</f>
        <v/>
      </c>
      <c r="B1693" s="2" t="n">
        <v>43207.74626157407</v>
      </c>
      <c r="C1693" t="n">
        <v>0</v>
      </c>
      <c r="D1693" t="n">
        <v>2</v>
      </c>
      <c r="E1693" t="s">
        <v>1699</v>
      </c>
      <c r="F1693" t="s"/>
      <c r="G1693" t="s"/>
      <c r="H1693" t="s"/>
      <c r="I1693" t="s"/>
      <c r="J1693" t="n">
        <v>-0.6767</v>
      </c>
      <c r="K1693" t="n">
        <v>0.218</v>
      </c>
      <c r="L1693" t="n">
        <v>0.782</v>
      </c>
      <c r="M1693" t="n">
        <v>0</v>
      </c>
    </row>
    <row r="1694" spans="1:13">
      <c r="A1694" s="1">
        <f>HYPERLINK("http://www.twitter.com/NathanBLawrence/status/986300634444988416", "986300634444988416")</f>
        <v/>
      </c>
      <c r="B1694" s="2" t="n">
        <v>43207.74270833333</v>
      </c>
      <c r="C1694" t="n">
        <v>0</v>
      </c>
      <c r="D1694" t="n">
        <v>2</v>
      </c>
      <c r="E1694" t="s">
        <v>1700</v>
      </c>
      <c r="F1694" t="s"/>
      <c r="G1694" t="s"/>
      <c r="H1694" t="s"/>
      <c r="I1694" t="s"/>
      <c r="J1694" t="n">
        <v>-0.7506</v>
      </c>
      <c r="K1694" t="n">
        <v>0.348</v>
      </c>
      <c r="L1694" t="n">
        <v>0.652</v>
      </c>
      <c r="M1694" t="n">
        <v>0</v>
      </c>
    </row>
    <row r="1695" spans="1:13">
      <c r="A1695" s="1">
        <f>HYPERLINK("http://www.twitter.com/NathanBLawrence/status/986300547832713221", "986300547832713221")</f>
        <v/>
      </c>
      <c r="B1695" s="2" t="n">
        <v>43207.74246527778</v>
      </c>
      <c r="C1695" t="n">
        <v>0</v>
      </c>
      <c r="D1695" t="n">
        <v>15</v>
      </c>
      <c r="E1695" t="s">
        <v>1701</v>
      </c>
      <c r="F1695" t="s"/>
      <c r="G1695" t="s"/>
      <c r="H1695" t="s"/>
      <c r="I1695" t="s"/>
      <c r="J1695" t="n">
        <v>0</v>
      </c>
      <c r="K1695" t="n">
        <v>0</v>
      </c>
      <c r="L1695" t="n">
        <v>1</v>
      </c>
      <c r="M1695" t="n">
        <v>0</v>
      </c>
    </row>
    <row r="1696" spans="1:13">
      <c r="A1696" s="1">
        <f>HYPERLINK("http://www.twitter.com/NathanBLawrence/status/986299649974730753", "986299649974730753")</f>
        <v/>
      </c>
      <c r="B1696" s="2" t="n">
        <v>43207.73998842593</v>
      </c>
      <c r="C1696" t="n">
        <v>17</v>
      </c>
      <c r="D1696" t="n">
        <v>14</v>
      </c>
      <c r="E1696" t="s">
        <v>1702</v>
      </c>
      <c r="F1696" t="s"/>
      <c r="G1696" t="s"/>
      <c r="H1696" t="s"/>
      <c r="I1696" t="s"/>
      <c r="J1696" t="n">
        <v>-0.7783</v>
      </c>
      <c r="K1696" t="n">
        <v>0.171</v>
      </c>
      <c r="L1696" t="n">
        <v>0.788</v>
      </c>
      <c r="M1696" t="n">
        <v>0.041</v>
      </c>
    </row>
    <row r="1697" spans="1:13">
      <c r="A1697" s="1">
        <f>HYPERLINK("http://www.twitter.com/NathanBLawrence/status/986290232541753345", "986290232541753345")</f>
        <v/>
      </c>
      <c r="B1697" s="2" t="n">
        <v>43207.71400462963</v>
      </c>
      <c r="C1697" t="n">
        <v>0</v>
      </c>
      <c r="D1697" t="n">
        <v>13</v>
      </c>
      <c r="E1697" t="s">
        <v>1703</v>
      </c>
      <c r="F1697" t="s"/>
      <c r="G1697" t="s"/>
      <c r="H1697" t="s"/>
      <c r="I1697" t="s"/>
      <c r="J1697" t="n">
        <v>-0.6808</v>
      </c>
      <c r="K1697" t="n">
        <v>0.213</v>
      </c>
      <c r="L1697" t="n">
        <v>0.787</v>
      </c>
      <c r="M1697" t="n">
        <v>0</v>
      </c>
    </row>
    <row r="1698" spans="1:13">
      <c r="A1698" s="1">
        <f>HYPERLINK("http://www.twitter.com/NathanBLawrence/status/986288977643745280", "986288977643745280")</f>
        <v/>
      </c>
      <c r="B1698" s="2" t="n">
        <v>43207.71054398148</v>
      </c>
      <c r="C1698" t="n">
        <v>19</v>
      </c>
      <c r="D1698" t="n">
        <v>13</v>
      </c>
      <c r="E1698" t="s">
        <v>1704</v>
      </c>
      <c r="F1698" t="s"/>
      <c r="G1698" t="s"/>
      <c r="H1698" t="s"/>
      <c r="I1698" t="s"/>
      <c r="J1698" t="n">
        <v>-0.6808</v>
      </c>
      <c r="K1698" t="n">
        <v>0.213</v>
      </c>
      <c r="L1698" t="n">
        <v>0.787</v>
      </c>
      <c r="M1698" t="n">
        <v>0</v>
      </c>
    </row>
    <row r="1699" spans="1:13">
      <c r="A1699" s="1">
        <f>HYPERLINK("http://www.twitter.com/NathanBLawrence/status/986259943446712320", "986259943446712320")</f>
        <v/>
      </c>
      <c r="B1699" s="2" t="n">
        <v>43207.63041666667</v>
      </c>
      <c r="C1699" t="n">
        <v>0</v>
      </c>
      <c r="D1699" t="n">
        <v>3</v>
      </c>
      <c r="E1699" t="s">
        <v>1705</v>
      </c>
      <c r="F1699" t="s"/>
      <c r="G1699" t="s"/>
      <c r="H1699" t="s"/>
      <c r="I1699" t="s"/>
      <c r="J1699" t="n">
        <v>0</v>
      </c>
      <c r="K1699" t="n">
        <v>0</v>
      </c>
      <c r="L1699" t="n">
        <v>1</v>
      </c>
      <c r="M1699" t="n">
        <v>0</v>
      </c>
    </row>
    <row r="1700" spans="1:13">
      <c r="A1700" s="1">
        <f>HYPERLINK("http://www.twitter.com/NathanBLawrence/status/986259182771933187", "986259182771933187")</f>
        <v/>
      </c>
      <c r="B1700" s="2" t="n">
        <v>43207.62832175926</v>
      </c>
      <c r="C1700" t="n">
        <v>8</v>
      </c>
      <c r="D1700" t="n">
        <v>3</v>
      </c>
      <c r="E1700" t="s">
        <v>1706</v>
      </c>
      <c r="F1700" t="s"/>
      <c r="G1700" t="s"/>
      <c r="H1700" t="s"/>
      <c r="I1700" t="s"/>
      <c r="J1700" t="n">
        <v>0</v>
      </c>
      <c r="K1700" t="n">
        <v>0</v>
      </c>
      <c r="L1700" t="n">
        <v>1</v>
      </c>
      <c r="M1700" t="n">
        <v>0</v>
      </c>
    </row>
    <row r="1701" spans="1:13">
      <c r="A1701" s="1">
        <f>HYPERLINK("http://www.twitter.com/NathanBLawrence/status/986257067785773057", "986257067785773057")</f>
        <v/>
      </c>
      <c r="B1701" s="2" t="n">
        <v>43207.62248842593</v>
      </c>
      <c r="C1701" t="n">
        <v>0</v>
      </c>
      <c r="D1701" t="n">
        <v>1</v>
      </c>
      <c r="E1701" t="s">
        <v>1707</v>
      </c>
      <c r="F1701" t="s"/>
      <c r="G1701" t="s"/>
      <c r="H1701" t="s"/>
      <c r="I1701" t="s"/>
      <c r="J1701" t="n">
        <v>0</v>
      </c>
      <c r="K1701" t="n">
        <v>0</v>
      </c>
      <c r="L1701" t="n">
        <v>1</v>
      </c>
      <c r="M1701" t="n">
        <v>0</v>
      </c>
    </row>
    <row r="1702" spans="1:13">
      <c r="A1702" s="1">
        <f>HYPERLINK("http://www.twitter.com/NathanBLawrence/status/986256962068283393", "986256962068283393")</f>
        <v/>
      </c>
      <c r="B1702" s="2" t="n">
        <v>43207.62219907407</v>
      </c>
      <c r="C1702" t="n">
        <v>0</v>
      </c>
      <c r="D1702" t="n">
        <v>1</v>
      </c>
      <c r="E1702" t="s">
        <v>1708</v>
      </c>
      <c r="F1702" t="s"/>
      <c r="G1702" t="s"/>
      <c r="H1702" t="s"/>
      <c r="I1702" t="s"/>
      <c r="J1702" t="n">
        <v>-0.5848</v>
      </c>
      <c r="K1702" t="n">
        <v>0.122</v>
      </c>
      <c r="L1702" t="n">
        <v>0.837</v>
      </c>
      <c r="M1702" t="n">
        <v>0.041</v>
      </c>
    </row>
    <row r="1703" spans="1:13">
      <c r="A1703" s="1">
        <f>HYPERLINK("http://www.twitter.com/NathanBLawrence/status/986236761516003329", "986236761516003329")</f>
        <v/>
      </c>
      <c r="B1703" s="2" t="n">
        <v>43207.56644675926</v>
      </c>
      <c r="C1703" t="n">
        <v>0</v>
      </c>
      <c r="D1703" t="n">
        <v>9</v>
      </c>
      <c r="E1703" t="s">
        <v>1709</v>
      </c>
      <c r="F1703" t="s"/>
      <c r="G1703" t="s"/>
      <c r="H1703" t="s"/>
      <c r="I1703" t="s"/>
      <c r="J1703" t="n">
        <v>0.7438</v>
      </c>
      <c r="K1703" t="n">
        <v>0</v>
      </c>
      <c r="L1703" t="n">
        <v>0.732</v>
      </c>
      <c r="M1703" t="n">
        <v>0.268</v>
      </c>
    </row>
    <row r="1704" spans="1:13">
      <c r="A1704" s="1">
        <f>HYPERLINK("http://www.twitter.com/NathanBLawrence/status/986236684412080128", "986236684412080128")</f>
        <v/>
      </c>
      <c r="B1704" s="2" t="n">
        <v>43207.56623842593</v>
      </c>
      <c r="C1704" t="n">
        <v>10</v>
      </c>
      <c r="D1704" t="n">
        <v>9</v>
      </c>
      <c r="E1704" t="s">
        <v>1710</v>
      </c>
      <c r="F1704" t="s"/>
      <c r="G1704" t="s"/>
      <c r="H1704" t="s"/>
      <c r="I1704" t="s"/>
      <c r="J1704" t="n">
        <v>0.8321</v>
      </c>
      <c r="K1704" t="n">
        <v>0</v>
      </c>
      <c r="L1704" t="n">
        <v>0.733</v>
      </c>
      <c r="M1704" t="n">
        <v>0.267</v>
      </c>
    </row>
    <row r="1705" spans="1:13">
      <c r="A1705" s="1">
        <f>HYPERLINK("http://www.twitter.com/NathanBLawrence/status/986236247755579392", "986236247755579392")</f>
        <v/>
      </c>
      <c r="B1705" s="2" t="n">
        <v>43207.56503472223</v>
      </c>
      <c r="C1705" t="n">
        <v>0</v>
      </c>
      <c r="D1705" t="n">
        <v>3</v>
      </c>
      <c r="E1705" t="s">
        <v>1711</v>
      </c>
      <c r="F1705" t="s"/>
      <c r="G1705" t="s"/>
      <c r="H1705" t="s"/>
      <c r="I1705" t="s"/>
      <c r="J1705" t="n">
        <v>-0.1531</v>
      </c>
      <c r="K1705" t="n">
        <v>0.113</v>
      </c>
      <c r="L1705" t="n">
        <v>0.806</v>
      </c>
      <c r="M1705" t="n">
        <v>0.081</v>
      </c>
    </row>
    <row r="1706" spans="1:13">
      <c r="A1706" s="1">
        <f>HYPERLINK("http://www.twitter.com/NathanBLawrence/status/986235324400578560", "986235324400578560")</f>
        <v/>
      </c>
      <c r="B1706" s="2" t="n">
        <v>43207.56248842592</v>
      </c>
      <c r="C1706" t="n">
        <v>1</v>
      </c>
      <c r="D1706" t="n">
        <v>0</v>
      </c>
      <c r="E1706" t="s">
        <v>1712</v>
      </c>
      <c r="F1706" t="s"/>
      <c r="G1706" t="s"/>
      <c r="H1706" t="s"/>
      <c r="I1706" t="s"/>
      <c r="J1706" t="n">
        <v>-0.6251</v>
      </c>
      <c r="K1706" t="n">
        <v>0.422</v>
      </c>
      <c r="L1706" t="n">
        <v>0.578</v>
      </c>
      <c r="M1706" t="n">
        <v>0</v>
      </c>
    </row>
    <row r="1707" spans="1:13">
      <c r="A1707" s="1">
        <f>HYPERLINK("http://www.twitter.com/NathanBLawrence/status/986235154539696128", "986235154539696128")</f>
        <v/>
      </c>
      <c r="B1707" s="2" t="n">
        <v>43207.56201388889</v>
      </c>
      <c r="C1707" t="n">
        <v>0</v>
      </c>
      <c r="D1707" t="n">
        <v>1</v>
      </c>
      <c r="E1707" t="s">
        <v>1713</v>
      </c>
      <c r="F1707" t="s"/>
      <c r="G1707" t="s"/>
      <c r="H1707" t="s"/>
      <c r="I1707" t="s"/>
      <c r="J1707" t="n">
        <v>0.0788</v>
      </c>
      <c r="K1707" t="n">
        <v>0.098</v>
      </c>
      <c r="L1707" t="n">
        <v>0.79</v>
      </c>
      <c r="M1707" t="n">
        <v>0.112</v>
      </c>
    </row>
    <row r="1708" spans="1:13">
      <c r="A1708" s="1">
        <f>HYPERLINK("http://www.twitter.com/NathanBLawrence/status/986235136776769536", "986235136776769536")</f>
        <v/>
      </c>
      <c r="B1708" s="2" t="n">
        <v>43207.56196759259</v>
      </c>
      <c r="C1708" t="n">
        <v>2</v>
      </c>
      <c r="D1708" t="n">
        <v>1</v>
      </c>
      <c r="E1708" t="s">
        <v>1714</v>
      </c>
      <c r="F1708" t="s"/>
      <c r="G1708" t="s"/>
      <c r="H1708" t="s"/>
      <c r="I1708" t="s"/>
      <c r="J1708" t="n">
        <v>-0.2718</v>
      </c>
      <c r="K1708" t="n">
        <v>0.125</v>
      </c>
      <c r="L1708" t="n">
        <v>0.8080000000000001</v>
      </c>
      <c r="M1708" t="n">
        <v>0.067</v>
      </c>
    </row>
    <row r="1709" spans="1:13">
      <c r="A1709" s="1">
        <f>HYPERLINK("http://www.twitter.com/NathanBLawrence/status/986225646828441602", "986225646828441602")</f>
        <v/>
      </c>
      <c r="B1709" s="2" t="n">
        <v>43207.53578703704</v>
      </c>
      <c r="C1709" t="n">
        <v>0</v>
      </c>
      <c r="D1709" t="n">
        <v>9</v>
      </c>
      <c r="E1709" t="s">
        <v>1715</v>
      </c>
      <c r="F1709" t="s"/>
      <c r="G1709" t="s"/>
      <c r="H1709" t="s"/>
      <c r="I1709" t="s"/>
      <c r="J1709" t="n">
        <v>-0.7088</v>
      </c>
      <c r="K1709" t="n">
        <v>0.329</v>
      </c>
      <c r="L1709" t="n">
        <v>0.671</v>
      </c>
      <c r="M1709" t="n">
        <v>0</v>
      </c>
    </row>
    <row r="1710" spans="1:13">
      <c r="A1710" s="1">
        <f>HYPERLINK("http://www.twitter.com/NathanBLawrence/status/986216532421369861", "986216532421369861")</f>
        <v/>
      </c>
      <c r="B1710" s="2" t="n">
        <v>43207.51063657407</v>
      </c>
      <c r="C1710" t="n">
        <v>0</v>
      </c>
      <c r="D1710" t="n">
        <v>1</v>
      </c>
      <c r="E1710" t="s">
        <v>1716</v>
      </c>
      <c r="F1710" t="s"/>
      <c r="G1710" t="s"/>
      <c r="H1710" t="s"/>
      <c r="I1710" t="s"/>
      <c r="J1710" t="n">
        <v>-0.5106000000000001</v>
      </c>
      <c r="K1710" t="n">
        <v>0.171</v>
      </c>
      <c r="L1710" t="n">
        <v>0.829</v>
      </c>
      <c r="M1710" t="n">
        <v>0</v>
      </c>
    </row>
    <row r="1711" spans="1:13">
      <c r="A1711" s="1">
        <f>HYPERLINK("http://www.twitter.com/NathanBLawrence/status/986214902980374528", "986214902980374528")</f>
        <v/>
      </c>
      <c r="B1711" s="2" t="n">
        <v>43207.50613425926</v>
      </c>
      <c r="C1711" t="n">
        <v>1</v>
      </c>
      <c r="D1711" t="n">
        <v>1</v>
      </c>
      <c r="E1711" t="s">
        <v>1717</v>
      </c>
      <c r="F1711" t="s"/>
      <c r="G1711" t="s"/>
      <c r="H1711" t="s"/>
      <c r="I1711" t="s"/>
      <c r="J1711" t="n">
        <v>-0.5106000000000001</v>
      </c>
      <c r="K1711" t="n">
        <v>0.08400000000000001</v>
      </c>
      <c r="L1711" t="n">
        <v>0.916</v>
      </c>
      <c r="M1711" t="n">
        <v>0</v>
      </c>
    </row>
    <row r="1712" spans="1:13">
      <c r="A1712" s="1">
        <f>HYPERLINK("http://www.twitter.com/NathanBLawrence/status/986211930045067264", "986211930045067264")</f>
        <v/>
      </c>
      <c r="B1712" s="2" t="n">
        <v>43207.49792824074</v>
      </c>
      <c r="C1712" t="n">
        <v>0</v>
      </c>
      <c r="D1712" t="n">
        <v>2</v>
      </c>
      <c r="E1712" t="s">
        <v>1718</v>
      </c>
      <c r="F1712" t="s"/>
      <c r="G1712" t="s"/>
      <c r="H1712" t="s"/>
      <c r="I1712" t="s"/>
      <c r="J1712" t="n">
        <v>-0.296</v>
      </c>
      <c r="K1712" t="n">
        <v>0.091</v>
      </c>
      <c r="L1712" t="n">
        <v>0.909</v>
      </c>
      <c r="M1712" t="n">
        <v>0</v>
      </c>
    </row>
    <row r="1713" spans="1:13">
      <c r="A1713" s="1">
        <f>HYPERLINK("http://www.twitter.com/NathanBLawrence/status/986211809538519040", "986211809538519040")</f>
        <v/>
      </c>
      <c r="B1713" s="2" t="n">
        <v>43207.49759259259</v>
      </c>
      <c r="C1713" t="n">
        <v>1</v>
      </c>
      <c r="D1713" t="n">
        <v>2</v>
      </c>
      <c r="E1713" t="s">
        <v>1719</v>
      </c>
      <c r="F1713" t="s"/>
      <c r="G1713" t="s"/>
      <c r="H1713" t="s"/>
      <c r="I1713" t="s"/>
      <c r="J1713" t="n">
        <v>-0.7184</v>
      </c>
      <c r="K1713" t="n">
        <v>0.171</v>
      </c>
      <c r="L1713" t="n">
        <v>0.829</v>
      </c>
      <c r="M1713" t="n">
        <v>0</v>
      </c>
    </row>
    <row r="1714" spans="1:13">
      <c r="A1714" s="1">
        <f>HYPERLINK("http://www.twitter.com/NathanBLawrence/status/986211043419533312", "986211043419533312")</f>
        <v/>
      </c>
      <c r="B1714" s="2" t="n">
        <v>43207.49548611111</v>
      </c>
      <c r="C1714" t="n">
        <v>0</v>
      </c>
      <c r="D1714" t="n">
        <v>2</v>
      </c>
      <c r="E1714" t="s">
        <v>1720</v>
      </c>
      <c r="F1714" t="s"/>
      <c r="G1714" t="s"/>
      <c r="H1714" t="s"/>
      <c r="I1714" t="s"/>
      <c r="J1714" t="n">
        <v>0.4019</v>
      </c>
      <c r="K1714" t="n">
        <v>0</v>
      </c>
      <c r="L1714" t="n">
        <v>0.863</v>
      </c>
      <c r="M1714" t="n">
        <v>0.137</v>
      </c>
    </row>
    <row r="1715" spans="1:13">
      <c r="A1715" s="1">
        <f>HYPERLINK("http://www.twitter.com/NathanBLawrence/status/986210999136083969", "986210999136083969")</f>
        <v/>
      </c>
      <c r="B1715" s="2" t="n">
        <v>43207.4953587963</v>
      </c>
      <c r="C1715" t="n">
        <v>1</v>
      </c>
      <c r="D1715" t="n">
        <v>2</v>
      </c>
      <c r="E1715" t="s">
        <v>1721</v>
      </c>
      <c r="F1715" t="s"/>
      <c r="G1715" t="s"/>
      <c r="H1715" t="s"/>
      <c r="I1715" t="s"/>
      <c r="J1715" t="n">
        <v>0.34</v>
      </c>
      <c r="K1715" t="n">
        <v>0.067</v>
      </c>
      <c r="L1715" t="n">
        <v>0.8100000000000001</v>
      </c>
      <c r="M1715" t="n">
        <v>0.123</v>
      </c>
    </row>
    <row r="1716" spans="1:13">
      <c r="A1716" s="1">
        <f>HYPERLINK("http://www.twitter.com/NathanBLawrence/status/986209424707653633", "986209424707653633")</f>
        <v/>
      </c>
      <c r="B1716" s="2" t="n">
        <v>43207.49101851852</v>
      </c>
      <c r="C1716" t="n">
        <v>0</v>
      </c>
      <c r="D1716" t="n">
        <v>12</v>
      </c>
      <c r="E1716" t="s">
        <v>1722</v>
      </c>
      <c r="F1716" t="s"/>
      <c r="G1716" t="s"/>
      <c r="H1716" t="s"/>
      <c r="I1716" t="s"/>
      <c r="J1716" t="n">
        <v>-0.34</v>
      </c>
      <c r="K1716" t="n">
        <v>0.103</v>
      </c>
      <c r="L1716" t="n">
        <v>0.897</v>
      </c>
      <c r="M1716" t="n">
        <v>0</v>
      </c>
    </row>
    <row r="1717" spans="1:13">
      <c r="A1717" s="1">
        <f>HYPERLINK("http://www.twitter.com/NathanBLawrence/status/986094657196224515", "986094657196224515")</f>
        <v/>
      </c>
      <c r="B1717" s="2" t="n">
        <v>43207.17431712963</v>
      </c>
      <c r="C1717" t="n">
        <v>0</v>
      </c>
      <c r="D1717" t="n">
        <v>5</v>
      </c>
      <c r="E1717" t="s">
        <v>1723</v>
      </c>
      <c r="F1717" t="s"/>
      <c r="G1717" t="s"/>
      <c r="H1717" t="s"/>
      <c r="I1717" t="s"/>
      <c r="J1717" t="n">
        <v>-0.0423</v>
      </c>
      <c r="K1717" t="n">
        <v>0.095</v>
      </c>
      <c r="L1717" t="n">
        <v>0.8179999999999999</v>
      </c>
      <c r="M1717" t="n">
        <v>0.08799999999999999</v>
      </c>
    </row>
    <row r="1718" spans="1:13">
      <c r="A1718" s="1">
        <f>HYPERLINK("http://www.twitter.com/NathanBLawrence/status/986094433925058560", "986094433925058560")</f>
        <v/>
      </c>
      <c r="B1718" s="2" t="n">
        <v>43207.1737037037</v>
      </c>
      <c r="C1718" t="n">
        <v>0</v>
      </c>
      <c r="D1718" t="n">
        <v>5</v>
      </c>
      <c r="E1718" t="s">
        <v>1724</v>
      </c>
      <c r="F1718" t="s"/>
      <c r="G1718" t="s"/>
      <c r="H1718" t="s"/>
      <c r="I1718" t="s"/>
      <c r="J1718" t="n">
        <v>-0.1531</v>
      </c>
      <c r="K1718" t="n">
        <v>0.065</v>
      </c>
      <c r="L1718" t="n">
        <v>0.9350000000000001</v>
      </c>
      <c r="M1718" t="n">
        <v>0</v>
      </c>
    </row>
    <row r="1719" spans="1:13">
      <c r="A1719" s="1">
        <f>HYPERLINK("http://www.twitter.com/NathanBLawrence/status/986093350070751232", "986093350070751232")</f>
        <v/>
      </c>
      <c r="B1719" s="2" t="n">
        <v>43207.17071759259</v>
      </c>
      <c r="C1719" t="n">
        <v>0</v>
      </c>
      <c r="D1719" t="n">
        <v>23</v>
      </c>
      <c r="E1719" t="s">
        <v>1725</v>
      </c>
      <c r="F1719" t="s"/>
      <c r="G1719" t="s"/>
      <c r="H1719" t="s"/>
      <c r="I1719" t="s"/>
      <c r="J1719" t="n">
        <v>-0.508</v>
      </c>
      <c r="K1719" t="n">
        <v>0.183</v>
      </c>
      <c r="L1719" t="n">
        <v>0.747</v>
      </c>
      <c r="M1719" t="n">
        <v>0.07000000000000001</v>
      </c>
    </row>
    <row r="1720" spans="1:13">
      <c r="A1720" s="1">
        <f>HYPERLINK("http://www.twitter.com/NathanBLawrence/status/986093268231491585", "986093268231491585")</f>
        <v/>
      </c>
      <c r="B1720" s="2" t="n">
        <v>43207.17048611111</v>
      </c>
      <c r="C1720" t="n">
        <v>0</v>
      </c>
      <c r="D1720" t="n">
        <v>3</v>
      </c>
      <c r="E1720" t="s">
        <v>1726</v>
      </c>
      <c r="F1720" t="s"/>
      <c r="G1720" t="s"/>
      <c r="H1720" t="s"/>
      <c r="I1720" t="s"/>
      <c r="J1720" t="n">
        <v>0.6369</v>
      </c>
      <c r="K1720" t="n">
        <v>0</v>
      </c>
      <c r="L1720" t="n">
        <v>0.769</v>
      </c>
      <c r="M1720" t="n">
        <v>0.231</v>
      </c>
    </row>
    <row r="1721" spans="1:13">
      <c r="A1721" s="1">
        <f>HYPERLINK("http://www.twitter.com/NathanBLawrence/status/986090150424928256", "986090150424928256")</f>
        <v/>
      </c>
      <c r="B1721" s="2" t="n">
        <v>43207.16188657407</v>
      </c>
      <c r="C1721" t="n">
        <v>0</v>
      </c>
      <c r="D1721" t="n">
        <v>4</v>
      </c>
      <c r="E1721" t="s">
        <v>1727</v>
      </c>
      <c r="F1721" t="s"/>
      <c r="G1721" t="s"/>
      <c r="H1721" t="s"/>
      <c r="I1721" t="s"/>
      <c r="J1721" t="n">
        <v>-0.5266999999999999</v>
      </c>
      <c r="K1721" t="n">
        <v>0.206</v>
      </c>
      <c r="L1721" t="n">
        <v>0.794</v>
      </c>
      <c r="M1721" t="n">
        <v>0</v>
      </c>
    </row>
    <row r="1722" spans="1:13">
      <c r="A1722" s="1">
        <f>HYPERLINK("http://www.twitter.com/NathanBLawrence/status/986088648780271621", "986088648780271621")</f>
        <v/>
      </c>
      <c r="B1722" s="2" t="n">
        <v>43207.15774305556</v>
      </c>
      <c r="C1722" t="n">
        <v>0</v>
      </c>
      <c r="D1722" t="n">
        <v>10</v>
      </c>
      <c r="E1722" t="s">
        <v>1728</v>
      </c>
      <c r="F1722" t="s"/>
      <c r="G1722" t="s"/>
      <c r="H1722" t="s"/>
      <c r="I1722" t="s"/>
      <c r="J1722" t="n">
        <v>-0.5994</v>
      </c>
      <c r="K1722" t="n">
        <v>0.218</v>
      </c>
      <c r="L1722" t="n">
        <v>0.782</v>
      </c>
      <c r="M1722" t="n">
        <v>0</v>
      </c>
    </row>
    <row r="1723" spans="1:13">
      <c r="A1723" s="1">
        <f>HYPERLINK("http://www.twitter.com/NathanBLawrence/status/986083377051848704", "986083377051848704")</f>
        <v/>
      </c>
      <c r="B1723" s="2" t="n">
        <v>43207.14319444444</v>
      </c>
      <c r="C1723" t="n">
        <v>0</v>
      </c>
      <c r="D1723" t="n">
        <v>10</v>
      </c>
      <c r="E1723" t="s">
        <v>1729</v>
      </c>
      <c r="F1723" t="s"/>
      <c r="G1723" t="s"/>
      <c r="H1723" t="s"/>
      <c r="I1723" t="s"/>
      <c r="J1723" t="n">
        <v>-0.128</v>
      </c>
      <c r="K1723" t="n">
        <v>0.224</v>
      </c>
      <c r="L1723" t="n">
        <v>0.57</v>
      </c>
      <c r="M1723" t="n">
        <v>0.205</v>
      </c>
    </row>
    <row r="1724" spans="1:13">
      <c r="A1724" s="1">
        <f>HYPERLINK("http://www.twitter.com/NathanBLawrence/status/986083343686094849", "986083343686094849")</f>
        <v/>
      </c>
      <c r="B1724" s="2" t="n">
        <v>43207.14310185185</v>
      </c>
      <c r="C1724" t="n">
        <v>0</v>
      </c>
      <c r="D1724" t="n">
        <v>3</v>
      </c>
      <c r="E1724" t="s">
        <v>1730</v>
      </c>
      <c r="F1724" t="s"/>
      <c r="G1724" t="s"/>
      <c r="H1724" t="s"/>
      <c r="I1724" t="s"/>
      <c r="J1724" t="n">
        <v>-0.5719</v>
      </c>
      <c r="K1724" t="n">
        <v>0.207</v>
      </c>
      <c r="L1724" t="n">
        <v>0.793</v>
      </c>
      <c r="M1724" t="n">
        <v>0</v>
      </c>
    </row>
    <row r="1725" spans="1:13">
      <c r="A1725" s="1">
        <f>HYPERLINK("http://www.twitter.com/NathanBLawrence/status/986083007223205888", "986083007223205888")</f>
        <v/>
      </c>
      <c r="B1725" s="2" t="n">
        <v>43207.14217592592</v>
      </c>
      <c r="C1725" t="n">
        <v>0</v>
      </c>
      <c r="D1725" t="n">
        <v>1</v>
      </c>
      <c r="E1725" t="s">
        <v>1731</v>
      </c>
      <c r="F1725" t="s"/>
      <c r="G1725" t="s"/>
      <c r="H1725" t="s"/>
      <c r="I1725" t="s"/>
      <c r="J1725" t="n">
        <v>-0.6705</v>
      </c>
      <c r="K1725" t="n">
        <v>0.277</v>
      </c>
      <c r="L1725" t="n">
        <v>0.723</v>
      </c>
      <c r="M1725" t="n">
        <v>0</v>
      </c>
    </row>
    <row r="1726" spans="1:13">
      <c r="A1726" s="1">
        <f>HYPERLINK("http://www.twitter.com/NathanBLawrence/status/986082783280889856", "986082783280889856")</f>
        <v/>
      </c>
      <c r="B1726" s="2" t="n">
        <v>43207.14155092592</v>
      </c>
      <c r="C1726" t="n">
        <v>1</v>
      </c>
      <c r="D1726" t="n">
        <v>1</v>
      </c>
      <c r="E1726" t="s">
        <v>1732</v>
      </c>
      <c r="F1726" t="s"/>
      <c r="G1726" t="s"/>
      <c r="H1726" t="s"/>
      <c r="I1726" t="s"/>
      <c r="J1726" t="n">
        <v>-0.7902</v>
      </c>
      <c r="K1726" t="n">
        <v>0.272</v>
      </c>
      <c r="L1726" t="n">
        <v>0.662</v>
      </c>
      <c r="M1726" t="n">
        <v>0.066</v>
      </c>
    </row>
    <row r="1727" spans="1:13">
      <c r="A1727" s="1">
        <f>HYPERLINK("http://www.twitter.com/NathanBLawrence/status/986081827742994433", "986081827742994433")</f>
        <v/>
      </c>
      <c r="B1727" s="2" t="n">
        <v>43207.13891203704</v>
      </c>
      <c r="C1727" t="n">
        <v>4</v>
      </c>
      <c r="D1727" t="n">
        <v>1</v>
      </c>
      <c r="E1727" t="s">
        <v>1733</v>
      </c>
      <c r="F1727" t="s"/>
      <c r="G1727" t="s"/>
      <c r="H1727" t="s"/>
      <c r="I1727" t="s"/>
      <c r="J1727" t="n">
        <v>0.4199</v>
      </c>
      <c r="K1727" t="n">
        <v>0</v>
      </c>
      <c r="L1727" t="n">
        <v>0.8110000000000001</v>
      </c>
      <c r="M1727" t="n">
        <v>0.189</v>
      </c>
    </row>
    <row r="1728" spans="1:13">
      <c r="A1728" s="1">
        <f>HYPERLINK("http://www.twitter.com/NathanBLawrence/status/986081606233460738", "986081606233460738")</f>
        <v/>
      </c>
      <c r="B1728" s="2" t="n">
        <v>43207.13831018518</v>
      </c>
      <c r="C1728" t="n">
        <v>0</v>
      </c>
      <c r="D1728" t="n">
        <v>2</v>
      </c>
      <c r="E1728" t="s">
        <v>1734</v>
      </c>
      <c r="F1728" t="s"/>
      <c r="G1728" t="s"/>
      <c r="H1728" t="s"/>
      <c r="I1728" t="s"/>
      <c r="J1728" t="n">
        <v>0.4019</v>
      </c>
      <c r="K1728" t="n">
        <v>0</v>
      </c>
      <c r="L1728" t="n">
        <v>0.863</v>
      </c>
      <c r="M1728" t="n">
        <v>0.137</v>
      </c>
    </row>
    <row r="1729" spans="1:13">
      <c r="A1729" s="1">
        <f>HYPERLINK("http://www.twitter.com/NathanBLawrence/status/986081529557372933", "986081529557372933")</f>
        <v/>
      </c>
      <c r="B1729" s="2" t="n">
        <v>43207.13809027777</v>
      </c>
      <c r="C1729" t="n">
        <v>3</v>
      </c>
      <c r="D1729" t="n">
        <v>2</v>
      </c>
      <c r="E1729" t="s">
        <v>1735</v>
      </c>
      <c r="F1729" t="s"/>
      <c r="G1729" t="s"/>
      <c r="H1729" t="s"/>
      <c r="I1729" t="s"/>
      <c r="J1729" t="n">
        <v>0.34</v>
      </c>
      <c r="K1729" t="n">
        <v>0.067</v>
      </c>
      <c r="L1729" t="n">
        <v>0.8100000000000001</v>
      </c>
      <c r="M1729" t="n">
        <v>0.123</v>
      </c>
    </row>
    <row r="1730" spans="1:13">
      <c r="A1730" s="1">
        <f>HYPERLINK("http://www.twitter.com/NathanBLawrence/status/986080333002092544", "986080333002092544")</f>
        <v/>
      </c>
      <c r="B1730" s="2" t="n">
        <v>43207.13479166666</v>
      </c>
      <c r="C1730" t="n">
        <v>0</v>
      </c>
      <c r="D1730" t="n">
        <v>12</v>
      </c>
      <c r="E1730" t="s">
        <v>1736</v>
      </c>
      <c r="F1730" t="s"/>
      <c r="G1730" t="s"/>
      <c r="H1730" t="s"/>
      <c r="I1730" t="s"/>
      <c r="J1730" t="n">
        <v>-0.3089</v>
      </c>
      <c r="K1730" t="n">
        <v>0.097</v>
      </c>
      <c r="L1730" t="n">
        <v>0.903</v>
      </c>
      <c r="M1730" t="n">
        <v>0</v>
      </c>
    </row>
    <row r="1731" spans="1:13">
      <c r="A1731" s="1">
        <f>HYPERLINK("http://www.twitter.com/NathanBLawrence/status/986080311493779457", "986080311493779457")</f>
        <v/>
      </c>
      <c r="B1731" s="2" t="n">
        <v>43207.13473379629</v>
      </c>
      <c r="C1731" t="n">
        <v>16</v>
      </c>
      <c r="D1731" t="n">
        <v>12</v>
      </c>
      <c r="E1731" t="s">
        <v>1737</v>
      </c>
      <c r="F1731" t="s"/>
      <c r="G1731" t="s"/>
      <c r="H1731" t="s"/>
      <c r="I1731" t="s"/>
      <c r="J1731" t="n">
        <v>0.1386</v>
      </c>
      <c r="K1731" t="n">
        <v>0.058</v>
      </c>
      <c r="L1731" t="n">
        <v>0.845</v>
      </c>
      <c r="M1731" t="n">
        <v>0.097</v>
      </c>
    </row>
    <row r="1732" spans="1:13">
      <c r="A1732" s="1">
        <f>HYPERLINK("http://www.twitter.com/NathanBLawrence/status/986078551450554368", "986078551450554368")</f>
        <v/>
      </c>
      <c r="B1732" s="2" t="n">
        <v>43207.12987268518</v>
      </c>
      <c r="C1732" t="n">
        <v>0</v>
      </c>
      <c r="D1732" t="n">
        <v>3</v>
      </c>
      <c r="E1732" t="s">
        <v>1738</v>
      </c>
      <c r="F1732" t="s"/>
      <c r="G1732" t="s"/>
      <c r="H1732" t="s"/>
      <c r="I1732" t="s"/>
      <c r="J1732" t="n">
        <v>-0.3164</v>
      </c>
      <c r="K1732" t="n">
        <v>0.178</v>
      </c>
      <c r="L1732" t="n">
        <v>0.704</v>
      </c>
      <c r="M1732" t="n">
        <v>0.117</v>
      </c>
    </row>
    <row r="1733" spans="1:13">
      <c r="A1733" s="1">
        <f>HYPERLINK("http://www.twitter.com/NathanBLawrence/status/986078459460960256", "986078459460960256")</f>
        <v/>
      </c>
      <c r="B1733" s="2" t="n">
        <v>43207.12961805556</v>
      </c>
      <c r="C1733" t="n">
        <v>0</v>
      </c>
      <c r="D1733" t="n">
        <v>4</v>
      </c>
      <c r="E1733" t="s">
        <v>1739</v>
      </c>
      <c r="F1733" t="s"/>
      <c r="G1733" t="s"/>
      <c r="H1733" t="s"/>
      <c r="I1733" t="s"/>
      <c r="J1733" t="n">
        <v>-0.3595</v>
      </c>
      <c r="K1733" t="n">
        <v>0.135</v>
      </c>
      <c r="L1733" t="n">
        <v>0.865</v>
      </c>
      <c r="M1733" t="n">
        <v>0</v>
      </c>
    </row>
    <row r="1734" spans="1:13">
      <c r="A1734" s="1">
        <f>HYPERLINK("http://www.twitter.com/NathanBLawrence/status/986078429635325952", "986078429635325952")</f>
        <v/>
      </c>
      <c r="B1734" s="2" t="n">
        <v>43207.12953703704</v>
      </c>
      <c r="C1734" t="n">
        <v>4</v>
      </c>
      <c r="D1734" t="n">
        <v>3</v>
      </c>
      <c r="E1734" t="s">
        <v>1740</v>
      </c>
      <c r="F1734" t="s"/>
      <c r="G1734" t="s"/>
      <c r="H1734" t="s"/>
      <c r="I1734" t="s"/>
      <c r="J1734" t="n">
        <v>-0.3164</v>
      </c>
      <c r="K1734" t="n">
        <v>0.197</v>
      </c>
      <c r="L1734" t="n">
        <v>0.674</v>
      </c>
      <c r="M1734" t="n">
        <v>0.13</v>
      </c>
    </row>
    <row r="1735" spans="1:13">
      <c r="A1735" s="1">
        <f>HYPERLINK("http://www.twitter.com/NathanBLawrence/status/986078278724317188", "986078278724317188")</f>
        <v/>
      </c>
      <c r="B1735" s="2" t="n">
        <v>43207.12912037037</v>
      </c>
      <c r="C1735" t="n">
        <v>9</v>
      </c>
      <c r="D1735" t="n">
        <v>4</v>
      </c>
      <c r="E1735" t="s">
        <v>1741</v>
      </c>
      <c r="F1735" t="s"/>
      <c r="G1735" t="s"/>
      <c r="H1735" t="s"/>
      <c r="I1735" t="s"/>
      <c r="J1735" t="n">
        <v>-0.3595</v>
      </c>
      <c r="K1735" t="n">
        <v>0.135</v>
      </c>
      <c r="L1735" t="n">
        <v>0.865</v>
      </c>
      <c r="M1735" t="n">
        <v>0</v>
      </c>
    </row>
    <row r="1736" spans="1:13">
      <c r="A1736" s="1">
        <f>HYPERLINK("http://www.twitter.com/NathanBLawrence/status/986077060627075073", "986077060627075073")</f>
        <v/>
      </c>
      <c r="B1736" s="2" t="n">
        <v>43207.12576388889</v>
      </c>
      <c r="C1736" t="n">
        <v>0</v>
      </c>
      <c r="D1736" t="n">
        <v>1</v>
      </c>
      <c r="E1736" t="s">
        <v>1742</v>
      </c>
      <c r="F1736" t="s"/>
      <c r="G1736" t="s"/>
      <c r="H1736" t="s"/>
      <c r="I1736" t="s"/>
      <c r="J1736" t="n">
        <v>-0.7717000000000001</v>
      </c>
      <c r="K1736" t="n">
        <v>0.323</v>
      </c>
      <c r="L1736" t="n">
        <v>0.519</v>
      </c>
      <c r="M1736" t="n">
        <v>0.159</v>
      </c>
    </row>
    <row r="1737" spans="1:13">
      <c r="A1737" s="1">
        <f>HYPERLINK("http://www.twitter.com/NathanBLawrence/status/986061029728817155", "986061029728817155")</f>
        <v/>
      </c>
      <c r="B1737" s="2" t="n">
        <v>43207.08152777778</v>
      </c>
      <c r="C1737" t="n">
        <v>0</v>
      </c>
      <c r="D1737" t="n">
        <v>4</v>
      </c>
      <c r="E1737" t="s">
        <v>1743</v>
      </c>
      <c r="F1737" t="s"/>
      <c r="G1737" t="s"/>
      <c r="H1737" t="s"/>
      <c r="I1737" t="s"/>
      <c r="J1737" t="n">
        <v>0.4019</v>
      </c>
      <c r="K1737" t="n">
        <v>0</v>
      </c>
      <c r="L1737" t="n">
        <v>0.856</v>
      </c>
      <c r="M1737" t="n">
        <v>0.144</v>
      </c>
    </row>
    <row r="1738" spans="1:13">
      <c r="A1738" s="1">
        <f>HYPERLINK("http://www.twitter.com/NathanBLawrence/status/986060787180503040", "986060787180503040")</f>
        <v/>
      </c>
      <c r="B1738" s="2" t="n">
        <v>43207.08085648148</v>
      </c>
      <c r="C1738" t="n">
        <v>0</v>
      </c>
      <c r="D1738" t="n">
        <v>1</v>
      </c>
      <c r="E1738" t="s">
        <v>1744</v>
      </c>
      <c r="F1738" t="s"/>
      <c r="G1738" t="s"/>
      <c r="H1738" t="s"/>
      <c r="I1738" t="s"/>
      <c r="J1738" t="n">
        <v>-0.5255</v>
      </c>
      <c r="K1738" t="n">
        <v>0.305</v>
      </c>
      <c r="L1738" t="n">
        <v>0.695</v>
      </c>
      <c r="M1738" t="n">
        <v>0</v>
      </c>
    </row>
    <row r="1739" spans="1:13">
      <c r="A1739" s="1">
        <f>HYPERLINK("http://www.twitter.com/NathanBLawrence/status/986060645534748672", "986060645534748672")</f>
        <v/>
      </c>
      <c r="B1739" s="2" t="n">
        <v>43207.08046296296</v>
      </c>
      <c r="C1739" t="n">
        <v>0</v>
      </c>
      <c r="D1739" t="n">
        <v>1</v>
      </c>
      <c r="E1739" t="s">
        <v>1745</v>
      </c>
      <c r="F1739" t="s"/>
      <c r="G1739" t="s"/>
      <c r="H1739" t="s"/>
      <c r="I1739" t="s"/>
      <c r="J1739" t="n">
        <v>0.3612</v>
      </c>
      <c r="K1739" t="n">
        <v>0</v>
      </c>
      <c r="L1739" t="n">
        <v>0.8149999999999999</v>
      </c>
      <c r="M1739" t="n">
        <v>0.185</v>
      </c>
    </row>
    <row r="1740" spans="1:13">
      <c r="A1740" s="1">
        <f>HYPERLINK("http://www.twitter.com/NathanBLawrence/status/986060472066723840", "986060472066723840")</f>
        <v/>
      </c>
      <c r="B1740" s="2" t="n">
        <v>43207.07998842592</v>
      </c>
      <c r="C1740" t="n">
        <v>5</v>
      </c>
      <c r="D1740" t="n">
        <v>4</v>
      </c>
      <c r="E1740" t="s">
        <v>1746</v>
      </c>
      <c r="F1740" t="s"/>
      <c r="G1740" t="s"/>
      <c r="H1740" t="s"/>
      <c r="I1740" t="s"/>
      <c r="J1740" t="n">
        <v>0.34</v>
      </c>
      <c r="K1740" t="n">
        <v>0.067</v>
      </c>
      <c r="L1740" t="n">
        <v>0.8100000000000001</v>
      </c>
      <c r="M1740" t="n">
        <v>0.123</v>
      </c>
    </row>
    <row r="1741" spans="1:13">
      <c r="A1741" s="1">
        <f>HYPERLINK("http://www.twitter.com/NathanBLawrence/status/986059858859495425", "986059858859495425")</f>
        <v/>
      </c>
      <c r="B1741" s="2" t="n">
        <v>43207.07829861111</v>
      </c>
      <c r="C1741" t="n">
        <v>2</v>
      </c>
      <c r="D1741" t="n">
        <v>1</v>
      </c>
      <c r="E1741" t="s">
        <v>1747</v>
      </c>
      <c r="F1741" t="s"/>
      <c r="G1741" t="s"/>
      <c r="H1741" t="s"/>
      <c r="I1741" t="s"/>
      <c r="J1741" t="n">
        <v>-0.5255</v>
      </c>
      <c r="K1741" t="n">
        <v>0.354</v>
      </c>
      <c r="L1741" t="n">
        <v>0.646</v>
      </c>
      <c r="M1741" t="n">
        <v>0</v>
      </c>
    </row>
    <row r="1742" spans="1:13">
      <c r="A1742" s="1">
        <f>HYPERLINK("http://www.twitter.com/NathanBLawrence/status/986059087795408897", "986059087795408897")</f>
        <v/>
      </c>
      <c r="B1742" s="2" t="n">
        <v>43207.07616898148</v>
      </c>
      <c r="C1742" t="n">
        <v>0</v>
      </c>
      <c r="D1742" t="n">
        <v>2</v>
      </c>
      <c r="E1742" t="s">
        <v>1748</v>
      </c>
      <c r="F1742" t="s"/>
      <c r="G1742" t="s"/>
      <c r="H1742" t="s"/>
      <c r="I1742" t="s"/>
      <c r="J1742" t="n">
        <v>0.4019</v>
      </c>
      <c r="K1742" t="n">
        <v>0</v>
      </c>
      <c r="L1742" t="n">
        <v>0.838</v>
      </c>
      <c r="M1742" t="n">
        <v>0.162</v>
      </c>
    </row>
    <row r="1743" spans="1:13">
      <c r="A1743" s="1">
        <f>HYPERLINK("http://www.twitter.com/NathanBLawrence/status/986059025786851328", "986059025786851328")</f>
        <v/>
      </c>
      <c r="B1743" s="2" t="n">
        <v>43207.07599537037</v>
      </c>
      <c r="C1743" t="n">
        <v>0</v>
      </c>
      <c r="D1743" t="n">
        <v>10</v>
      </c>
      <c r="E1743" t="s">
        <v>1749</v>
      </c>
      <c r="F1743">
        <f>HYPERLINK("http://pbs.twimg.com/media/Da8vE3gV4AI9I-E.jpg", "http://pbs.twimg.com/media/Da8vE3gV4AI9I-E.jpg")</f>
        <v/>
      </c>
      <c r="G1743" t="s"/>
      <c r="H1743" t="s"/>
      <c r="I1743" t="s"/>
      <c r="J1743" t="n">
        <v>-0.4767</v>
      </c>
      <c r="K1743" t="n">
        <v>0.129</v>
      </c>
      <c r="L1743" t="n">
        <v>0.871</v>
      </c>
      <c r="M1743" t="n">
        <v>0</v>
      </c>
    </row>
    <row r="1744" spans="1:13">
      <c r="A1744" s="1">
        <f>HYPERLINK("http://www.twitter.com/NathanBLawrence/status/986058915250163712", "986058915250163712")</f>
        <v/>
      </c>
      <c r="B1744" s="2" t="n">
        <v>43207.07569444444</v>
      </c>
      <c r="C1744" t="n">
        <v>3</v>
      </c>
      <c r="D1744" t="n">
        <v>2</v>
      </c>
      <c r="E1744" t="s">
        <v>1750</v>
      </c>
      <c r="F1744" t="s"/>
      <c r="G1744" t="s"/>
      <c r="H1744" t="s"/>
      <c r="I1744" t="s"/>
      <c r="J1744" t="n">
        <v>0.34</v>
      </c>
      <c r="K1744" t="n">
        <v>0.063</v>
      </c>
      <c r="L1744" t="n">
        <v>0.823</v>
      </c>
      <c r="M1744" t="n">
        <v>0.115</v>
      </c>
    </row>
    <row r="1745" spans="1:13">
      <c r="A1745" s="1">
        <f>HYPERLINK("http://www.twitter.com/NathanBLawrence/status/986057689301176321", "986057689301176321")</f>
        <v/>
      </c>
      <c r="B1745" s="2" t="n">
        <v>43207.07230324074</v>
      </c>
      <c r="C1745" t="n">
        <v>0</v>
      </c>
      <c r="D1745" t="n">
        <v>5</v>
      </c>
      <c r="E1745" t="s">
        <v>1751</v>
      </c>
      <c r="F1745" t="s"/>
      <c r="G1745" t="s"/>
      <c r="H1745" t="s"/>
      <c r="I1745" t="s"/>
      <c r="J1745" t="n">
        <v>0.2023</v>
      </c>
      <c r="K1745" t="n">
        <v>0</v>
      </c>
      <c r="L1745" t="n">
        <v>0.859</v>
      </c>
      <c r="M1745" t="n">
        <v>0.141</v>
      </c>
    </row>
    <row r="1746" spans="1:13">
      <c r="A1746" s="1">
        <f>HYPERLINK("http://www.twitter.com/NathanBLawrence/status/986017379732860929", "986017379732860929")</f>
        <v/>
      </c>
      <c r="B1746" s="2" t="n">
        <v>43206.96107638889</v>
      </c>
      <c r="C1746" t="n">
        <v>0</v>
      </c>
      <c r="D1746" t="n">
        <v>0</v>
      </c>
      <c r="E1746" t="s">
        <v>1752</v>
      </c>
      <c r="F1746" t="s"/>
      <c r="G1746" t="s"/>
      <c r="H1746" t="s"/>
      <c r="I1746" t="s"/>
      <c r="J1746" t="n">
        <v>0.296</v>
      </c>
      <c r="K1746" t="n">
        <v>0.1</v>
      </c>
      <c r="L1746" t="n">
        <v>0.739</v>
      </c>
      <c r="M1746" t="n">
        <v>0.161</v>
      </c>
    </row>
    <row r="1747" spans="1:13">
      <c r="A1747" s="1">
        <f>HYPERLINK("http://www.twitter.com/NathanBLawrence/status/986004400199163906", "986004400199163906")</f>
        <v/>
      </c>
      <c r="B1747" s="2" t="n">
        <v>43206.92525462963</v>
      </c>
      <c r="C1747" t="n">
        <v>0</v>
      </c>
      <c r="D1747" t="n">
        <v>6</v>
      </c>
      <c r="E1747" t="s">
        <v>1753</v>
      </c>
      <c r="F1747" t="s"/>
      <c r="G1747" t="s"/>
      <c r="H1747" t="s"/>
      <c r="I1747" t="s"/>
      <c r="J1747" t="n">
        <v>0</v>
      </c>
      <c r="K1747" t="n">
        <v>0</v>
      </c>
      <c r="L1747" t="n">
        <v>1</v>
      </c>
      <c r="M1747" t="n">
        <v>0</v>
      </c>
    </row>
    <row r="1748" spans="1:13">
      <c r="A1748" s="1">
        <f>HYPERLINK("http://www.twitter.com/NathanBLawrence/status/986000033530212355", "986000033530212355")</f>
        <v/>
      </c>
      <c r="B1748" s="2" t="n">
        <v>43206.91320601852</v>
      </c>
      <c r="C1748" t="n">
        <v>0</v>
      </c>
      <c r="D1748" t="n">
        <v>7</v>
      </c>
      <c r="E1748" t="s">
        <v>1754</v>
      </c>
      <c r="F1748">
        <f>HYPERLINK("http://pbs.twimg.com/media/Da75sBYVwAMd22i.jpg", "http://pbs.twimg.com/media/Da75sBYVwAMd22i.jpg")</f>
        <v/>
      </c>
      <c r="G1748" t="s"/>
      <c r="H1748" t="s"/>
      <c r="I1748" t="s"/>
      <c r="J1748" t="n">
        <v>0</v>
      </c>
      <c r="K1748" t="n">
        <v>0</v>
      </c>
      <c r="L1748" t="n">
        <v>1</v>
      </c>
      <c r="M1748" t="n">
        <v>0</v>
      </c>
    </row>
    <row r="1749" spans="1:13">
      <c r="A1749" s="1">
        <f>HYPERLINK("http://www.twitter.com/NathanBLawrence/status/985999754302836743", "985999754302836743")</f>
        <v/>
      </c>
      <c r="B1749" s="2" t="n">
        <v>43206.91244212963</v>
      </c>
      <c r="C1749" t="n">
        <v>0</v>
      </c>
      <c r="D1749" t="n">
        <v>2</v>
      </c>
      <c r="E1749" t="s">
        <v>1755</v>
      </c>
      <c r="F1749" t="s"/>
      <c r="G1749" t="s"/>
      <c r="H1749" t="s"/>
      <c r="I1749" t="s"/>
      <c r="J1749" t="n">
        <v>0</v>
      </c>
      <c r="K1749" t="n">
        <v>0</v>
      </c>
      <c r="L1749" t="n">
        <v>1</v>
      </c>
      <c r="M1749" t="n">
        <v>0</v>
      </c>
    </row>
    <row r="1750" spans="1:13">
      <c r="A1750" s="1">
        <f>HYPERLINK("http://www.twitter.com/NathanBLawrence/status/985999646584688640", "985999646584688640")</f>
        <v/>
      </c>
      <c r="B1750" s="2" t="n">
        <v>43206.91214120371</v>
      </c>
      <c r="C1750" t="n">
        <v>0</v>
      </c>
      <c r="D1750" t="n">
        <v>1</v>
      </c>
      <c r="E1750" t="s">
        <v>1756</v>
      </c>
      <c r="F1750" t="s"/>
      <c r="G1750" t="s"/>
      <c r="H1750" t="s"/>
      <c r="I1750" t="s"/>
      <c r="J1750" t="n">
        <v>0.3612</v>
      </c>
      <c r="K1750" t="n">
        <v>0</v>
      </c>
      <c r="L1750" t="n">
        <v>0.872</v>
      </c>
      <c r="M1750" t="n">
        <v>0.128</v>
      </c>
    </row>
    <row r="1751" spans="1:13">
      <c r="A1751" s="1">
        <f>HYPERLINK("http://www.twitter.com/NathanBLawrence/status/985996049599868928", "985996049599868928")</f>
        <v/>
      </c>
      <c r="B1751" s="2" t="n">
        <v>43206.90221064815</v>
      </c>
      <c r="C1751" t="n">
        <v>0</v>
      </c>
      <c r="D1751" t="n">
        <v>2</v>
      </c>
      <c r="E1751" t="s">
        <v>1757</v>
      </c>
      <c r="F1751" t="s"/>
      <c r="G1751" t="s"/>
      <c r="H1751" t="s"/>
      <c r="I1751" t="s"/>
      <c r="J1751" t="n">
        <v>0</v>
      </c>
      <c r="K1751" t="n">
        <v>0</v>
      </c>
      <c r="L1751" t="n">
        <v>1</v>
      </c>
      <c r="M1751" t="n">
        <v>0</v>
      </c>
    </row>
    <row r="1752" spans="1:13">
      <c r="A1752" s="1">
        <f>HYPERLINK("http://www.twitter.com/NathanBLawrence/status/985995350216531969", "985995350216531969")</f>
        <v/>
      </c>
      <c r="B1752" s="2" t="n">
        <v>43206.90028935186</v>
      </c>
      <c r="C1752" t="n">
        <v>0</v>
      </c>
      <c r="D1752" t="n">
        <v>2</v>
      </c>
      <c r="E1752" t="s">
        <v>1758</v>
      </c>
      <c r="F1752" t="s"/>
      <c r="G1752" t="s"/>
      <c r="H1752" t="s"/>
      <c r="I1752" t="s"/>
      <c r="J1752" t="n">
        <v>-0.2732</v>
      </c>
      <c r="K1752" t="n">
        <v>0.123</v>
      </c>
      <c r="L1752" t="n">
        <v>0.877</v>
      </c>
      <c r="M1752" t="n">
        <v>0</v>
      </c>
    </row>
    <row r="1753" spans="1:13">
      <c r="A1753" s="1">
        <f>HYPERLINK("http://www.twitter.com/NathanBLawrence/status/985960294202650624", "985960294202650624")</f>
        <v/>
      </c>
      <c r="B1753" s="2" t="n">
        <v>43206.80355324074</v>
      </c>
      <c r="C1753" t="n">
        <v>0</v>
      </c>
      <c r="D1753" t="n">
        <v>1</v>
      </c>
      <c r="E1753" t="s">
        <v>1759</v>
      </c>
      <c r="F1753" t="s"/>
      <c r="G1753" t="s"/>
      <c r="H1753" t="s"/>
      <c r="I1753" t="s"/>
      <c r="J1753" t="n">
        <v>-0.5411</v>
      </c>
      <c r="K1753" t="n">
        <v>0.28</v>
      </c>
      <c r="L1753" t="n">
        <v>0.72</v>
      </c>
      <c r="M1753" t="n">
        <v>0</v>
      </c>
    </row>
    <row r="1754" spans="1:13">
      <c r="A1754" s="1">
        <f>HYPERLINK("http://www.twitter.com/NathanBLawrence/status/985958692330885120", "985958692330885120")</f>
        <v/>
      </c>
      <c r="B1754" s="2" t="n">
        <v>43206.79913194444</v>
      </c>
      <c r="C1754" t="n">
        <v>1</v>
      </c>
      <c r="D1754" t="n">
        <v>1</v>
      </c>
      <c r="E1754" t="s">
        <v>1760</v>
      </c>
      <c r="F1754" t="s"/>
      <c r="G1754" t="s"/>
      <c r="H1754" t="s"/>
      <c r="I1754" t="s"/>
      <c r="J1754" t="n">
        <v>-0.5411</v>
      </c>
      <c r="K1754" t="n">
        <v>0.333</v>
      </c>
      <c r="L1754" t="n">
        <v>0.667</v>
      </c>
      <c r="M1754" t="n">
        <v>0</v>
      </c>
    </row>
    <row r="1755" spans="1:13">
      <c r="A1755" s="1">
        <f>HYPERLINK("http://www.twitter.com/NathanBLawrence/status/985943646116696064", "985943646116696064")</f>
        <v/>
      </c>
      <c r="B1755" s="2" t="n">
        <v>43206.75760416667</v>
      </c>
      <c r="C1755" t="n">
        <v>0</v>
      </c>
      <c r="D1755" t="n">
        <v>8</v>
      </c>
      <c r="E1755" t="s">
        <v>1761</v>
      </c>
      <c r="F1755" t="s"/>
      <c r="G1755" t="s"/>
      <c r="H1755" t="s"/>
      <c r="I1755" t="s"/>
      <c r="J1755" t="n">
        <v>-0.1027</v>
      </c>
      <c r="K1755" t="n">
        <v>0.098</v>
      </c>
      <c r="L1755" t="n">
        <v>0.82</v>
      </c>
      <c r="M1755" t="n">
        <v>0.082</v>
      </c>
    </row>
    <row r="1756" spans="1:13">
      <c r="A1756" s="1">
        <f>HYPERLINK("http://www.twitter.com/NathanBLawrence/status/985942047076048898", "985942047076048898")</f>
        <v/>
      </c>
      <c r="B1756" s="2" t="n">
        <v>43206.75319444444</v>
      </c>
      <c r="C1756" t="n">
        <v>2</v>
      </c>
      <c r="D1756" t="n">
        <v>1</v>
      </c>
      <c r="E1756" t="s">
        <v>1762</v>
      </c>
      <c r="F1756" t="s"/>
      <c r="G1756" t="s"/>
      <c r="H1756" t="s"/>
      <c r="I1756" t="s"/>
      <c r="J1756" t="n">
        <v>0.2008</v>
      </c>
      <c r="K1756" t="n">
        <v>0.098</v>
      </c>
      <c r="L1756" t="n">
        <v>0.772</v>
      </c>
      <c r="M1756" t="n">
        <v>0.13</v>
      </c>
    </row>
    <row r="1757" spans="1:13">
      <c r="A1757" s="1">
        <f>HYPERLINK("http://www.twitter.com/NathanBLawrence/status/985941082339979264", "985941082339979264")</f>
        <v/>
      </c>
      <c r="B1757" s="2" t="n">
        <v>43206.75053240741</v>
      </c>
      <c r="C1757" t="n">
        <v>0</v>
      </c>
      <c r="D1757" t="n">
        <v>4</v>
      </c>
      <c r="E1757" t="s">
        <v>1763</v>
      </c>
      <c r="F1757" t="s"/>
      <c r="G1757" t="s"/>
      <c r="H1757" t="s"/>
      <c r="I1757" t="s"/>
      <c r="J1757" t="n">
        <v>-0.5849</v>
      </c>
      <c r="K1757" t="n">
        <v>0.166</v>
      </c>
      <c r="L1757" t="n">
        <v>0.834</v>
      </c>
      <c r="M1757" t="n">
        <v>0</v>
      </c>
    </row>
    <row r="1758" spans="1:13">
      <c r="A1758" s="1">
        <f>HYPERLINK("http://www.twitter.com/NathanBLawrence/status/985939728934555648", "985939728934555648")</f>
        <v/>
      </c>
      <c r="B1758" s="2" t="n">
        <v>43206.74679398148</v>
      </c>
      <c r="C1758" t="n">
        <v>4</v>
      </c>
      <c r="D1758" t="n">
        <v>4</v>
      </c>
      <c r="E1758" t="s">
        <v>1764</v>
      </c>
      <c r="F1758" t="s"/>
      <c r="G1758" t="s"/>
      <c r="H1758" t="s"/>
      <c r="I1758" t="s"/>
      <c r="J1758" t="n">
        <v>-0.9308999999999999</v>
      </c>
      <c r="K1758" t="n">
        <v>0.307</v>
      </c>
      <c r="L1758" t="n">
        <v>0.647</v>
      </c>
      <c r="M1758" t="n">
        <v>0.046</v>
      </c>
    </row>
    <row r="1759" spans="1:13">
      <c r="A1759" s="1">
        <f>HYPERLINK("http://www.twitter.com/NathanBLawrence/status/985937934749757442", "985937934749757442")</f>
        <v/>
      </c>
      <c r="B1759" s="2" t="n">
        <v>43206.74185185185</v>
      </c>
      <c r="C1759" t="n">
        <v>0</v>
      </c>
      <c r="D1759" t="n">
        <v>2</v>
      </c>
      <c r="E1759" t="s">
        <v>1765</v>
      </c>
      <c r="F1759" t="s"/>
      <c r="G1759" t="s"/>
      <c r="H1759" t="s"/>
      <c r="I1759" t="s"/>
      <c r="J1759" t="n">
        <v>-0.296</v>
      </c>
      <c r="K1759" t="n">
        <v>0.234</v>
      </c>
      <c r="L1759" t="n">
        <v>0.631</v>
      </c>
      <c r="M1759" t="n">
        <v>0.135</v>
      </c>
    </row>
    <row r="1760" spans="1:13">
      <c r="A1760" s="1">
        <f>HYPERLINK("http://www.twitter.com/NathanBLawrence/status/985937389544755202", "985937389544755202")</f>
        <v/>
      </c>
      <c r="B1760" s="2" t="n">
        <v>43206.74034722222</v>
      </c>
      <c r="C1760" t="n">
        <v>0</v>
      </c>
      <c r="D1760" t="n">
        <v>1</v>
      </c>
      <c r="E1760" t="s">
        <v>1766</v>
      </c>
      <c r="F1760" t="s"/>
      <c r="G1760" t="s"/>
      <c r="H1760" t="s"/>
      <c r="I1760" t="s"/>
      <c r="J1760" t="n">
        <v>-0.5413</v>
      </c>
      <c r="K1760" t="n">
        <v>0.149</v>
      </c>
      <c r="L1760" t="n">
        <v>0.851</v>
      </c>
      <c r="M1760" t="n">
        <v>0</v>
      </c>
    </row>
    <row r="1761" spans="1:13">
      <c r="A1761" s="1">
        <f>HYPERLINK("http://www.twitter.com/NathanBLawrence/status/985937289489600513", "985937289489600513")</f>
        <v/>
      </c>
      <c r="B1761" s="2" t="n">
        <v>43206.74006944444</v>
      </c>
      <c r="C1761" t="n">
        <v>0</v>
      </c>
      <c r="D1761" t="n">
        <v>1</v>
      </c>
      <c r="E1761" t="s">
        <v>1767</v>
      </c>
      <c r="F1761" t="s"/>
      <c r="G1761" t="s"/>
      <c r="H1761" t="s"/>
      <c r="I1761" t="s"/>
      <c r="J1761" t="n">
        <v>-0.5413</v>
      </c>
      <c r="K1761" t="n">
        <v>0.155</v>
      </c>
      <c r="L1761" t="n">
        <v>0.845</v>
      </c>
      <c r="M1761" t="n">
        <v>0</v>
      </c>
    </row>
    <row r="1762" spans="1:13">
      <c r="A1762" s="1">
        <f>HYPERLINK("http://www.twitter.com/NathanBLawrence/status/985935451121946624", "985935451121946624")</f>
        <v/>
      </c>
      <c r="B1762" s="2" t="n">
        <v>43206.73498842592</v>
      </c>
      <c r="C1762" t="n">
        <v>2</v>
      </c>
      <c r="D1762" t="n">
        <v>2</v>
      </c>
      <c r="E1762" t="s">
        <v>1768</v>
      </c>
      <c r="F1762" t="s"/>
      <c r="G1762" t="s"/>
      <c r="H1762" t="s"/>
      <c r="I1762" t="s"/>
      <c r="J1762" t="n">
        <v>-0.296</v>
      </c>
      <c r="K1762" t="n">
        <v>0.257</v>
      </c>
      <c r="L1762" t="n">
        <v>0.594</v>
      </c>
      <c r="M1762" t="n">
        <v>0.149</v>
      </c>
    </row>
    <row r="1763" spans="1:13">
      <c r="A1763" s="1">
        <f>HYPERLINK("http://www.twitter.com/NathanBLawrence/status/985934594305417218", "985934594305417218")</f>
        <v/>
      </c>
      <c r="B1763" s="2" t="n">
        <v>43206.73262731481</v>
      </c>
      <c r="C1763" t="n">
        <v>0</v>
      </c>
      <c r="D1763" t="n">
        <v>1</v>
      </c>
      <c r="E1763" t="s">
        <v>1769</v>
      </c>
      <c r="F1763" t="s"/>
      <c r="G1763" t="s"/>
      <c r="H1763" t="s"/>
      <c r="I1763" t="s"/>
      <c r="J1763" t="n">
        <v>0.4767</v>
      </c>
      <c r="K1763" t="n">
        <v>0</v>
      </c>
      <c r="L1763" t="n">
        <v>0.8070000000000001</v>
      </c>
      <c r="M1763" t="n">
        <v>0.193</v>
      </c>
    </row>
    <row r="1764" spans="1:13">
      <c r="A1764" s="1">
        <f>HYPERLINK("http://www.twitter.com/NathanBLawrence/status/985934311701602305", "985934311701602305")</f>
        <v/>
      </c>
      <c r="B1764" s="2" t="n">
        <v>43206.73185185185</v>
      </c>
      <c r="C1764" t="n">
        <v>2</v>
      </c>
      <c r="D1764" t="n">
        <v>1</v>
      </c>
      <c r="E1764" t="s">
        <v>1770</v>
      </c>
      <c r="F1764" t="s"/>
      <c r="G1764" t="s"/>
      <c r="H1764" t="s"/>
      <c r="I1764" t="s"/>
      <c r="J1764" t="n">
        <v>0.4767</v>
      </c>
      <c r="K1764" t="n">
        <v>0</v>
      </c>
      <c r="L1764" t="n">
        <v>0.78</v>
      </c>
      <c r="M1764" t="n">
        <v>0.22</v>
      </c>
    </row>
    <row r="1765" spans="1:13">
      <c r="A1765" s="1">
        <f>HYPERLINK("http://www.twitter.com/NathanBLawrence/status/985933746640703495", "985933746640703495")</f>
        <v/>
      </c>
      <c r="B1765" s="2" t="n">
        <v>43206.73028935185</v>
      </c>
      <c r="C1765" t="n">
        <v>0</v>
      </c>
      <c r="D1765" t="n">
        <v>3</v>
      </c>
      <c r="E1765" t="s">
        <v>1771</v>
      </c>
      <c r="F1765" t="s"/>
      <c r="G1765" t="s"/>
      <c r="H1765" t="s"/>
      <c r="I1765" t="s"/>
      <c r="J1765" t="n">
        <v>-0.296</v>
      </c>
      <c r="K1765" t="n">
        <v>0.121</v>
      </c>
      <c r="L1765" t="n">
        <v>0.879</v>
      </c>
      <c r="M1765" t="n">
        <v>0</v>
      </c>
    </row>
    <row r="1766" spans="1:13">
      <c r="A1766" s="1">
        <f>HYPERLINK("http://www.twitter.com/NathanBLawrence/status/985923945999294468", "985923945999294468")</f>
        <v/>
      </c>
      <c r="B1766" s="2" t="n">
        <v>43206.70324074074</v>
      </c>
      <c r="C1766" t="n">
        <v>0</v>
      </c>
      <c r="D1766" t="n">
        <v>1</v>
      </c>
      <c r="E1766" t="s">
        <v>1772</v>
      </c>
      <c r="F1766" t="s"/>
      <c r="G1766" t="s"/>
      <c r="H1766" t="s"/>
      <c r="I1766" t="s"/>
      <c r="J1766" t="n">
        <v>0</v>
      </c>
      <c r="K1766" t="n">
        <v>0</v>
      </c>
      <c r="L1766" t="n">
        <v>1</v>
      </c>
      <c r="M1766" t="n">
        <v>0</v>
      </c>
    </row>
    <row r="1767" spans="1:13">
      <c r="A1767" s="1">
        <f>HYPERLINK("http://www.twitter.com/NathanBLawrence/status/985923877560836096", "985923877560836096")</f>
        <v/>
      </c>
      <c r="B1767" s="2" t="n">
        <v>43206.70305555555</v>
      </c>
      <c r="C1767" t="n">
        <v>3</v>
      </c>
      <c r="D1767" t="n">
        <v>1</v>
      </c>
      <c r="E1767" t="s">
        <v>1773</v>
      </c>
      <c r="F1767" t="s"/>
      <c r="G1767" t="s"/>
      <c r="H1767" t="s"/>
      <c r="I1767" t="s"/>
      <c r="J1767" t="n">
        <v>0</v>
      </c>
      <c r="K1767" t="n">
        <v>0</v>
      </c>
      <c r="L1767" t="n">
        <v>1</v>
      </c>
      <c r="M1767" t="n">
        <v>0</v>
      </c>
    </row>
    <row r="1768" spans="1:13">
      <c r="A1768" s="1">
        <f>HYPERLINK("http://www.twitter.com/NathanBLawrence/status/985923448319954944", "985923448319954944")</f>
        <v/>
      </c>
      <c r="B1768" s="2" t="n">
        <v>43206.701875</v>
      </c>
      <c r="C1768" t="n">
        <v>0</v>
      </c>
      <c r="D1768" t="n">
        <v>15</v>
      </c>
      <c r="E1768" t="s">
        <v>1774</v>
      </c>
      <c r="F1768" t="s"/>
      <c r="G1768" t="s"/>
      <c r="H1768" t="s"/>
      <c r="I1768" t="s"/>
      <c r="J1768" t="n">
        <v>-0.0423</v>
      </c>
      <c r="K1768" t="n">
        <v>0.095</v>
      </c>
      <c r="L1768" t="n">
        <v>0.8179999999999999</v>
      </c>
      <c r="M1768" t="n">
        <v>0.08799999999999999</v>
      </c>
    </row>
    <row r="1769" spans="1:13">
      <c r="A1769" s="1">
        <f>HYPERLINK("http://www.twitter.com/NathanBLawrence/status/985921331194712064", "985921331194712064")</f>
        <v/>
      </c>
      <c r="B1769" s="2" t="n">
        <v>43206.69603009259</v>
      </c>
      <c r="C1769" t="n">
        <v>3</v>
      </c>
      <c r="D1769" t="n">
        <v>0</v>
      </c>
      <c r="E1769" t="s">
        <v>1775</v>
      </c>
      <c r="F1769" t="s"/>
      <c r="G1769" t="s"/>
      <c r="H1769" t="s"/>
      <c r="I1769" t="s"/>
      <c r="J1769" t="n">
        <v>-0.6239</v>
      </c>
      <c r="K1769" t="n">
        <v>0.124</v>
      </c>
      <c r="L1769" t="n">
        <v>0.876</v>
      </c>
      <c r="M1769" t="n">
        <v>0</v>
      </c>
    </row>
    <row r="1770" spans="1:13">
      <c r="A1770" s="1">
        <f>HYPERLINK("http://www.twitter.com/NathanBLawrence/status/985919643691962368", "985919643691962368")</f>
        <v/>
      </c>
      <c r="B1770" s="2" t="n">
        <v>43206.69137731481</v>
      </c>
      <c r="C1770" t="n">
        <v>0</v>
      </c>
      <c r="D1770" t="n">
        <v>5</v>
      </c>
      <c r="E1770" t="s">
        <v>1776</v>
      </c>
      <c r="F1770" t="s"/>
      <c r="G1770" t="s"/>
      <c r="H1770" t="s"/>
      <c r="I1770" t="s"/>
      <c r="J1770" t="n">
        <v>0</v>
      </c>
      <c r="K1770" t="n">
        <v>0</v>
      </c>
      <c r="L1770" t="n">
        <v>1</v>
      </c>
      <c r="M1770" t="n">
        <v>0</v>
      </c>
    </row>
    <row r="1771" spans="1:13">
      <c r="A1771" s="1">
        <f>HYPERLINK("http://www.twitter.com/NathanBLawrence/status/985919211846488064", "985919211846488064")</f>
        <v/>
      </c>
      <c r="B1771" s="2" t="n">
        <v>43206.69018518519</v>
      </c>
      <c r="C1771" t="n">
        <v>0</v>
      </c>
      <c r="D1771" t="n">
        <v>47</v>
      </c>
      <c r="E1771" t="s">
        <v>1777</v>
      </c>
      <c r="F1771" t="s"/>
      <c r="G1771" t="s"/>
      <c r="H1771" t="s"/>
      <c r="I1771" t="s"/>
      <c r="J1771" t="n">
        <v>-0.5859</v>
      </c>
      <c r="K1771" t="n">
        <v>0.252</v>
      </c>
      <c r="L1771" t="n">
        <v>0.65</v>
      </c>
      <c r="M1771" t="n">
        <v>0.098</v>
      </c>
    </row>
    <row r="1772" spans="1:13">
      <c r="A1772" s="1">
        <f>HYPERLINK("http://www.twitter.com/NathanBLawrence/status/985916477353152514", "985916477353152514")</f>
        <v/>
      </c>
      <c r="B1772" s="2" t="n">
        <v>43206.68263888889</v>
      </c>
      <c r="C1772" t="n">
        <v>0</v>
      </c>
      <c r="D1772" t="n">
        <v>4</v>
      </c>
      <c r="E1772" t="s">
        <v>1778</v>
      </c>
      <c r="F1772" t="s"/>
      <c r="G1772" t="s"/>
      <c r="H1772" t="s"/>
      <c r="I1772" t="s"/>
      <c r="J1772" t="n">
        <v>-0.3612</v>
      </c>
      <c r="K1772" t="n">
        <v>0.238</v>
      </c>
      <c r="L1772" t="n">
        <v>0.762</v>
      </c>
      <c r="M1772" t="n">
        <v>0</v>
      </c>
    </row>
    <row r="1773" spans="1:13">
      <c r="A1773" s="1">
        <f>HYPERLINK("http://www.twitter.com/NathanBLawrence/status/985913721489969153", "985913721489969153")</f>
        <v/>
      </c>
      <c r="B1773" s="2" t="n">
        <v>43206.67503472222</v>
      </c>
      <c r="C1773" t="n">
        <v>0</v>
      </c>
      <c r="D1773" t="n">
        <v>2</v>
      </c>
      <c r="E1773" t="s">
        <v>1779</v>
      </c>
      <c r="F1773" t="s"/>
      <c r="G1773" t="s"/>
      <c r="H1773" t="s"/>
      <c r="I1773" t="s"/>
      <c r="J1773" t="n">
        <v>0</v>
      </c>
      <c r="K1773" t="n">
        <v>0</v>
      </c>
      <c r="L1773" t="n">
        <v>1</v>
      </c>
      <c r="M1773" t="n">
        <v>0</v>
      </c>
    </row>
    <row r="1774" spans="1:13">
      <c r="A1774" s="1">
        <f>HYPERLINK("http://www.twitter.com/NathanBLawrence/status/985913678196297728", "985913678196297728")</f>
        <v/>
      </c>
      <c r="B1774" s="2" t="n">
        <v>43206.67490740741</v>
      </c>
      <c r="C1774" t="n">
        <v>2</v>
      </c>
      <c r="D1774" t="n">
        <v>2</v>
      </c>
      <c r="E1774" t="s">
        <v>1780</v>
      </c>
      <c r="F1774" t="s"/>
      <c r="G1774" t="s"/>
      <c r="H1774" t="s"/>
      <c r="I1774" t="s"/>
      <c r="J1774" t="n">
        <v>-0.3089</v>
      </c>
      <c r="K1774" t="n">
        <v>0.043</v>
      </c>
      <c r="L1774" t="n">
        <v>0.957</v>
      </c>
      <c r="M1774" t="n">
        <v>0</v>
      </c>
    </row>
    <row r="1775" spans="1:13">
      <c r="A1775" s="1">
        <f>HYPERLINK("http://www.twitter.com/NathanBLawrence/status/985910965173653504", "985910965173653504")</f>
        <v/>
      </c>
      <c r="B1775" s="2" t="n">
        <v>43206.66743055556</v>
      </c>
      <c r="C1775" t="n">
        <v>0</v>
      </c>
      <c r="D1775" t="n">
        <v>12</v>
      </c>
      <c r="E1775" t="s">
        <v>1781</v>
      </c>
      <c r="F1775" t="s"/>
      <c r="G1775" t="s"/>
      <c r="H1775" t="s"/>
      <c r="I1775" t="s"/>
      <c r="J1775" t="n">
        <v>0</v>
      </c>
      <c r="K1775" t="n">
        <v>0.139</v>
      </c>
      <c r="L1775" t="n">
        <v>0.722</v>
      </c>
      <c r="M1775" t="n">
        <v>0.139</v>
      </c>
    </row>
    <row r="1776" spans="1:13">
      <c r="A1776" s="1">
        <f>HYPERLINK("http://www.twitter.com/NathanBLawrence/status/985910595378733057", "985910595378733057")</f>
        <v/>
      </c>
      <c r="B1776" s="2" t="n">
        <v>43206.66640046296</v>
      </c>
      <c r="C1776" t="n">
        <v>0</v>
      </c>
      <c r="D1776" t="n">
        <v>32</v>
      </c>
      <c r="E1776" t="s">
        <v>1782</v>
      </c>
      <c r="F1776">
        <f>HYPERLINK("http://pbs.twimg.com/media/Da6ll6QUQAEeT2-.jpg", "http://pbs.twimg.com/media/Da6ll6QUQAEeT2-.jpg")</f>
        <v/>
      </c>
      <c r="G1776">
        <f>HYPERLINK("http://pbs.twimg.com/media/Da6ll6QUQAAOIFW.jpg", "http://pbs.twimg.com/media/Da6ll6QUQAAOIFW.jpg")</f>
        <v/>
      </c>
      <c r="H1776">
        <f>HYPERLINK("http://pbs.twimg.com/media/Da6ll6PU8AAIdWq.jpg", "http://pbs.twimg.com/media/Da6ll6PU8AAIdWq.jpg")</f>
        <v/>
      </c>
      <c r="I1776">
        <f>HYPERLINK("http://pbs.twimg.com/media/Da6ll6PUQAAAO-h.jpg", "http://pbs.twimg.com/media/Da6ll6PUQAAAO-h.jpg")</f>
        <v/>
      </c>
      <c r="J1776" t="n">
        <v>0.2003</v>
      </c>
      <c r="K1776" t="n">
        <v>0.144</v>
      </c>
      <c r="L1776" t="n">
        <v>0.68</v>
      </c>
      <c r="M1776" t="n">
        <v>0.176</v>
      </c>
    </row>
    <row r="1777" spans="1:13">
      <c r="A1777" s="1">
        <f>HYPERLINK("http://www.twitter.com/NathanBLawrence/status/985910115277697024", "985910115277697024")</f>
        <v/>
      </c>
      <c r="B1777" s="2" t="n">
        <v>43206.66508101852</v>
      </c>
      <c r="C1777" t="n">
        <v>0</v>
      </c>
      <c r="D1777" t="n">
        <v>1</v>
      </c>
      <c r="E1777" t="s">
        <v>1783</v>
      </c>
      <c r="F1777" t="s"/>
      <c r="G1777" t="s"/>
      <c r="H1777" t="s"/>
      <c r="I1777" t="s"/>
      <c r="J1777" t="n">
        <v>-0.4019</v>
      </c>
      <c r="K1777" t="n">
        <v>0.206</v>
      </c>
      <c r="L1777" t="n">
        <v>0.7</v>
      </c>
      <c r="M1777" t="n">
        <v>0.095</v>
      </c>
    </row>
    <row r="1778" spans="1:13">
      <c r="A1778" s="1">
        <f>HYPERLINK("http://www.twitter.com/NathanBLawrence/status/985910060940488710", "985910060940488710")</f>
        <v/>
      </c>
      <c r="B1778" s="2" t="n">
        <v>43206.66493055555</v>
      </c>
      <c r="C1778" t="n">
        <v>2</v>
      </c>
      <c r="D1778" t="n">
        <v>1</v>
      </c>
      <c r="E1778" t="s">
        <v>1784</v>
      </c>
      <c r="F1778" t="s"/>
      <c r="G1778" t="s"/>
      <c r="H1778" t="s"/>
      <c r="I1778" t="s"/>
      <c r="J1778" t="n">
        <v>-0.4696</v>
      </c>
      <c r="K1778" t="n">
        <v>0.237</v>
      </c>
      <c r="L1778" t="n">
        <v>0.662</v>
      </c>
      <c r="M1778" t="n">
        <v>0.102</v>
      </c>
    </row>
    <row r="1779" spans="1:13">
      <c r="A1779" s="1">
        <f>HYPERLINK("http://www.twitter.com/NathanBLawrence/status/985909665300123648", "985909665300123648")</f>
        <v/>
      </c>
      <c r="B1779" s="2" t="n">
        <v>43206.66384259259</v>
      </c>
      <c r="C1779" t="n">
        <v>0</v>
      </c>
      <c r="D1779" t="n">
        <v>1</v>
      </c>
      <c r="E1779" t="s">
        <v>1785</v>
      </c>
      <c r="F1779" t="s"/>
      <c r="G1779" t="s"/>
      <c r="H1779" t="s"/>
      <c r="I1779" t="s"/>
      <c r="J1779" t="n">
        <v>0.3612</v>
      </c>
      <c r="K1779" t="n">
        <v>0</v>
      </c>
      <c r="L1779" t="n">
        <v>0.878</v>
      </c>
      <c r="M1779" t="n">
        <v>0.122</v>
      </c>
    </row>
    <row r="1780" spans="1:13">
      <c r="A1780" s="1">
        <f>HYPERLINK("http://www.twitter.com/NathanBLawrence/status/985909599806087169", "985909599806087169")</f>
        <v/>
      </c>
      <c r="B1780" s="2" t="n">
        <v>43206.66365740741</v>
      </c>
      <c r="C1780" t="n">
        <v>0</v>
      </c>
      <c r="D1780" t="n">
        <v>1</v>
      </c>
      <c r="E1780" t="s">
        <v>1786</v>
      </c>
      <c r="F1780" t="s"/>
      <c r="G1780" t="s"/>
      <c r="H1780" t="s"/>
      <c r="I1780" t="s"/>
      <c r="J1780" t="n">
        <v>-0.5859</v>
      </c>
      <c r="K1780" t="n">
        <v>0.124</v>
      </c>
      <c r="L1780" t="n">
        <v>0.803</v>
      </c>
      <c r="M1780" t="n">
        <v>0.073</v>
      </c>
    </row>
    <row r="1781" spans="1:13">
      <c r="A1781" s="1">
        <f>HYPERLINK("http://www.twitter.com/NathanBLawrence/status/985897071298469890", "985897071298469890")</f>
        <v/>
      </c>
      <c r="B1781" s="2" t="n">
        <v>43206.62908564815</v>
      </c>
      <c r="C1781" t="n">
        <v>0</v>
      </c>
      <c r="D1781" t="n">
        <v>0</v>
      </c>
      <c r="E1781" t="s">
        <v>1787</v>
      </c>
      <c r="F1781" t="s"/>
      <c r="G1781" t="s"/>
      <c r="H1781" t="s"/>
      <c r="I1781" t="s"/>
      <c r="J1781" t="n">
        <v>0</v>
      </c>
      <c r="K1781" t="n">
        <v>0</v>
      </c>
      <c r="L1781" t="n">
        <v>1</v>
      </c>
      <c r="M1781" t="n">
        <v>0</v>
      </c>
    </row>
    <row r="1782" spans="1:13">
      <c r="A1782" s="1">
        <f>HYPERLINK("http://www.twitter.com/NathanBLawrence/status/985896591746793474", "985896591746793474")</f>
        <v/>
      </c>
      <c r="B1782" s="2" t="n">
        <v>43206.6277662037</v>
      </c>
      <c r="C1782" t="n">
        <v>0</v>
      </c>
      <c r="D1782" t="n">
        <v>24</v>
      </c>
      <c r="E1782" t="s">
        <v>1788</v>
      </c>
      <c r="F1782" t="s"/>
      <c r="G1782" t="s"/>
      <c r="H1782" t="s"/>
      <c r="I1782" t="s"/>
      <c r="J1782" t="n">
        <v>0</v>
      </c>
      <c r="K1782" t="n">
        <v>0</v>
      </c>
      <c r="L1782" t="n">
        <v>1</v>
      </c>
      <c r="M1782" t="n">
        <v>0</v>
      </c>
    </row>
    <row r="1783" spans="1:13">
      <c r="A1783" s="1">
        <f>HYPERLINK("http://www.twitter.com/NathanBLawrence/status/985895420315557889", "985895420315557889")</f>
        <v/>
      </c>
      <c r="B1783" s="2" t="n">
        <v>43206.62452546296</v>
      </c>
      <c r="C1783" t="n">
        <v>0</v>
      </c>
      <c r="D1783" t="n">
        <v>1</v>
      </c>
      <c r="E1783" t="s">
        <v>1789</v>
      </c>
      <c r="F1783" t="s"/>
      <c r="G1783" t="s"/>
      <c r="H1783" t="s"/>
      <c r="I1783" t="s"/>
      <c r="J1783" t="n">
        <v>0.3612</v>
      </c>
      <c r="K1783" t="n">
        <v>0</v>
      </c>
      <c r="L1783" t="n">
        <v>0.848</v>
      </c>
      <c r="M1783" t="n">
        <v>0.152</v>
      </c>
    </row>
    <row r="1784" spans="1:13">
      <c r="A1784" s="1">
        <f>HYPERLINK("http://www.twitter.com/NathanBLawrence/status/985895386861789185", "985895386861789185")</f>
        <v/>
      </c>
      <c r="B1784" s="2" t="n">
        <v>43206.62443287037</v>
      </c>
      <c r="C1784" t="n">
        <v>0</v>
      </c>
      <c r="D1784" t="n">
        <v>3</v>
      </c>
      <c r="E1784" t="s">
        <v>1790</v>
      </c>
      <c r="F1784" t="s"/>
      <c r="G1784" t="s"/>
      <c r="H1784" t="s"/>
      <c r="I1784" t="s"/>
      <c r="J1784" t="n">
        <v>0.3182</v>
      </c>
      <c r="K1784" t="n">
        <v>0.076</v>
      </c>
      <c r="L1784" t="n">
        <v>0.798</v>
      </c>
      <c r="M1784" t="n">
        <v>0.125</v>
      </c>
    </row>
    <row r="1785" spans="1:13">
      <c r="A1785" s="1">
        <f>HYPERLINK("http://www.twitter.com/NathanBLawrence/status/985895288635305984", "985895288635305984")</f>
        <v/>
      </c>
      <c r="B1785" s="2" t="n">
        <v>43206.62416666667</v>
      </c>
      <c r="C1785" t="n">
        <v>0</v>
      </c>
      <c r="D1785" t="n">
        <v>0</v>
      </c>
      <c r="E1785" t="s">
        <v>1791</v>
      </c>
      <c r="F1785" t="s"/>
      <c r="G1785" t="s"/>
      <c r="H1785" t="s"/>
      <c r="I1785" t="s"/>
      <c r="J1785" t="n">
        <v>0</v>
      </c>
      <c r="K1785" t="n">
        <v>0</v>
      </c>
      <c r="L1785" t="n">
        <v>1</v>
      </c>
      <c r="M1785" t="n">
        <v>0</v>
      </c>
    </row>
    <row r="1786" spans="1:13">
      <c r="A1786" s="1">
        <f>HYPERLINK("http://www.twitter.com/NathanBLawrence/status/985886562507481089", "985886562507481089")</f>
        <v/>
      </c>
      <c r="B1786" s="2" t="n">
        <v>43206.60009259259</v>
      </c>
      <c r="C1786" t="n">
        <v>4</v>
      </c>
      <c r="D1786" t="n">
        <v>1</v>
      </c>
      <c r="E1786" t="s">
        <v>1792</v>
      </c>
      <c r="F1786" t="s"/>
      <c r="G1786" t="s"/>
      <c r="H1786" t="s"/>
      <c r="I1786" t="s"/>
      <c r="J1786" t="n">
        <v>0.4172</v>
      </c>
      <c r="K1786" t="n">
        <v>0.031</v>
      </c>
      <c r="L1786" t="n">
        <v>0.87</v>
      </c>
      <c r="M1786" t="n">
        <v>0.099</v>
      </c>
    </row>
    <row r="1787" spans="1:13">
      <c r="A1787" s="1">
        <f>HYPERLINK("http://www.twitter.com/NathanBLawrence/status/985867915856678912", "985867915856678912")</f>
        <v/>
      </c>
      <c r="B1787" s="2" t="n">
        <v>43206.54863425926</v>
      </c>
      <c r="C1787" t="n">
        <v>0</v>
      </c>
      <c r="D1787" t="n">
        <v>10</v>
      </c>
      <c r="E1787" t="s">
        <v>1793</v>
      </c>
      <c r="F1787" t="s"/>
      <c r="G1787" t="s"/>
      <c r="H1787" t="s"/>
      <c r="I1787" t="s"/>
      <c r="J1787" t="n">
        <v>-0.6249</v>
      </c>
      <c r="K1787" t="n">
        <v>0.215</v>
      </c>
      <c r="L1787" t="n">
        <v>0.728</v>
      </c>
      <c r="M1787" t="n">
        <v>0.057</v>
      </c>
    </row>
    <row r="1788" spans="1:13">
      <c r="A1788" s="1">
        <f>HYPERLINK("http://www.twitter.com/NathanBLawrence/status/985864962445926400", "985864962445926400")</f>
        <v/>
      </c>
      <c r="B1788" s="2" t="n">
        <v>43206.54048611111</v>
      </c>
      <c r="C1788" t="n">
        <v>0</v>
      </c>
      <c r="D1788" t="n">
        <v>0</v>
      </c>
      <c r="E1788" t="s">
        <v>1794</v>
      </c>
      <c r="F1788" t="s"/>
      <c r="G1788" t="s"/>
      <c r="H1788" t="s"/>
      <c r="I1788" t="s"/>
      <c r="J1788" t="n">
        <v>-0.25</v>
      </c>
      <c r="K1788" t="n">
        <v>0.081</v>
      </c>
      <c r="L1788" t="n">
        <v>0.862</v>
      </c>
      <c r="M1788" t="n">
        <v>0.057</v>
      </c>
    </row>
    <row r="1789" spans="1:13">
      <c r="A1789" s="1">
        <f>HYPERLINK("http://www.twitter.com/NathanBLawrence/status/985864665413640192", "985864665413640192")</f>
        <v/>
      </c>
      <c r="B1789" s="2" t="n">
        <v>43206.53966435185</v>
      </c>
      <c r="C1789" t="n">
        <v>0</v>
      </c>
      <c r="D1789" t="n">
        <v>0</v>
      </c>
      <c r="E1789" t="s">
        <v>1795</v>
      </c>
      <c r="F1789" t="s"/>
      <c r="G1789" t="s"/>
      <c r="H1789" t="s"/>
      <c r="I1789" t="s"/>
      <c r="J1789" t="n">
        <v>0.4824</v>
      </c>
      <c r="K1789" t="n">
        <v>0.057</v>
      </c>
      <c r="L1789" t="n">
        <v>0.8110000000000001</v>
      </c>
      <c r="M1789" t="n">
        <v>0.132</v>
      </c>
    </row>
    <row r="1790" spans="1:13">
      <c r="A1790" s="1">
        <f>HYPERLINK("http://www.twitter.com/NathanBLawrence/status/985863415431417856", "985863415431417856")</f>
        <v/>
      </c>
      <c r="B1790" s="2" t="n">
        <v>43206.53621527777</v>
      </c>
      <c r="C1790" t="n">
        <v>0</v>
      </c>
      <c r="D1790" t="n">
        <v>7</v>
      </c>
      <c r="E1790" t="s">
        <v>1796</v>
      </c>
      <c r="F1790" t="s"/>
      <c r="G1790" t="s"/>
      <c r="H1790" t="s"/>
      <c r="I1790" t="s"/>
      <c r="J1790" t="n">
        <v>0.6289</v>
      </c>
      <c r="K1790" t="n">
        <v>0</v>
      </c>
      <c r="L1790" t="n">
        <v>0.829</v>
      </c>
      <c r="M1790" t="n">
        <v>0.171</v>
      </c>
    </row>
    <row r="1791" spans="1:13">
      <c r="A1791" s="1">
        <f>HYPERLINK("http://www.twitter.com/NathanBLawrence/status/985863367800905728", "985863367800905728")</f>
        <v/>
      </c>
      <c r="B1791" s="2" t="n">
        <v>43206.53607638889</v>
      </c>
      <c r="C1791" t="n">
        <v>0</v>
      </c>
      <c r="D1791" t="n">
        <v>6</v>
      </c>
      <c r="E1791" t="s">
        <v>1797</v>
      </c>
      <c r="F1791" t="s"/>
      <c r="G1791" t="s"/>
      <c r="H1791" t="s"/>
      <c r="I1791" t="s"/>
      <c r="J1791" t="n">
        <v>0</v>
      </c>
      <c r="K1791" t="n">
        <v>0</v>
      </c>
      <c r="L1791" t="n">
        <v>1</v>
      </c>
      <c r="M1791" t="n">
        <v>0</v>
      </c>
    </row>
    <row r="1792" spans="1:13">
      <c r="A1792" s="1">
        <f>HYPERLINK("http://www.twitter.com/NathanBLawrence/status/985862096045920256", "985862096045920256")</f>
        <v/>
      </c>
      <c r="B1792" s="2" t="n">
        <v>43206.53256944445</v>
      </c>
      <c r="C1792" t="n">
        <v>0</v>
      </c>
      <c r="D1792" t="n">
        <v>17</v>
      </c>
      <c r="E1792" t="s">
        <v>1798</v>
      </c>
      <c r="F1792" t="s"/>
      <c r="G1792" t="s"/>
      <c r="H1792" t="s"/>
      <c r="I1792" t="s"/>
      <c r="J1792" t="n">
        <v>-0.4404</v>
      </c>
      <c r="K1792" t="n">
        <v>0.146</v>
      </c>
      <c r="L1792" t="n">
        <v>0.854</v>
      </c>
      <c r="M1792" t="n">
        <v>0</v>
      </c>
    </row>
    <row r="1793" spans="1:13">
      <c r="A1793" s="1">
        <f>HYPERLINK("http://www.twitter.com/NathanBLawrence/status/985861224733790211", "985861224733790211")</f>
        <v/>
      </c>
      <c r="B1793" s="2" t="n">
        <v>43206.53017361111</v>
      </c>
      <c r="C1793" t="n">
        <v>0</v>
      </c>
      <c r="D1793" t="n">
        <v>1</v>
      </c>
      <c r="E1793" t="s">
        <v>1799</v>
      </c>
      <c r="F1793" t="s"/>
      <c r="G1793" t="s"/>
      <c r="H1793" t="s"/>
      <c r="I1793" t="s"/>
      <c r="J1793" t="n">
        <v>0</v>
      </c>
      <c r="K1793" t="n">
        <v>0</v>
      </c>
      <c r="L1793" t="n">
        <v>1</v>
      </c>
      <c r="M1793" t="n">
        <v>0</v>
      </c>
    </row>
    <row r="1794" spans="1:13">
      <c r="A1794" s="1">
        <f>HYPERLINK("http://www.twitter.com/NathanBLawrence/status/985860883141230594", "985860883141230594")</f>
        <v/>
      </c>
      <c r="B1794" s="2" t="n">
        <v>43206.52922453704</v>
      </c>
      <c r="C1794" t="n">
        <v>1</v>
      </c>
      <c r="D1794" t="n">
        <v>1</v>
      </c>
      <c r="E1794" t="s">
        <v>1800</v>
      </c>
      <c r="F1794">
        <f>HYPERLINK("http://pbs.twimg.com/media/Da57J5rXUAEGSVg.jpg", "http://pbs.twimg.com/media/Da57J5rXUAEGSVg.jpg")</f>
        <v/>
      </c>
      <c r="G1794" t="s"/>
      <c r="H1794" t="s"/>
      <c r="I1794" t="s"/>
      <c r="J1794" t="n">
        <v>-0.4588</v>
      </c>
      <c r="K1794" t="n">
        <v>0.067</v>
      </c>
      <c r="L1794" t="n">
        <v>0.9330000000000001</v>
      </c>
      <c r="M1794" t="n">
        <v>0</v>
      </c>
    </row>
    <row r="1795" spans="1:13">
      <c r="A1795" s="1">
        <f>HYPERLINK("http://www.twitter.com/NathanBLawrence/status/985859164504195074", "985859164504195074")</f>
        <v/>
      </c>
      <c r="B1795" s="2" t="n">
        <v>43206.52447916667</v>
      </c>
      <c r="C1795" t="n">
        <v>0</v>
      </c>
      <c r="D1795" t="n">
        <v>3</v>
      </c>
      <c r="E1795" t="s">
        <v>1801</v>
      </c>
      <c r="F1795" t="s"/>
      <c r="G1795" t="s"/>
      <c r="H1795" t="s"/>
      <c r="I1795" t="s"/>
      <c r="J1795" t="n">
        <v>-0.0258</v>
      </c>
      <c r="K1795" t="n">
        <v>0.24</v>
      </c>
      <c r="L1795" t="n">
        <v>0.5570000000000001</v>
      </c>
      <c r="M1795" t="n">
        <v>0.202</v>
      </c>
    </row>
    <row r="1796" spans="1:13">
      <c r="A1796" s="1">
        <f>HYPERLINK("http://www.twitter.com/NathanBLawrence/status/985858909817704449", "985858909817704449")</f>
        <v/>
      </c>
      <c r="B1796" s="2" t="n">
        <v>43206.52378472222</v>
      </c>
      <c r="C1796" t="n">
        <v>0</v>
      </c>
      <c r="D1796" t="n">
        <v>2</v>
      </c>
      <c r="E1796" t="s">
        <v>1802</v>
      </c>
      <c r="F1796" t="s"/>
      <c r="G1796" t="s"/>
      <c r="H1796" t="s"/>
      <c r="I1796" t="s"/>
      <c r="J1796" t="n">
        <v>0.7762</v>
      </c>
      <c r="K1796" t="n">
        <v>0.054</v>
      </c>
      <c r="L1796" t="n">
        <v>0.6840000000000001</v>
      </c>
      <c r="M1796" t="n">
        <v>0.262</v>
      </c>
    </row>
    <row r="1797" spans="1:13">
      <c r="A1797" s="1">
        <f>HYPERLINK("http://www.twitter.com/NathanBLawrence/status/985853607802294272", "985853607802294272")</f>
        <v/>
      </c>
      <c r="B1797" s="2" t="n">
        <v>43206.50915509259</v>
      </c>
      <c r="C1797" t="n">
        <v>1</v>
      </c>
      <c r="D1797" t="n">
        <v>3</v>
      </c>
      <c r="E1797" t="s">
        <v>1803</v>
      </c>
      <c r="F1797" t="s"/>
      <c r="G1797" t="s"/>
      <c r="H1797" t="s"/>
      <c r="I1797" t="s"/>
      <c r="J1797" t="n">
        <v>0.0516</v>
      </c>
      <c r="K1797" t="n">
        <v>0.238</v>
      </c>
      <c r="L1797" t="n">
        <v>0.544</v>
      </c>
      <c r="M1797" t="n">
        <v>0.218</v>
      </c>
    </row>
    <row r="1798" spans="1:13">
      <c r="A1798" s="1">
        <f>HYPERLINK("http://www.twitter.com/NathanBLawrence/status/985853057606082561", "985853057606082561")</f>
        <v/>
      </c>
      <c r="B1798" s="2" t="n">
        <v>43206.50762731482</v>
      </c>
      <c r="C1798" t="n">
        <v>0</v>
      </c>
      <c r="D1798" t="n">
        <v>2</v>
      </c>
      <c r="E1798" t="s">
        <v>1804</v>
      </c>
      <c r="F1798">
        <f>HYPERLINK("http://pbs.twimg.com/media/Da4CqF1UwAANev1.jpg", "http://pbs.twimg.com/media/Da4CqF1UwAANev1.jpg")</f>
        <v/>
      </c>
      <c r="G1798" t="s"/>
      <c r="H1798" t="s"/>
      <c r="I1798" t="s"/>
      <c r="J1798" t="n">
        <v>0</v>
      </c>
      <c r="K1798" t="n">
        <v>0</v>
      </c>
      <c r="L1798" t="n">
        <v>1</v>
      </c>
      <c r="M1798" t="n">
        <v>0</v>
      </c>
    </row>
    <row r="1799" spans="1:13">
      <c r="A1799" s="1">
        <f>HYPERLINK("http://www.twitter.com/NathanBLawrence/status/985836375260975104", "985836375260975104")</f>
        <v/>
      </c>
      <c r="B1799" s="2" t="n">
        <v>43206.46159722222</v>
      </c>
      <c r="C1799" t="n">
        <v>0</v>
      </c>
      <c r="D1799" t="n">
        <v>2</v>
      </c>
      <c r="E1799" t="s">
        <v>1805</v>
      </c>
      <c r="F1799">
        <f>HYPERLINK("http://pbs.twimg.com/media/Da5jlgpW0AALMAe.jpg", "http://pbs.twimg.com/media/Da5jlgpW0AALMAe.jpg")</f>
        <v/>
      </c>
      <c r="G1799" t="s"/>
      <c r="H1799" t="s"/>
      <c r="I1799" t="s"/>
      <c r="J1799" t="n">
        <v>0</v>
      </c>
      <c r="K1799" t="n">
        <v>0</v>
      </c>
      <c r="L1799" t="n">
        <v>1</v>
      </c>
      <c r="M1799" t="n">
        <v>0</v>
      </c>
    </row>
    <row r="1800" spans="1:13">
      <c r="A1800" s="1">
        <f>HYPERLINK("http://www.twitter.com/NathanBLawrence/status/985834968474517504", "985834968474517504")</f>
        <v/>
      </c>
      <c r="B1800" s="2" t="n">
        <v>43206.4577199074</v>
      </c>
      <c r="C1800" t="n">
        <v>0</v>
      </c>
      <c r="D1800" t="n">
        <v>12</v>
      </c>
      <c r="E1800" t="s">
        <v>1806</v>
      </c>
      <c r="F1800">
        <f>HYPERLINK("http://pbs.twimg.com/media/Da5hiugWkAAEOzn.jpg", "http://pbs.twimg.com/media/Da5hiugWkAAEOzn.jpg")</f>
        <v/>
      </c>
      <c r="G1800" t="s"/>
      <c r="H1800" t="s"/>
      <c r="I1800" t="s"/>
      <c r="J1800" t="n">
        <v>0.4374</v>
      </c>
      <c r="K1800" t="n">
        <v>0</v>
      </c>
      <c r="L1800" t="n">
        <v>0.868</v>
      </c>
      <c r="M1800" t="n">
        <v>0.132</v>
      </c>
    </row>
    <row r="1801" spans="1:13">
      <c r="A1801" s="1">
        <f>HYPERLINK("http://www.twitter.com/NathanBLawrence/status/985834898916245506", "985834898916245506")</f>
        <v/>
      </c>
      <c r="B1801" s="2" t="n">
        <v>43206.45752314815</v>
      </c>
      <c r="C1801" t="n">
        <v>4</v>
      </c>
      <c r="D1801" t="n">
        <v>2</v>
      </c>
      <c r="E1801" t="s">
        <v>1807</v>
      </c>
      <c r="F1801">
        <f>HYPERLINK("http://pbs.twimg.com/media/Da5jlgpW0AALMAe.jpg", "http://pbs.twimg.com/media/Da5jlgpW0AALMAe.jpg")</f>
        <v/>
      </c>
      <c r="G1801" t="s"/>
      <c r="H1801" t="s"/>
      <c r="I1801" t="s"/>
      <c r="J1801" t="n">
        <v>0</v>
      </c>
      <c r="K1801" t="n">
        <v>0</v>
      </c>
      <c r="L1801" t="n">
        <v>1</v>
      </c>
      <c r="M1801" t="n">
        <v>0</v>
      </c>
    </row>
    <row r="1802" spans="1:13">
      <c r="A1802" s="1">
        <f>HYPERLINK("http://www.twitter.com/NathanBLawrence/status/985834896013824001", "985834896013824001")</f>
        <v/>
      </c>
      <c r="B1802" s="2" t="n">
        <v>43206.45751157407</v>
      </c>
      <c r="C1802" t="n">
        <v>14</v>
      </c>
      <c r="D1802" t="n">
        <v>12</v>
      </c>
      <c r="E1802" t="s">
        <v>1808</v>
      </c>
      <c r="F1802">
        <f>HYPERLINK("http://pbs.twimg.com/media/Da5hiugWkAAEOzn.jpg", "http://pbs.twimg.com/media/Da5hiugWkAAEOzn.jpg")</f>
        <v/>
      </c>
      <c r="G1802" t="s"/>
      <c r="H1802" t="s"/>
      <c r="I1802" t="s"/>
      <c r="J1802" t="n">
        <v>0.4374</v>
      </c>
      <c r="K1802" t="n">
        <v>0</v>
      </c>
      <c r="L1802" t="n">
        <v>0.907</v>
      </c>
      <c r="M1802" t="n">
        <v>0.093</v>
      </c>
    </row>
    <row r="1803" spans="1:13">
      <c r="A1803" s="1">
        <f>HYPERLINK("http://www.twitter.com/NathanBLawrence/status/985815643357368322", "985815643357368322")</f>
        <v/>
      </c>
      <c r="B1803" s="2" t="n">
        <v>43206.40438657408</v>
      </c>
      <c r="C1803" t="n">
        <v>0</v>
      </c>
      <c r="D1803" t="n">
        <v>3</v>
      </c>
      <c r="E1803" t="s">
        <v>1809</v>
      </c>
      <c r="F1803">
        <f>HYPERLINK("http://pbs.twimg.com/media/Da5QetDWAAATGeI.jpg", "http://pbs.twimg.com/media/Da5QetDWAAATGeI.jpg")</f>
        <v/>
      </c>
      <c r="G1803" t="s"/>
      <c r="H1803" t="s"/>
      <c r="I1803" t="s"/>
      <c r="J1803" t="n">
        <v>0.4574</v>
      </c>
      <c r="K1803" t="n">
        <v>0</v>
      </c>
      <c r="L1803" t="n">
        <v>0.701</v>
      </c>
      <c r="M1803" t="n">
        <v>0.299</v>
      </c>
    </row>
    <row r="1804" spans="1:13">
      <c r="A1804" s="1">
        <f>HYPERLINK("http://www.twitter.com/NathanBLawrence/status/985814415235837952", "985814415235837952")</f>
        <v/>
      </c>
      <c r="B1804" s="2" t="n">
        <v>43206.40099537037</v>
      </c>
      <c r="C1804" t="n">
        <v>0</v>
      </c>
      <c r="D1804" t="n">
        <v>337</v>
      </c>
      <c r="E1804" t="s">
        <v>1810</v>
      </c>
      <c r="F1804">
        <f>HYPERLINK("https://video.twimg.com/ext_tw_video/981689097570824194/pu/vid/1280x720/3tW5rl9UusfvlBIH.mp4?tag=2", "https://video.twimg.com/ext_tw_video/981689097570824194/pu/vid/1280x720/3tW5rl9UusfvlBIH.mp4?tag=2")</f>
        <v/>
      </c>
      <c r="G1804" t="s"/>
      <c r="H1804" t="s"/>
      <c r="I1804" t="s"/>
      <c r="J1804" t="n">
        <v>0</v>
      </c>
      <c r="K1804" t="n">
        <v>0</v>
      </c>
      <c r="L1804" t="n">
        <v>1</v>
      </c>
      <c r="M1804" t="n">
        <v>0</v>
      </c>
    </row>
    <row r="1805" spans="1:13">
      <c r="A1805" s="1">
        <f>HYPERLINK("http://www.twitter.com/NathanBLawrence/status/985814311028379648", "985814311028379648")</f>
        <v/>
      </c>
      <c r="B1805" s="2" t="n">
        <v>43206.40070601852</v>
      </c>
      <c r="C1805" t="n">
        <v>0</v>
      </c>
      <c r="D1805" t="n">
        <v>1</v>
      </c>
      <c r="E1805" t="s">
        <v>1811</v>
      </c>
      <c r="F1805" t="s"/>
      <c r="G1805" t="s"/>
      <c r="H1805" t="s"/>
      <c r="I1805" t="s"/>
      <c r="J1805" t="n">
        <v>0.3612</v>
      </c>
      <c r="K1805" t="n">
        <v>0</v>
      </c>
      <c r="L1805" t="n">
        <v>0.706</v>
      </c>
      <c r="M1805" t="n">
        <v>0.294</v>
      </c>
    </row>
    <row r="1806" spans="1:13">
      <c r="A1806" s="1">
        <f>HYPERLINK("http://www.twitter.com/NathanBLawrence/status/985814273141207041", "985814273141207041")</f>
        <v/>
      </c>
      <c r="B1806" s="2" t="n">
        <v>43206.40060185185</v>
      </c>
      <c r="C1806" t="n">
        <v>0</v>
      </c>
      <c r="D1806" t="n">
        <v>9</v>
      </c>
      <c r="E1806" t="s">
        <v>1812</v>
      </c>
      <c r="F1806">
        <f>HYPERLINK("http://pbs.twimg.com/media/Da2-alaV4AA1S34.jpg", "http://pbs.twimg.com/media/Da2-alaV4AA1S34.jpg")</f>
        <v/>
      </c>
      <c r="G1806" t="s"/>
      <c r="H1806" t="s"/>
      <c r="I1806" t="s"/>
      <c r="J1806" t="n">
        <v>-0.6808</v>
      </c>
      <c r="K1806" t="n">
        <v>0.203</v>
      </c>
      <c r="L1806" t="n">
        <v>0.797</v>
      </c>
      <c r="M1806" t="n">
        <v>0</v>
      </c>
    </row>
    <row r="1807" spans="1:13">
      <c r="A1807" s="1">
        <f>HYPERLINK("http://www.twitter.com/NathanBLawrence/status/985795714113593345", "985795714113593345")</f>
        <v/>
      </c>
      <c r="B1807" s="2" t="n">
        <v>43206.34939814815</v>
      </c>
      <c r="C1807" t="n">
        <v>0</v>
      </c>
      <c r="D1807" t="n">
        <v>2</v>
      </c>
      <c r="E1807" t="s">
        <v>1813</v>
      </c>
      <c r="F1807" t="s"/>
      <c r="G1807" t="s"/>
      <c r="H1807" t="s"/>
      <c r="I1807" t="s"/>
      <c r="J1807" t="n">
        <v>0</v>
      </c>
      <c r="K1807" t="n">
        <v>0</v>
      </c>
      <c r="L1807" t="n">
        <v>1</v>
      </c>
      <c r="M1807" t="n">
        <v>0</v>
      </c>
    </row>
    <row r="1808" spans="1:13">
      <c r="A1808" s="1">
        <f>HYPERLINK("http://www.twitter.com/NathanBLawrence/status/985726820497678337", "985726820497678337")</f>
        <v/>
      </c>
      <c r="B1808" s="2" t="n">
        <v>43206.15928240741</v>
      </c>
      <c r="C1808" t="n">
        <v>1</v>
      </c>
      <c r="D1808" t="n">
        <v>0</v>
      </c>
      <c r="E1808" t="s">
        <v>1814</v>
      </c>
      <c r="F1808" t="s"/>
      <c r="G1808" t="s"/>
      <c r="H1808" t="s"/>
      <c r="I1808" t="s"/>
      <c r="J1808" t="n">
        <v>-0.2023</v>
      </c>
      <c r="K1808" t="n">
        <v>0.303</v>
      </c>
      <c r="L1808" t="n">
        <v>0.433</v>
      </c>
      <c r="M1808" t="n">
        <v>0.264</v>
      </c>
    </row>
    <row r="1809" spans="1:13">
      <c r="A1809" s="1">
        <f>HYPERLINK("http://www.twitter.com/NathanBLawrence/status/985721681971949569", "985721681971949569")</f>
        <v/>
      </c>
      <c r="B1809" s="2" t="n">
        <v>43206.14510416667</v>
      </c>
      <c r="C1809" t="n">
        <v>0</v>
      </c>
      <c r="D1809" t="n">
        <v>11</v>
      </c>
      <c r="E1809" t="s">
        <v>1815</v>
      </c>
      <c r="F1809">
        <f>HYPERLINK("http://pbs.twimg.com/media/Da37-LVXcAAiRAD.jpg", "http://pbs.twimg.com/media/Da37-LVXcAAiRAD.jpg")</f>
        <v/>
      </c>
      <c r="G1809" t="s"/>
      <c r="H1809" t="s"/>
      <c r="I1809" t="s"/>
      <c r="J1809" t="n">
        <v>-0.4588</v>
      </c>
      <c r="K1809" t="n">
        <v>0.143</v>
      </c>
      <c r="L1809" t="n">
        <v>0.857</v>
      </c>
      <c r="M1809" t="n">
        <v>0</v>
      </c>
    </row>
    <row r="1810" spans="1:13">
      <c r="A1810" s="1">
        <f>HYPERLINK("http://www.twitter.com/NathanBLawrence/status/985721309744254977", "985721309744254977")</f>
        <v/>
      </c>
      <c r="B1810" s="2" t="n">
        <v>43206.14407407407</v>
      </c>
      <c r="C1810" t="n">
        <v>14</v>
      </c>
      <c r="D1810" t="n">
        <v>11</v>
      </c>
      <c r="E1810" t="s">
        <v>1816</v>
      </c>
      <c r="F1810">
        <f>HYPERLINK("http://pbs.twimg.com/media/Da37-LVXcAAiRAD.jpg", "http://pbs.twimg.com/media/Da37-LVXcAAiRAD.jpg")</f>
        <v/>
      </c>
      <c r="G1810" t="s"/>
      <c r="H1810" t="s"/>
      <c r="I1810" t="s"/>
      <c r="J1810" t="n">
        <v>-0.4588</v>
      </c>
      <c r="K1810" t="n">
        <v>0.115</v>
      </c>
      <c r="L1810" t="n">
        <v>0.885</v>
      </c>
      <c r="M1810" t="n">
        <v>0</v>
      </c>
    </row>
    <row r="1811" spans="1:13">
      <c r="A1811" s="1">
        <f>HYPERLINK("http://www.twitter.com/NathanBLawrence/status/985706139282178049", "985706139282178049")</f>
        <v/>
      </c>
      <c r="B1811" s="2" t="n">
        <v>43206.10221064815</v>
      </c>
      <c r="C1811" t="n">
        <v>0</v>
      </c>
      <c r="D1811" t="n">
        <v>2</v>
      </c>
      <c r="E1811" t="s">
        <v>1817</v>
      </c>
      <c r="F1811" t="s"/>
      <c r="G1811" t="s"/>
      <c r="H1811" t="s"/>
      <c r="I1811" t="s"/>
      <c r="J1811" t="n">
        <v>-0.5719</v>
      </c>
      <c r="K1811" t="n">
        <v>0.183</v>
      </c>
      <c r="L1811" t="n">
        <v>0.8169999999999999</v>
      </c>
      <c r="M1811" t="n">
        <v>0</v>
      </c>
    </row>
    <row r="1812" spans="1:13">
      <c r="A1812" s="1">
        <f>HYPERLINK("http://www.twitter.com/NathanBLawrence/status/985706078557097984", "985706078557097984")</f>
        <v/>
      </c>
      <c r="B1812" s="2" t="n">
        <v>43206.10204861111</v>
      </c>
      <c r="C1812" t="n">
        <v>2</v>
      </c>
      <c r="D1812" t="n">
        <v>2</v>
      </c>
      <c r="E1812" t="s">
        <v>1818</v>
      </c>
      <c r="F1812" t="s"/>
      <c r="G1812" t="s"/>
      <c r="H1812" t="s"/>
      <c r="I1812" t="s"/>
      <c r="J1812" t="n">
        <v>0.7964</v>
      </c>
      <c r="K1812" t="n">
        <v>0.122</v>
      </c>
      <c r="L1812" t="n">
        <v>0.597</v>
      </c>
      <c r="M1812" t="n">
        <v>0.281</v>
      </c>
    </row>
    <row r="1813" spans="1:13">
      <c r="A1813" s="1">
        <f>HYPERLINK("http://www.twitter.com/NathanBLawrence/status/985705691993313283", "985705691993313283")</f>
        <v/>
      </c>
      <c r="B1813" s="2" t="n">
        <v>43206.1009837963</v>
      </c>
      <c r="C1813" t="n">
        <v>0</v>
      </c>
      <c r="D1813" t="n">
        <v>4</v>
      </c>
      <c r="E1813" t="s">
        <v>1819</v>
      </c>
      <c r="F1813" t="s"/>
      <c r="G1813" t="s"/>
      <c r="H1813" t="s"/>
      <c r="I1813" t="s"/>
      <c r="J1813" t="n">
        <v>-0.4215</v>
      </c>
      <c r="K1813" t="n">
        <v>0.173</v>
      </c>
      <c r="L1813" t="n">
        <v>0.748</v>
      </c>
      <c r="M1813" t="n">
        <v>0.078</v>
      </c>
    </row>
    <row r="1814" spans="1:13">
      <c r="A1814" s="1">
        <f>HYPERLINK("http://www.twitter.com/NathanBLawrence/status/985699871851188224", "985699871851188224")</f>
        <v/>
      </c>
      <c r="B1814" s="2" t="n">
        <v>43206.08491898148</v>
      </c>
      <c r="C1814" t="n">
        <v>4</v>
      </c>
      <c r="D1814" t="n">
        <v>4</v>
      </c>
      <c r="E1814" t="s">
        <v>1820</v>
      </c>
      <c r="F1814" t="s"/>
      <c r="G1814" t="s"/>
      <c r="H1814" t="s"/>
      <c r="I1814" t="s"/>
      <c r="J1814" t="n">
        <v>-0.0258</v>
      </c>
      <c r="K1814" t="n">
        <v>0.124</v>
      </c>
      <c r="L1814" t="n">
        <v>0.754</v>
      </c>
      <c r="M1814" t="n">
        <v>0.122</v>
      </c>
    </row>
    <row r="1815" spans="1:13">
      <c r="A1815" s="1">
        <f>HYPERLINK("http://www.twitter.com/NathanBLawrence/status/985690581421756416", "985690581421756416")</f>
        <v/>
      </c>
      <c r="B1815" s="2" t="n">
        <v>43206.0592824074</v>
      </c>
      <c r="C1815" t="n">
        <v>0</v>
      </c>
      <c r="D1815" t="n">
        <v>11</v>
      </c>
      <c r="E1815" t="s">
        <v>1821</v>
      </c>
      <c r="F1815" t="s"/>
      <c r="G1815" t="s"/>
      <c r="H1815" t="s"/>
      <c r="I1815" t="s"/>
      <c r="J1815" t="n">
        <v>0</v>
      </c>
      <c r="K1815" t="n">
        <v>0</v>
      </c>
      <c r="L1815" t="n">
        <v>1</v>
      </c>
      <c r="M1815" t="n">
        <v>0</v>
      </c>
    </row>
    <row r="1816" spans="1:13">
      <c r="A1816" s="1">
        <f>HYPERLINK("http://www.twitter.com/NathanBLawrence/status/985673836518690817", "985673836518690817")</f>
        <v/>
      </c>
      <c r="B1816" s="2" t="n">
        <v>43206.01307870371</v>
      </c>
      <c r="C1816" t="n">
        <v>0</v>
      </c>
      <c r="D1816" t="n">
        <v>3</v>
      </c>
      <c r="E1816" t="s">
        <v>1822</v>
      </c>
      <c r="F1816" t="s"/>
      <c r="G1816" t="s"/>
      <c r="H1816" t="s"/>
      <c r="I1816" t="s"/>
      <c r="J1816" t="n">
        <v>0</v>
      </c>
      <c r="K1816" t="n">
        <v>0</v>
      </c>
      <c r="L1816" t="n">
        <v>1</v>
      </c>
      <c r="M1816" t="n">
        <v>0</v>
      </c>
    </row>
    <row r="1817" spans="1:13">
      <c r="A1817" s="1">
        <f>HYPERLINK("http://www.twitter.com/NathanBLawrence/status/985673417625161728", "985673417625161728")</f>
        <v/>
      </c>
      <c r="B1817" s="2" t="n">
        <v>43206.0119212963</v>
      </c>
      <c r="C1817" t="n">
        <v>4</v>
      </c>
      <c r="D1817" t="n">
        <v>3</v>
      </c>
      <c r="E1817" t="s">
        <v>1823</v>
      </c>
      <c r="F1817" t="s"/>
      <c r="G1817" t="s"/>
      <c r="H1817" t="s"/>
      <c r="I1817" t="s"/>
      <c r="J1817" t="n">
        <v>-0.5719</v>
      </c>
      <c r="K1817" t="n">
        <v>0.134</v>
      </c>
      <c r="L1817" t="n">
        <v>0.866</v>
      </c>
      <c r="M1817" t="n">
        <v>0</v>
      </c>
    </row>
    <row r="1818" spans="1:13">
      <c r="A1818" s="1">
        <f>HYPERLINK("http://www.twitter.com/NathanBLawrence/status/985662353315377152", "985662353315377152")</f>
        <v/>
      </c>
      <c r="B1818" s="2" t="n">
        <v>43205.98138888889</v>
      </c>
      <c r="C1818" t="n">
        <v>0</v>
      </c>
      <c r="D1818" t="n">
        <v>0</v>
      </c>
      <c r="E1818" t="s">
        <v>1824</v>
      </c>
      <c r="F1818" t="s"/>
      <c r="G1818" t="s"/>
      <c r="H1818" t="s"/>
      <c r="I1818" t="s"/>
      <c r="J1818" t="n">
        <v>0</v>
      </c>
      <c r="K1818" t="n">
        <v>0</v>
      </c>
      <c r="L1818" t="n">
        <v>1</v>
      </c>
      <c r="M1818" t="n">
        <v>0</v>
      </c>
    </row>
    <row r="1819" spans="1:13">
      <c r="A1819" s="1">
        <f>HYPERLINK("http://www.twitter.com/NathanBLawrence/status/985647443562901505", "985647443562901505")</f>
        <v/>
      </c>
      <c r="B1819" s="2" t="n">
        <v>43205.94024305556</v>
      </c>
      <c r="C1819" t="n">
        <v>2</v>
      </c>
      <c r="D1819" t="n">
        <v>1</v>
      </c>
      <c r="E1819" t="s">
        <v>1825</v>
      </c>
      <c r="F1819" t="s"/>
      <c r="G1819" t="s"/>
      <c r="H1819" t="s"/>
      <c r="I1819" t="s"/>
      <c r="J1819" t="n">
        <v>0.7269</v>
      </c>
      <c r="K1819" t="n">
        <v>0</v>
      </c>
      <c r="L1819" t="n">
        <v>0.53</v>
      </c>
      <c r="M1819" t="n">
        <v>0.47</v>
      </c>
    </row>
    <row r="1820" spans="1:13">
      <c r="A1820" s="1">
        <f>HYPERLINK("http://www.twitter.com/NathanBLawrence/status/985630560122007552", "985630560122007552")</f>
        <v/>
      </c>
      <c r="B1820" s="2" t="n">
        <v>43205.89365740741</v>
      </c>
      <c r="C1820" t="n">
        <v>0</v>
      </c>
      <c r="D1820" t="n">
        <v>7</v>
      </c>
      <c r="E1820" t="s">
        <v>1826</v>
      </c>
      <c r="F1820" t="s"/>
      <c r="G1820" t="s"/>
      <c r="H1820" t="s"/>
      <c r="I1820" t="s"/>
      <c r="J1820" t="n">
        <v>0.4404</v>
      </c>
      <c r="K1820" t="n">
        <v>0</v>
      </c>
      <c r="L1820" t="n">
        <v>0.837</v>
      </c>
      <c r="M1820" t="n">
        <v>0.163</v>
      </c>
    </row>
    <row r="1821" spans="1:13">
      <c r="A1821" s="1">
        <f>HYPERLINK("http://www.twitter.com/NathanBLawrence/status/985630175437127681", "985630175437127681")</f>
        <v/>
      </c>
      <c r="B1821" s="2" t="n">
        <v>43205.89259259259</v>
      </c>
      <c r="C1821" t="n">
        <v>0</v>
      </c>
      <c r="D1821" t="n">
        <v>10</v>
      </c>
      <c r="E1821" t="s">
        <v>1827</v>
      </c>
      <c r="F1821" t="s"/>
      <c r="G1821" t="s"/>
      <c r="H1821" t="s"/>
      <c r="I1821" t="s"/>
      <c r="J1821" t="n">
        <v>0</v>
      </c>
      <c r="K1821" t="n">
        <v>0</v>
      </c>
      <c r="L1821" t="n">
        <v>1</v>
      </c>
      <c r="M1821" t="n">
        <v>0</v>
      </c>
    </row>
    <row r="1822" spans="1:13">
      <c r="A1822" s="1">
        <f>HYPERLINK("http://www.twitter.com/NathanBLawrence/status/985594305946488834", "985594305946488834")</f>
        <v/>
      </c>
      <c r="B1822" s="2" t="n">
        <v>43205.79361111111</v>
      </c>
      <c r="C1822" t="n">
        <v>0</v>
      </c>
      <c r="D1822" t="n">
        <v>9</v>
      </c>
      <c r="E1822" t="s">
        <v>1828</v>
      </c>
      <c r="F1822" t="s"/>
      <c r="G1822" t="s"/>
      <c r="H1822" t="s"/>
      <c r="I1822" t="s"/>
      <c r="J1822" t="n">
        <v>0</v>
      </c>
      <c r="K1822" t="n">
        <v>0</v>
      </c>
      <c r="L1822" t="n">
        <v>1</v>
      </c>
      <c r="M1822" t="n">
        <v>0</v>
      </c>
    </row>
    <row r="1823" spans="1:13">
      <c r="A1823" s="1">
        <f>HYPERLINK("http://www.twitter.com/NathanBLawrence/status/985588114969243654", "985588114969243654")</f>
        <v/>
      </c>
      <c r="B1823" s="2" t="n">
        <v>43205.77652777778</v>
      </c>
      <c r="C1823" t="n">
        <v>0</v>
      </c>
      <c r="D1823" t="n">
        <v>16</v>
      </c>
      <c r="E1823" t="s">
        <v>1829</v>
      </c>
      <c r="F1823" t="s"/>
      <c r="G1823" t="s"/>
      <c r="H1823" t="s"/>
      <c r="I1823" t="s"/>
      <c r="J1823" t="n">
        <v>-0.0688</v>
      </c>
      <c r="K1823" t="n">
        <v>0.105</v>
      </c>
      <c r="L1823" t="n">
        <v>0.801</v>
      </c>
      <c r="M1823" t="n">
        <v>0.094</v>
      </c>
    </row>
    <row r="1824" spans="1:13">
      <c r="A1824" s="1">
        <f>HYPERLINK("http://www.twitter.com/NathanBLawrence/status/985586151267414017", "985586151267414017")</f>
        <v/>
      </c>
      <c r="B1824" s="2" t="n">
        <v>43205.77111111111</v>
      </c>
      <c r="C1824" t="n">
        <v>0</v>
      </c>
      <c r="D1824" t="n">
        <v>9</v>
      </c>
      <c r="E1824" t="s">
        <v>1830</v>
      </c>
      <c r="F1824" t="s"/>
      <c r="G1824" t="s"/>
      <c r="H1824" t="s"/>
      <c r="I1824" t="s"/>
      <c r="J1824" t="n">
        <v>-0.5266999999999999</v>
      </c>
      <c r="K1824" t="n">
        <v>0.196</v>
      </c>
      <c r="L1824" t="n">
        <v>0.804</v>
      </c>
      <c r="M1824" t="n">
        <v>0</v>
      </c>
    </row>
    <row r="1825" spans="1:13">
      <c r="A1825" s="1">
        <f>HYPERLINK("http://www.twitter.com/NathanBLawrence/status/985584280360374272", "985584280360374272")</f>
        <v/>
      </c>
      <c r="B1825" s="2" t="n">
        <v>43205.76594907408</v>
      </c>
      <c r="C1825" t="n">
        <v>0</v>
      </c>
      <c r="D1825" t="n">
        <v>26</v>
      </c>
      <c r="E1825" t="s">
        <v>1831</v>
      </c>
      <c r="F1825">
        <f>HYPERLINK("http://pbs.twimg.com/media/Da16xU8X0AAb7JT.jpg", "http://pbs.twimg.com/media/Da16xU8X0AAb7JT.jpg")</f>
        <v/>
      </c>
      <c r="G1825" t="s"/>
      <c r="H1825" t="s"/>
      <c r="I1825" t="s"/>
      <c r="J1825" t="n">
        <v>-0.3612</v>
      </c>
      <c r="K1825" t="n">
        <v>0.128</v>
      </c>
      <c r="L1825" t="n">
        <v>0.872</v>
      </c>
      <c r="M1825" t="n">
        <v>0</v>
      </c>
    </row>
    <row r="1826" spans="1:13">
      <c r="A1826" s="1">
        <f>HYPERLINK("http://www.twitter.com/NathanBLawrence/status/985561253224607744", "985561253224607744")</f>
        <v/>
      </c>
      <c r="B1826" s="2" t="n">
        <v>43205.70240740741</v>
      </c>
      <c r="C1826" t="n">
        <v>0</v>
      </c>
      <c r="D1826" t="n">
        <v>15</v>
      </c>
      <c r="E1826" t="s">
        <v>1832</v>
      </c>
      <c r="F1826" t="s"/>
      <c r="G1826" t="s"/>
      <c r="H1826" t="s"/>
      <c r="I1826" t="s"/>
      <c r="J1826" t="n">
        <v>0</v>
      </c>
      <c r="K1826" t="n">
        <v>0</v>
      </c>
      <c r="L1826" t="n">
        <v>1</v>
      </c>
      <c r="M1826" t="n">
        <v>0</v>
      </c>
    </row>
    <row r="1827" spans="1:13">
      <c r="A1827" s="1">
        <f>HYPERLINK("http://www.twitter.com/NathanBLawrence/status/985555376560058368", "985555376560058368")</f>
        <v/>
      </c>
      <c r="B1827" s="2" t="n">
        <v>43205.68619212963</v>
      </c>
      <c r="C1827" t="n">
        <v>0</v>
      </c>
      <c r="D1827" t="n">
        <v>9</v>
      </c>
      <c r="E1827" t="s">
        <v>1833</v>
      </c>
      <c r="F1827" t="s"/>
      <c r="G1827" t="s"/>
      <c r="H1827" t="s"/>
      <c r="I1827" t="s"/>
      <c r="J1827" t="n">
        <v>-0.296</v>
      </c>
      <c r="K1827" t="n">
        <v>0.136</v>
      </c>
      <c r="L1827" t="n">
        <v>0.864</v>
      </c>
      <c r="M1827" t="n">
        <v>0</v>
      </c>
    </row>
    <row r="1828" spans="1:13">
      <c r="A1828" s="1">
        <f>HYPERLINK("http://www.twitter.com/NathanBLawrence/status/985533982786949120", "985533982786949120")</f>
        <v/>
      </c>
      <c r="B1828" s="2" t="n">
        <v>43205.62715277778</v>
      </c>
      <c r="C1828" t="n">
        <v>0</v>
      </c>
      <c r="D1828" t="n">
        <v>2</v>
      </c>
      <c r="E1828" t="s">
        <v>1834</v>
      </c>
      <c r="F1828" t="s"/>
      <c r="G1828" t="s"/>
      <c r="H1828" t="s"/>
      <c r="I1828" t="s"/>
      <c r="J1828" t="n">
        <v>0</v>
      </c>
      <c r="K1828" t="n">
        <v>0</v>
      </c>
      <c r="L1828" t="n">
        <v>1</v>
      </c>
      <c r="M1828" t="n">
        <v>0</v>
      </c>
    </row>
    <row r="1829" spans="1:13">
      <c r="A1829" s="1">
        <f>HYPERLINK("http://www.twitter.com/NathanBLawrence/status/985533964650676225", "985533964650676225")</f>
        <v/>
      </c>
      <c r="B1829" s="2" t="n">
        <v>43205.62710648148</v>
      </c>
      <c r="C1829" t="n">
        <v>3</v>
      </c>
      <c r="D1829" t="n">
        <v>2</v>
      </c>
      <c r="E1829" t="s">
        <v>1835</v>
      </c>
      <c r="F1829" t="s"/>
      <c r="G1829" t="s"/>
      <c r="H1829" t="s"/>
      <c r="I1829" t="s"/>
      <c r="J1829" t="n">
        <v>0</v>
      </c>
      <c r="K1829" t="n">
        <v>0</v>
      </c>
      <c r="L1829" t="n">
        <v>1</v>
      </c>
      <c r="M1829" t="n">
        <v>0</v>
      </c>
    </row>
    <row r="1830" spans="1:13">
      <c r="A1830" s="1">
        <f>HYPERLINK("http://www.twitter.com/NathanBLawrence/status/985527262899523585", "985527262899523585")</f>
        <v/>
      </c>
      <c r="B1830" s="2" t="n">
        <v>43205.60861111111</v>
      </c>
      <c r="C1830" t="n">
        <v>0</v>
      </c>
      <c r="D1830" t="n">
        <v>8</v>
      </c>
      <c r="E1830" t="s">
        <v>1836</v>
      </c>
      <c r="F1830" t="s"/>
      <c r="G1830" t="s"/>
      <c r="H1830" t="s"/>
      <c r="I1830" t="s"/>
      <c r="J1830" t="n">
        <v>-0.128</v>
      </c>
      <c r="K1830" t="n">
        <v>0.113</v>
      </c>
      <c r="L1830" t="n">
        <v>0.792</v>
      </c>
      <c r="M1830" t="n">
        <v>0.094</v>
      </c>
    </row>
    <row r="1831" spans="1:13">
      <c r="A1831" s="1">
        <f>HYPERLINK("http://www.twitter.com/NathanBLawrence/status/985527225515732993", "985527225515732993")</f>
        <v/>
      </c>
      <c r="B1831" s="2" t="n">
        <v>43205.60850694445</v>
      </c>
      <c r="C1831" t="n">
        <v>13</v>
      </c>
      <c r="D1831" t="n">
        <v>8</v>
      </c>
      <c r="E1831" t="s">
        <v>1837</v>
      </c>
      <c r="F1831" t="s"/>
      <c r="G1831" t="s"/>
      <c r="H1831" t="s"/>
      <c r="I1831" t="s"/>
      <c r="J1831" t="n">
        <v>-0.128</v>
      </c>
      <c r="K1831" t="n">
        <v>0.098</v>
      </c>
      <c r="L1831" t="n">
        <v>0.82</v>
      </c>
      <c r="M1831" t="n">
        <v>0.082</v>
      </c>
    </row>
    <row r="1832" spans="1:13">
      <c r="A1832" s="1">
        <f>HYPERLINK("http://www.twitter.com/NathanBLawrence/status/985524227288829954", "985524227288829954")</f>
        <v/>
      </c>
      <c r="B1832" s="2" t="n">
        <v>43205.60023148148</v>
      </c>
      <c r="C1832" t="n">
        <v>0</v>
      </c>
      <c r="D1832" t="n">
        <v>10</v>
      </c>
      <c r="E1832" t="s">
        <v>1838</v>
      </c>
      <c r="F1832">
        <f>HYPERLINK("http://pbs.twimg.com/media/Da1GMmXWsAA7yDI.jpg", "http://pbs.twimg.com/media/Da1GMmXWsAA7yDI.jpg")</f>
        <v/>
      </c>
      <c r="G1832" t="s"/>
      <c r="H1832" t="s"/>
      <c r="I1832" t="s"/>
      <c r="J1832" t="n">
        <v>0</v>
      </c>
      <c r="K1832" t="n">
        <v>0</v>
      </c>
      <c r="L1832" t="n">
        <v>1</v>
      </c>
      <c r="M1832" t="n">
        <v>0</v>
      </c>
    </row>
    <row r="1833" spans="1:13">
      <c r="A1833" s="1">
        <f>HYPERLINK("http://www.twitter.com/NathanBLawrence/status/985521921088524288", "985521921088524288")</f>
        <v/>
      </c>
      <c r="B1833" s="2" t="n">
        <v>43205.59386574074</v>
      </c>
      <c r="C1833" t="n">
        <v>11</v>
      </c>
      <c r="D1833" t="n">
        <v>10</v>
      </c>
      <c r="E1833" t="s">
        <v>1839</v>
      </c>
      <c r="F1833">
        <f>HYPERLINK("http://pbs.twimg.com/media/Da1GMmXWsAA7yDI.jpg", "http://pbs.twimg.com/media/Da1GMmXWsAA7yDI.jpg")</f>
        <v/>
      </c>
      <c r="G1833" t="s"/>
      <c r="H1833" t="s"/>
      <c r="I1833" t="s"/>
      <c r="J1833" t="n">
        <v>0</v>
      </c>
      <c r="K1833" t="n">
        <v>0</v>
      </c>
      <c r="L1833" t="n">
        <v>1</v>
      </c>
      <c r="M1833" t="n">
        <v>0</v>
      </c>
    </row>
    <row r="1834" spans="1:13">
      <c r="A1834" s="1">
        <f>HYPERLINK("http://www.twitter.com/NathanBLawrence/status/985468260203278337", "985468260203278337")</f>
        <v/>
      </c>
      <c r="B1834" s="2" t="n">
        <v>43205.44579861111</v>
      </c>
      <c r="C1834" t="n">
        <v>6</v>
      </c>
      <c r="D1834" t="n">
        <v>0</v>
      </c>
      <c r="E1834" t="s">
        <v>1840</v>
      </c>
      <c r="F1834" t="s"/>
      <c r="G1834" t="s"/>
      <c r="H1834" t="s"/>
      <c r="I1834" t="s"/>
      <c r="J1834" t="n">
        <v>0.0258</v>
      </c>
      <c r="K1834" t="n">
        <v>0</v>
      </c>
      <c r="L1834" t="n">
        <v>0.9320000000000001</v>
      </c>
      <c r="M1834" t="n">
        <v>0.068</v>
      </c>
    </row>
    <row r="1835" spans="1:13">
      <c r="A1835" s="1">
        <f>HYPERLINK("http://www.twitter.com/NathanBLawrence/status/985347781815668737", "985347781815668737")</f>
        <v/>
      </c>
      <c r="B1835" s="2" t="n">
        <v>43205.11333333333</v>
      </c>
      <c r="C1835" t="n">
        <v>2</v>
      </c>
      <c r="D1835" t="n">
        <v>0</v>
      </c>
      <c r="E1835" t="s">
        <v>1841</v>
      </c>
      <c r="F1835" t="s"/>
      <c r="G1835" t="s"/>
      <c r="H1835" t="s"/>
      <c r="I1835" t="s"/>
      <c r="J1835" t="n">
        <v>0.8977000000000001</v>
      </c>
      <c r="K1835" t="n">
        <v>0</v>
      </c>
      <c r="L1835" t="n">
        <v>0.615</v>
      </c>
      <c r="M1835" t="n">
        <v>0.385</v>
      </c>
    </row>
    <row r="1836" spans="1:13">
      <c r="A1836" s="1">
        <f>HYPERLINK("http://www.twitter.com/NathanBLawrence/status/985342139973455872", "985342139973455872")</f>
        <v/>
      </c>
      <c r="B1836" s="2" t="n">
        <v>43205.0977662037</v>
      </c>
      <c r="C1836" t="n">
        <v>0</v>
      </c>
      <c r="D1836" t="n">
        <v>2</v>
      </c>
      <c r="E1836" t="s">
        <v>1842</v>
      </c>
      <c r="F1836" t="s"/>
      <c r="G1836" t="s"/>
      <c r="H1836" t="s"/>
      <c r="I1836" t="s"/>
      <c r="J1836" t="n">
        <v>0.5106000000000001</v>
      </c>
      <c r="K1836" t="n">
        <v>0</v>
      </c>
      <c r="L1836" t="n">
        <v>0.845</v>
      </c>
      <c r="M1836" t="n">
        <v>0.155</v>
      </c>
    </row>
    <row r="1837" spans="1:13">
      <c r="A1837" s="1">
        <f>HYPERLINK("http://www.twitter.com/NathanBLawrence/status/985298624975339526", "985298624975339526")</f>
        <v/>
      </c>
      <c r="B1837" s="2" t="n">
        <v>43204.97768518519</v>
      </c>
      <c r="C1837" t="n">
        <v>0</v>
      </c>
      <c r="D1837" t="n">
        <v>28</v>
      </c>
      <c r="E1837" t="s">
        <v>1843</v>
      </c>
      <c r="F1837">
        <f>HYPERLINK("http://pbs.twimg.com/media/DaxL7k-XcAAkS6G.jpg", "http://pbs.twimg.com/media/DaxL7k-XcAAkS6G.jpg")</f>
        <v/>
      </c>
      <c r="G1837" t="s"/>
      <c r="H1837" t="s"/>
      <c r="I1837" t="s"/>
      <c r="J1837" t="n">
        <v>0</v>
      </c>
      <c r="K1837" t="n">
        <v>0</v>
      </c>
      <c r="L1837" t="n">
        <v>1</v>
      </c>
      <c r="M1837" t="n">
        <v>0</v>
      </c>
    </row>
    <row r="1838" spans="1:13">
      <c r="A1838" s="1">
        <f>HYPERLINK("http://www.twitter.com/NathanBLawrence/status/985298513805414405", "985298513805414405")</f>
        <v/>
      </c>
      <c r="B1838" s="2" t="n">
        <v>43204.97738425926</v>
      </c>
      <c r="C1838" t="n">
        <v>5</v>
      </c>
      <c r="D1838" t="n">
        <v>0</v>
      </c>
      <c r="E1838" t="s">
        <v>1844</v>
      </c>
      <c r="F1838" t="s"/>
      <c r="G1838" t="s"/>
      <c r="H1838" t="s"/>
      <c r="I1838" t="s"/>
      <c r="J1838" t="n">
        <v>0.1857</v>
      </c>
      <c r="K1838" t="n">
        <v>0.064</v>
      </c>
      <c r="L1838" t="n">
        <v>0.844</v>
      </c>
      <c r="M1838" t="n">
        <v>0.092</v>
      </c>
    </row>
    <row r="1839" spans="1:13">
      <c r="A1839" s="1">
        <f>HYPERLINK("http://www.twitter.com/NathanBLawrence/status/985266541758476290", "985266541758476290")</f>
        <v/>
      </c>
      <c r="B1839" s="2" t="n">
        <v>43204.88915509259</v>
      </c>
      <c r="C1839" t="n">
        <v>0</v>
      </c>
      <c r="D1839" t="n">
        <v>6</v>
      </c>
      <c r="E1839" t="s">
        <v>1845</v>
      </c>
      <c r="F1839">
        <f>HYPERLINK("http://pbs.twimg.com/media/DaxIzLQXUAA79Hd.jpg", "http://pbs.twimg.com/media/DaxIzLQXUAA79Hd.jpg")</f>
        <v/>
      </c>
      <c r="G1839" t="s"/>
      <c r="H1839" t="s"/>
      <c r="I1839" t="s"/>
      <c r="J1839" t="n">
        <v>0.3612</v>
      </c>
      <c r="K1839" t="n">
        <v>0</v>
      </c>
      <c r="L1839" t="n">
        <v>0.865</v>
      </c>
      <c r="M1839" t="n">
        <v>0.135</v>
      </c>
    </row>
    <row r="1840" spans="1:13">
      <c r="A1840" s="1">
        <f>HYPERLINK("http://www.twitter.com/NathanBLawrence/status/985239315298037760", "985239315298037760")</f>
        <v/>
      </c>
      <c r="B1840" s="2" t="n">
        <v>43204.81402777778</v>
      </c>
      <c r="C1840" t="n">
        <v>0</v>
      </c>
      <c r="D1840" t="n">
        <v>3</v>
      </c>
      <c r="E1840" t="s">
        <v>1846</v>
      </c>
      <c r="F1840" t="s"/>
      <c r="G1840" t="s"/>
      <c r="H1840" t="s"/>
      <c r="I1840" t="s"/>
      <c r="J1840" t="n">
        <v>0.1615</v>
      </c>
      <c r="K1840" t="n">
        <v>0.141</v>
      </c>
      <c r="L1840" t="n">
        <v>0.735</v>
      </c>
      <c r="M1840" t="n">
        <v>0.124</v>
      </c>
    </row>
    <row r="1841" spans="1:13">
      <c r="A1841" s="1">
        <f>HYPERLINK("http://www.twitter.com/NathanBLawrence/status/985227013874245635", "985227013874245635")</f>
        <v/>
      </c>
      <c r="B1841" s="2" t="n">
        <v>43204.78008101852</v>
      </c>
      <c r="C1841" t="n">
        <v>0</v>
      </c>
      <c r="D1841" t="n">
        <v>5</v>
      </c>
      <c r="E1841" t="s">
        <v>1847</v>
      </c>
      <c r="F1841" t="s"/>
      <c r="G1841" t="s"/>
      <c r="H1841" t="s"/>
      <c r="I1841" t="s"/>
      <c r="J1841" t="n">
        <v>-0.8066</v>
      </c>
      <c r="K1841" t="n">
        <v>0.342</v>
      </c>
      <c r="L1841" t="n">
        <v>0.658</v>
      </c>
      <c r="M1841" t="n">
        <v>0</v>
      </c>
    </row>
    <row r="1842" spans="1:13">
      <c r="A1842" s="1">
        <f>HYPERLINK("http://www.twitter.com/NathanBLawrence/status/985219478379286529", "985219478379286529")</f>
        <v/>
      </c>
      <c r="B1842" s="2" t="n">
        <v>43204.75928240741</v>
      </c>
      <c r="C1842" t="n">
        <v>3</v>
      </c>
      <c r="D1842" t="n">
        <v>0</v>
      </c>
      <c r="E1842" t="s">
        <v>1848</v>
      </c>
      <c r="F1842" t="s"/>
      <c r="G1842" t="s"/>
      <c r="H1842" t="s"/>
      <c r="I1842" t="s"/>
      <c r="J1842" t="n">
        <v>0</v>
      </c>
      <c r="K1842" t="n">
        <v>0</v>
      </c>
      <c r="L1842" t="n">
        <v>1</v>
      </c>
      <c r="M1842" t="n">
        <v>0</v>
      </c>
    </row>
    <row r="1843" spans="1:13">
      <c r="A1843" s="1">
        <f>HYPERLINK("http://www.twitter.com/NathanBLawrence/status/985219214536593408", "985219214536593408")</f>
        <v/>
      </c>
      <c r="B1843" s="2" t="n">
        <v>43204.75855324074</v>
      </c>
      <c r="C1843" t="n">
        <v>9</v>
      </c>
      <c r="D1843" t="n">
        <v>5</v>
      </c>
      <c r="E1843" t="s">
        <v>1849</v>
      </c>
      <c r="F1843" t="s"/>
      <c r="G1843" t="s"/>
      <c r="H1843" t="s"/>
      <c r="I1843" t="s"/>
      <c r="J1843" t="n">
        <v>-0.863</v>
      </c>
      <c r="K1843" t="n">
        <v>0.249</v>
      </c>
      <c r="L1843" t="n">
        <v>0.751</v>
      </c>
      <c r="M1843" t="n">
        <v>0</v>
      </c>
    </row>
    <row r="1844" spans="1:13">
      <c r="A1844" s="1">
        <f>HYPERLINK("http://www.twitter.com/NathanBLawrence/status/985204119756525570", "985204119756525570")</f>
        <v/>
      </c>
      <c r="B1844" s="2" t="n">
        <v>43204.71690972222</v>
      </c>
      <c r="C1844" t="n">
        <v>4</v>
      </c>
      <c r="D1844" t="n">
        <v>3</v>
      </c>
      <c r="E1844" t="s">
        <v>1850</v>
      </c>
      <c r="F1844" t="s"/>
      <c r="G1844" t="s"/>
      <c r="H1844" t="s"/>
      <c r="I1844" t="s"/>
      <c r="J1844" t="n">
        <v>0.5574</v>
      </c>
      <c r="K1844" t="n">
        <v>0.061</v>
      </c>
      <c r="L1844" t="n">
        <v>0.778</v>
      </c>
      <c r="M1844" t="n">
        <v>0.161</v>
      </c>
    </row>
    <row r="1845" spans="1:13">
      <c r="A1845" s="1">
        <f>HYPERLINK("http://www.twitter.com/NathanBLawrence/status/985203381361872897", "985203381361872897")</f>
        <v/>
      </c>
      <c r="B1845" s="2" t="n">
        <v>43204.71486111111</v>
      </c>
      <c r="C1845" t="n">
        <v>0</v>
      </c>
      <c r="D1845" t="n">
        <v>7</v>
      </c>
      <c r="E1845" t="s">
        <v>1851</v>
      </c>
      <c r="F1845" t="s"/>
      <c r="G1845" t="s"/>
      <c r="H1845" t="s"/>
      <c r="I1845" t="s"/>
      <c r="J1845" t="n">
        <v>-0.1134</v>
      </c>
      <c r="K1845" t="n">
        <v>0.074</v>
      </c>
      <c r="L1845" t="n">
        <v>0.926</v>
      </c>
      <c r="M1845" t="n">
        <v>0</v>
      </c>
    </row>
    <row r="1846" spans="1:13">
      <c r="A1846" s="1">
        <f>HYPERLINK("http://www.twitter.com/NathanBLawrence/status/985198029056757760", "985198029056757760")</f>
        <v/>
      </c>
      <c r="B1846" s="2" t="n">
        <v>43204.70009259259</v>
      </c>
      <c r="C1846" t="n">
        <v>0</v>
      </c>
      <c r="D1846" t="n">
        <v>14</v>
      </c>
      <c r="E1846" t="s">
        <v>1852</v>
      </c>
      <c r="F1846" t="s"/>
      <c r="G1846" t="s"/>
      <c r="H1846" t="s"/>
      <c r="I1846" t="s"/>
      <c r="J1846" t="n">
        <v>0.0772</v>
      </c>
      <c r="K1846" t="n">
        <v>0</v>
      </c>
      <c r="L1846" t="n">
        <v>0.9330000000000001</v>
      </c>
      <c r="M1846" t="n">
        <v>0.067</v>
      </c>
    </row>
    <row r="1847" spans="1:13">
      <c r="A1847" s="1">
        <f>HYPERLINK("http://www.twitter.com/NathanBLawrence/status/985197991446360065", "985197991446360065")</f>
        <v/>
      </c>
      <c r="B1847" s="2" t="n">
        <v>43204.69998842593</v>
      </c>
      <c r="C1847" t="n">
        <v>0</v>
      </c>
      <c r="D1847" t="n">
        <v>1</v>
      </c>
      <c r="E1847" t="s">
        <v>1853</v>
      </c>
      <c r="F1847" t="s"/>
      <c r="G1847" t="s"/>
      <c r="H1847" t="s"/>
      <c r="I1847" t="s"/>
      <c r="J1847" t="n">
        <v>-0.8126</v>
      </c>
      <c r="K1847" t="n">
        <v>0.341</v>
      </c>
      <c r="L1847" t="n">
        <v>0.569</v>
      </c>
      <c r="M1847" t="n">
        <v>0.09</v>
      </c>
    </row>
    <row r="1848" spans="1:13">
      <c r="A1848" s="1">
        <f>HYPERLINK("http://www.twitter.com/NathanBLawrence/status/985197857241169921", "985197857241169921")</f>
        <v/>
      </c>
      <c r="B1848" s="2" t="n">
        <v>43204.69961805556</v>
      </c>
      <c r="C1848" t="n">
        <v>5</v>
      </c>
      <c r="D1848" t="n">
        <v>1</v>
      </c>
      <c r="E1848" t="s">
        <v>1854</v>
      </c>
      <c r="F1848" t="s"/>
      <c r="G1848" t="s"/>
      <c r="H1848" t="s"/>
      <c r="I1848" t="s"/>
      <c r="J1848" t="n">
        <v>-0.8126</v>
      </c>
      <c r="K1848" t="n">
        <v>0.352</v>
      </c>
      <c r="L1848" t="n">
        <v>0.556</v>
      </c>
      <c r="M1848" t="n">
        <v>0.093</v>
      </c>
    </row>
    <row r="1849" spans="1:13">
      <c r="A1849" s="1">
        <f>HYPERLINK("http://www.twitter.com/NathanBLawrence/status/985193366811037696", "985193366811037696")</f>
        <v/>
      </c>
      <c r="B1849" s="2" t="n">
        <v>43204.6872337963</v>
      </c>
      <c r="C1849" t="n">
        <v>0</v>
      </c>
      <c r="D1849" t="n">
        <v>1</v>
      </c>
      <c r="E1849" t="s">
        <v>1855</v>
      </c>
      <c r="F1849" t="s"/>
      <c r="G1849" t="s"/>
      <c r="H1849" t="s"/>
      <c r="I1849" t="s"/>
      <c r="J1849" t="n">
        <v>0</v>
      </c>
      <c r="K1849" t="n">
        <v>0</v>
      </c>
      <c r="L1849" t="n">
        <v>1</v>
      </c>
      <c r="M1849" t="n">
        <v>0</v>
      </c>
    </row>
    <row r="1850" spans="1:13">
      <c r="A1850" s="1">
        <f>HYPERLINK("http://www.twitter.com/NathanBLawrence/status/985192252015370241", "985192252015370241")</f>
        <v/>
      </c>
      <c r="B1850" s="2" t="n">
        <v>43204.68415509259</v>
      </c>
      <c r="C1850" t="n">
        <v>0</v>
      </c>
      <c r="D1850" t="n">
        <v>3</v>
      </c>
      <c r="E1850" t="s">
        <v>1856</v>
      </c>
      <c r="F1850" t="s"/>
      <c r="G1850" t="s"/>
      <c r="H1850" t="s"/>
      <c r="I1850" t="s"/>
      <c r="J1850" t="n">
        <v>0</v>
      </c>
      <c r="K1850" t="n">
        <v>0</v>
      </c>
      <c r="L1850" t="n">
        <v>1</v>
      </c>
      <c r="M1850" t="n">
        <v>0</v>
      </c>
    </row>
    <row r="1851" spans="1:13">
      <c r="A1851" s="1">
        <f>HYPERLINK("http://www.twitter.com/NathanBLawrence/status/985186503839158272", "985186503839158272")</f>
        <v/>
      </c>
      <c r="B1851" s="2" t="n">
        <v>43204.66829861111</v>
      </c>
      <c r="C1851" t="n">
        <v>0</v>
      </c>
      <c r="D1851" t="n">
        <v>0</v>
      </c>
      <c r="E1851" t="s">
        <v>1857</v>
      </c>
      <c r="F1851" t="s"/>
      <c r="G1851" t="s"/>
      <c r="H1851" t="s"/>
      <c r="I1851" t="s"/>
      <c r="J1851" t="n">
        <v>0</v>
      </c>
      <c r="K1851" t="n">
        <v>0</v>
      </c>
      <c r="L1851" t="n">
        <v>1</v>
      </c>
      <c r="M1851" t="n">
        <v>0</v>
      </c>
    </row>
    <row r="1852" spans="1:13">
      <c r="A1852" s="1">
        <f>HYPERLINK("http://www.twitter.com/NathanBLawrence/status/985174626505543681", "985174626505543681")</f>
        <v/>
      </c>
      <c r="B1852" s="2" t="n">
        <v>43204.63552083333</v>
      </c>
      <c r="C1852" t="n">
        <v>1</v>
      </c>
      <c r="D1852" t="n">
        <v>2</v>
      </c>
      <c r="E1852" t="s">
        <v>1858</v>
      </c>
      <c r="F1852" t="s"/>
      <c r="G1852" t="s"/>
      <c r="H1852" t="s"/>
      <c r="I1852" t="s"/>
      <c r="J1852" t="n">
        <v>-0.1027</v>
      </c>
      <c r="K1852" t="n">
        <v>0.254</v>
      </c>
      <c r="L1852" t="n">
        <v>0.543</v>
      </c>
      <c r="M1852" t="n">
        <v>0.203</v>
      </c>
    </row>
    <row r="1853" spans="1:13">
      <c r="A1853" s="1">
        <f>HYPERLINK("http://www.twitter.com/NathanBLawrence/status/985173744627875842", "985173744627875842")</f>
        <v/>
      </c>
      <c r="B1853" s="2" t="n">
        <v>43204.63309027778</v>
      </c>
      <c r="C1853" t="n">
        <v>2</v>
      </c>
      <c r="D1853" t="n">
        <v>1</v>
      </c>
      <c r="E1853" t="s">
        <v>1859</v>
      </c>
      <c r="F1853" t="s"/>
      <c r="G1853" t="s"/>
      <c r="H1853" t="s"/>
      <c r="I1853" t="s"/>
      <c r="J1853" t="n">
        <v>-0.269</v>
      </c>
      <c r="K1853" t="n">
        <v>0.121</v>
      </c>
      <c r="L1853" t="n">
        <v>0.781</v>
      </c>
      <c r="M1853" t="n">
        <v>0.098</v>
      </c>
    </row>
    <row r="1854" spans="1:13">
      <c r="A1854" s="1">
        <f>HYPERLINK("http://www.twitter.com/NathanBLawrence/status/985147104074125313", "985147104074125313")</f>
        <v/>
      </c>
      <c r="B1854" s="2" t="n">
        <v>43204.55957175926</v>
      </c>
      <c r="C1854" t="n">
        <v>3</v>
      </c>
      <c r="D1854" t="n">
        <v>0</v>
      </c>
      <c r="E1854" t="s">
        <v>1860</v>
      </c>
      <c r="F1854" t="s"/>
      <c r="G1854" t="s"/>
      <c r="H1854" t="s"/>
      <c r="I1854" t="s"/>
      <c r="J1854" t="n">
        <v>0</v>
      </c>
      <c r="K1854" t="n">
        <v>0</v>
      </c>
      <c r="L1854" t="n">
        <v>1</v>
      </c>
      <c r="M1854" t="n">
        <v>0</v>
      </c>
    </row>
    <row r="1855" spans="1:13">
      <c r="A1855" s="1">
        <f>HYPERLINK("http://www.twitter.com/NathanBLawrence/status/985145830402351105", "985145830402351105")</f>
        <v/>
      </c>
      <c r="B1855" s="2" t="n">
        <v>43204.55605324074</v>
      </c>
      <c r="C1855" t="n">
        <v>0</v>
      </c>
      <c r="D1855" t="n">
        <v>14</v>
      </c>
      <c r="E1855" t="s">
        <v>1861</v>
      </c>
      <c r="F1855">
        <f>HYPERLINK("http://pbs.twimg.com/media/Davv9rQW4AAJZ-t.jpg", "http://pbs.twimg.com/media/Davv9rQW4AAJZ-t.jpg")</f>
        <v/>
      </c>
      <c r="G1855">
        <f>HYPERLINK("http://pbs.twimg.com/media/Davv-soXcAIBJc8.jpg", "http://pbs.twimg.com/media/Davv-soXcAIBJc8.jpg")</f>
        <v/>
      </c>
      <c r="H1855">
        <f>HYPERLINK("http://pbs.twimg.com/media/Davv_p4X0AAG7fX.jpg", "http://pbs.twimg.com/media/Davv_p4X0AAG7fX.jpg")</f>
        <v/>
      </c>
      <c r="I1855" t="s"/>
      <c r="J1855" t="n">
        <v>-0.6107</v>
      </c>
      <c r="K1855" t="n">
        <v>0.172</v>
      </c>
      <c r="L1855" t="n">
        <v>0.828</v>
      </c>
      <c r="M1855" t="n">
        <v>0</v>
      </c>
    </row>
    <row r="1856" spans="1:13">
      <c r="A1856" s="1">
        <f>HYPERLINK("http://www.twitter.com/NathanBLawrence/status/985145808046747648", "985145808046747648")</f>
        <v/>
      </c>
      <c r="B1856" s="2" t="n">
        <v>43204.55599537037</v>
      </c>
      <c r="C1856" t="n">
        <v>28</v>
      </c>
      <c r="D1856" t="n">
        <v>14</v>
      </c>
      <c r="E1856" t="s">
        <v>1862</v>
      </c>
      <c r="F1856">
        <f>HYPERLINK("http://pbs.twimg.com/media/Davv9rQW4AAJZ-t.jpg", "http://pbs.twimg.com/media/Davv9rQW4AAJZ-t.jpg")</f>
        <v/>
      </c>
      <c r="G1856">
        <f>HYPERLINK("http://pbs.twimg.com/media/Davv-soXcAIBJc8.jpg", "http://pbs.twimg.com/media/Davv-soXcAIBJc8.jpg")</f>
        <v/>
      </c>
      <c r="H1856">
        <f>HYPERLINK("http://pbs.twimg.com/media/Davv_p4X0AAG7fX.jpg", "http://pbs.twimg.com/media/Davv_p4X0AAG7fX.jpg")</f>
        <v/>
      </c>
      <c r="I1856" t="s"/>
      <c r="J1856" t="n">
        <v>-0.6462</v>
      </c>
      <c r="K1856" t="n">
        <v>0.119</v>
      </c>
      <c r="L1856" t="n">
        <v>0.881</v>
      </c>
      <c r="M1856" t="n">
        <v>0</v>
      </c>
    </row>
    <row r="1857" spans="1:13">
      <c r="A1857" s="1">
        <f>HYPERLINK("http://www.twitter.com/NathanBLawrence/status/985142315424604160", "985142315424604160")</f>
        <v/>
      </c>
      <c r="B1857" s="2" t="n">
        <v>43204.54635416667</v>
      </c>
      <c r="C1857" t="n">
        <v>1</v>
      </c>
      <c r="D1857" t="n">
        <v>0</v>
      </c>
      <c r="E1857" t="s">
        <v>1863</v>
      </c>
      <c r="F1857" t="s"/>
      <c r="G1857" t="s"/>
      <c r="H1857" t="s"/>
      <c r="I1857" t="s"/>
      <c r="J1857" t="n">
        <v>0</v>
      </c>
      <c r="K1857" t="n">
        <v>0</v>
      </c>
      <c r="L1857" t="n">
        <v>1</v>
      </c>
      <c r="M1857" t="n">
        <v>0</v>
      </c>
    </row>
    <row r="1858" spans="1:13">
      <c r="A1858" s="1">
        <f>HYPERLINK("http://www.twitter.com/NathanBLawrence/status/985119973772275712", "985119973772275712")</f>
        <v/>
      </c>
      <c r="B1858" s="2" t="n">
        <v>43204.48471064815</v>
      </c>
      <c r="C1858" t="n">
        <v>0</v>
      </c>
      <c r="D1858" t="n">
        <v>0</v>
      </c>
      <c r="E1858" t="s">
        <v>1864</v>
      </c>
      <c r="F1858" t="s"/>
      <c r="G1858" t="s"/>
      <c r="H1858" t="s"/>
      <c r="I1858" t="s"/>
      <c r="J1858" t="n">
        <v>0.657</v>
      </c>
      <c r="K1858" t="n">
        <v>0</v>
      </c>
      <c r="L1858" t="n">
        <v>0.748</v>
      </c>
      <c r="M1858" t="n">
        <v>0.252</v>
      </c>
    </row>
    <row r="1859" spans="1:13">
      <c r="A1859" s="1">
        <f>HYPERLINK("http://www.twitter.com/NathanBLawrence/status/985111985984622592", "985111985984622592")</f>
        <v/>
      </c>
      <c r="B1859" s="2" t="n">
        <v>43204.46266203704</v>
      </c>
      <c r="C1859" t="n">
        <v>2</v>
      </c>
      <c r="D1859" t="n">
        <v>0</v>
      </c>
      <c r="E1859" t="s">
        <v>1865</v>
      </c>
      <c r="F1859" t="s"/>
      <c r="G1859" t="s"/>
      <c r="H1859" t="s"/>
      <c r="I1859" t="s"/>
      <c r="J1859" t="n">
        <v>0</v>
      </c>
      <c r="K1859" t="n">
        <v>0</v>
      </c>
      <c r="L1859" t="n">
        <v>1</v>
      </c>
      <c r="M1859" t="n">
        <v>0</v>
      </c>
    </row>
    <row r="1860" spans="1:13">
      <c r="A1860" s="1">
        <f>HYPERLINK("http://www.twitter.com/NathanBLawrence/status/985110972712017921", "985110972712017921")</f>
        <v/>
      </c>
      <c r="B1860" s="2" t="n">
        <v>43204.45987268518</v>
      </c>
      <c r="C1860" t="n">
        <v>0</v>
      </c>
      <c r="D1860" t="n">
        <v>3</v>
      </c>
      <c r="E1860" t="s">
        <v>1866</v>
      </c>
      <c r="F1860" t="s"/>
      <c r="G1860" t="s"/>
      <c r="H1860" t="s"/>
      <c r="I1860" t="s"/>
      <c r="J1860" t="n">
        <v>0.3382</v>
      </c>
      <c r="K1860" t="n">
        <v>0</v>
      </c>
      <c r="L1860" t="n">
        <v>0.862</v>
      </c>
      <c r="M1860" t="n">
        <v>0.138</v>
      </c>
    </row>
    <row r="1861" spans="1:13">
      <c r="A1861" s="1">
        <f>HYPERLINK("http://www.twitter.com/NathanBLawrence/status/985107768620220423", "985107768620220423")</f>
        <v/>
      </c>
      <c r="B1861" s="2" t="n">
        <v>43204.45103009259</v>
      </c>
      <c r="C1861" t="n">
        <v>0</v>
      </c>
      <c r="D1861" t="n">
        <v>8</v>
      </c>
      <c r="E1861" t="s">
        <v>1867</v>
      </c>
      <c r="F1861">
        <f>HYPERLINK("http://pbs.twimg.com/media/DatXLeGWAAAKi-6.jpg", "http://pbs.twimg.com/media/DatXLeGWAAAKi-6.jpg")</f>
        <v/>
      </c>
      <c r="G1861" t="s"/>
      <c r="H1861" t="s"/>
      <c r="I1861" t="s"/>
      <c r="J1861" t="n">
        <v>0</v>
      </c>
      <c r="K1861" t="n">
        <v>0</v>
      </c>
      <c r="L1861" t="n">
        <v>1</v>
      </c>
      <c r="M1861" t="n">
        <v>0</v>
      </c>
    </row>
    <row r="1862" spans="1:13">
      <c r="A1862" s="1">
        <f>HYPERLINK("http://www.twitter.com/NathanBLawrence/status/985095713213374464", "985095713213374464")</f>
        <v/>
      </c>
      <c r="B1862" s="2" t="n">
        <v>43204.41775462963</v>
      </c>
      <c r="C1862" t="n">
        <v>0</v>
      </c>
      <c r="D1862" t="n">
        <v>4</v>
      </c>
      <c r="E1862" t="s">
        <v>1868</v>
      </c>
      <c r="F1862">
        <f>HYPERLINK("http://pbs.twimg.com/media/Dau9SMEWkAEgkqu.jpg", "http://pbs.twimg.com/media/Dau9SMEWkAEgkqu.jpg")</f>
        <v/>
      </c>
      <c r="G1862" t="s"/>
      <c r="H1862" t="s"/>
      <c r="I1862" t="s"/>
      <c r="J1862" t="n">
        <v>-0.5994</v>
      </c>
      <c r="K1862" t="n">
        <v>0.218</v>
      </c>
      <c r="L1862" t="n">
        <v>0.782</v>
      </c>
      <c r="M1862" t="n">
        <v>0</v>
      </c>
    </row>
    <row r="1863" spans="1:13">
      <c r="A1863" s="1">
        <f>HYPERLINK("http://www.twitter.com/NathanBLawrence/status/984985088856293376", "984985088856293376")</f>
        <v/>
      </c>
      <c r="B1863" s="2" t="n">
        <v>43204.11248842593</v>
      </c>
      <c r="C1863" t="n">
        <v>4</v>
      </c>
      <c r="D1863" t="n">
        <v>0</v>
      </c>
      <c r="E1863" t="s">
        <v>1869</v>
      </c>
      <c r="F1863" t="s"/>
      <c r="G1863" t="s"/>
      <c r="H1863" t="s"/>
      <c r="I1863" t="s"/>
      <c r="J1863" t="n">
        <v>-0.4753</v>
      </c>
      <c r="K1863" t="n">
        <v>0.34</v>
      </c>
      <c r="L1863" t="n">
        <v>0.66</v>
      </c>
      <c r="M1863" t="n">
        <v>0</v>
      </c>
    </row>
    <row r="1864" spans="1:13">
      <c r="A1864" s="1">
        <f>HYPERLINK("http://www.twitter.com/NathanBLawrence/status/984985004957630466", "984985004957630466")</f>
        <v/>
      </c>
      <c r="B1864" s="2" t="n">
        <v>43204.11225694444</v>
      </c>
      <c r="C1864" t="n">
        <v>0</v>
      </c>
      <c r="D1864" t="n">
        <v>10</v>
      </c>
      <c r="E1864" t="s">
        <v>1870</v>
      </c>
      <c r="F1864">
        <f>HYPERLINK("http://pbs.twimg.com/media/DatceCzVwAAgrV3.jpg", "http://pbs.twimg.com/media/DatceCzVwAAgrV3.jpg")</f>
        <v/>
      </c>
      <c r="G1864" t="s"/>
      <c r="H1864" t="s"/>
      <c r="I1864" t="s"/>
      <c r="J1864" t="n">
        <v>-0.5994</v>
      </c>
      <c r="K1864" t="n">
        <v>0.218</v>
      </c>
      <c r="L1864" t="n">
        <v>0.782</v>
      </c>
      <c r="M1864" t="n">
        <v>0</v>
      </c>
    </row>
    <row r="1865" spans="1:13">
      <c r="A1865" s="1">
        <f>HYPERLINK("http://www.twitter.com/NathanBLawrence/status/984983463286714368", "984983463286714368")</f>
        <v/>
      </c>
      <c r="B1865" s="2" t="n">
        <v>43204.10800925926</v>
      </c>
      <c r="C1865" t="n">
        <v>0</v>
      </c>
      <c r="D1865" t="n">
        <v>1</v>
      </c>
      <c r="E1865" t="s">
        <v>1871</v>
      </c>
      <c r="F1865" t="s"/>
      <c r="G1865" t="s"/>
      <c r="H1865" t="s"/>
      <c r="I1865" t="s"/>
      <c r="J1865" t="n">
        <v>-0.6808</v>
      </c>
      <c r="K1865" t="n">
        <v>0.219</v>
      </c>
      <c r="L1865" t="n">
        <v>0.781</v>
      </c>
      <c r="M1865" t="n">
        <v>0</v>
      </c>
    </row>
    <row r="1866" spans="1:13">
      <c r="A1866" s="1">
        <f>HYPERLINK("http://www.twitter.com/NathanBLawrence/status/984983104346578945", "984983104346578945")</f>
        <v/>
      </c>
      <c r="B1866" s="2" t="n">
        <v>43204.10701388889</v>
      </c>
      <c r="C1866" t="n">
        <v>3</v>
      </c>
      <c r="D1866" t="n">
        <v>1</v>
      </c>
      <c r="E1866" t="s">
        <v>1872</v>
      </c>
      <c r="F1866" t="s"/>
      <c r="G1866" t="s"/>
      <c r="H1866" t="s"/>
      <c r="I1866" t="s"/>
      <c r="J1866" t="n">
        <v>-0.6808</v>
      </c>
      <c r="K1866" t="n">
        <v>0.196</v>
      </c>
      <c r="L1866" t="n">
        <v>0.804</v>
      </c>
      <c r="M1866" t="n">
        <v>0</v>
      </c>
    </row>
    <row r="1867" spans="1:13">
      <c r="A1867" s="1">
        <f>HYPERLINK("http://www.twitter.com/NathanBLawrence/status/984977656851595264", "984977656851595264")</f>
        <v/>
      </c>
      <c r="B1867" s="2" t="n">
        <v>43204.09199074074</v>
      </c>
      <c r="C1867" t="n">
        <v>1</v>
      </c>
      <c r="D1867" t="n">
        <v>0</v>
      </c>
      <c r="E1867" t="s">
        <v>1873</v>
      </c>
      <c r="F1867" t="s"/>
      <c r="G1867" t="s"/>
      <c r="H1867" t="s"/>
      <c r="I1867" t="s"/>
      <c r="J1867" t="n">
        <v>-0.2003</v>
      </c>
      <c r="K1867" t="n">
        <v>0.347</v>
      </c>
      <c r="L1867" t="n">
        <v>0.435</v>
      </c>
      <c r="M1867" t="n">
        <v>0.218</v>
      </c>
    </row>
    <row r="1868" spans="1:13">
      <c r="A1868" s="1">
        <f>HYPERLINK("http://www.twitter.com/NathanBLawrence/status/984977278730952705", "984977278730952705")</f>
        <v/>
      </c>
      <c r="B1868" s="2" t="n">
        <v>43204.0909375</v>
      </c>
      <c r="C1868" t="n">
        <v>0</v>
      </c>
      <c r="D1868" t="n">
        <v>0</v>
      </c>
      <c r="E1868" t="s">
        <v>1874</v>
      </c>
      <c r="F1868" t="s"/>
      <c r="G1868" t="s"/>
      <c r="H1868" t="s"/>
      <c r="I1868" t="s"/>
      <c r="J1868" t="n">
        <v>0</v>
      </c>
      <c r="K1868" t="n">
        <v>0</v>
      </c>
      <c r="L1868" t="n">
        <v>1</v>
      </c>
      <c r="M1868" t="n">
        <v>0</v>
      </c>
    </row>
    <row r="1869" spans="1:13">
      <c r="A1869" s="1">
        <f>HYPERLINK("http://www.twitter.com/NathanBLawrence/status/984977070391521280", "984977070391521280")</f>
        <v/>
      </c>
      <c r="B1869" s="2" t="n">
        <v>43204.09037037037</v>
      </c>
      <c r="C1869" t="n">
        <v>9</v>
      </c>
      <c r="D1869" t="n">
        <v>8</v>
      </c>
      <c r="E1869" t="s">
        <v>1875</v>
      </c>
      <c r="F1869">
        <f>HYPERLINK("http://pbs.twimg.com/media/DatXLeGWAAAKi-6.jpg", "http://pbs.twimg.com/media/DatXLeGWAAAKi-6.jpg")</f>
        <v/>
      </c>
      <c r="G1869" t="s"/>
      <c r="H1869" t="s"/>
      <c r="I1869" t="s"/>
      <c r="J1869" t="n">
        <v>-0.3384</v>
      </c>
      <c r="K1869" t="n">
        <v>0.103</v>
      </c>
      <c r="L1869" t="n">
        <v>0.826</v>
      </c>
      <c r="M1869" t="n">
        <v>0.07099999999999999</v>
      </c>
    </row>
    <row r="1870" spans="1:13">
      <c r="A1870" s="1">
        <f>HYPERLINK("http://www.twitter.com/NathanBLawrence/status/984969219602370560", "984969219602370560")</f>
        <v/>
      </c>
      <c r="B1870" s="2" t="n">
        <v>43204.06870370371</v>
      </c>
      <c r="C1870" t="n">
        <v>0</v>
      </c>
      <c r="D1870" t="n">
        <v>5</v>
      </c>
      <c r="E1870" t="s">
        <v>1876</v>
      </c>
      <c r="F1870" t="s"/>
      <c r="G1870" t="s"/>
      <c r="H1870" t="s"/>
      <c r="I1870" t="s"/>
      <c r="J1870" t="n">
        <v>-0.8270999999999999</v>
      </c>
      <c r="K1870" t="n">
        <v>0.345</v>
      </c>
      <c r="L1870" t="n">
        <v>0.599</v>
      </c>
      <c r="M1870" t="n">
        <v>0.056</v>
      </c>
    </row>
    <row r="1871" spans="1:13">
      <c r="A1871" s="1">
        <f>HYPERLINK("http://www.twitter.com/NathanBLawrence/status/984968014457114624", "984968014457114624")</f>
        <v/>
      </c>
      <c r="B1871" s="2" t="n">
        <v>43204.06538194444</v>
      </c>
      <c r="C1871" t="n">
        <v>0</v>
      </c>
      <c r="D1871" t="n">
        <v>16</v>
      </c>
      <c r="E1871" t="s">
        <v>1877</v>
      </c>
      <c r="F1871">
        <f>HYPERLINK("http://pbs.twimg.com/media/Dal2kRoVAAAee6V.jpg", "http://pbs.twimg.com/media/Dal2kRoVAAAee6V.jpg")</f>
        <v/>
      </c>
      <c r="G1871" t="s"/>
      <c r="H1871" t="s"/>
      <c r="I1871" t="s"/>
      <c r="J1871" t="n">
        <v>-0.7096</v>
      </c>
      <c r="K1871" t="n">
        <v>0.277</v>
      </c>
      <c r="L1871" t="n">
        <v>0.723</v>
      </c>
      <c r="M1871" t="n">
        <v>0</v>
      </c>
    </row>
    <row r="1872" spans="1:13">
      <c r="A1872" s="1">
        <f>HYPERLINK("http://www.twitter.com/NathanBLawrence/status/984949250583924738", "984949250583924738")</f>
        <v/>
      </c>
      <c r="B1872" s="2" t="n">
        <v>43204.01359953704</v>
      </c>
      <c r="C1872" t="n">
        <v>0</v>
      </c>
      <c r="D1872" t="n">
        <v>4</v>
      </c>
      <c r="E1872" t="s">
        <v>1878</v>
      </c>
      <c r="F1872" t="s"/>
      <c r="G1872" t="s"/>
      <c r="H1872" t="s"/>
      <c r="I1872" t="s"/>
      <c r="J1872" t="n">
        <v>-0.2003</v>
      </c>
      <c r="K1872" t="n">
        <v>0.101</v>
      </c>
      <c r="L1872" t="n">
        <v>0.899</v>
      </c>
      <c r="M1872" t="n">
        <v>0</v>
      </c>
    </row>
    <row r="1873" spans="1:13">
      <c r="A1873" s="1">
        <f>HYPERLINK("http://www.twitter.com/NathanBLawrence/status/984949214399664128", "984949214399664128")</f>
        <v/>
      </c>
      <c r="B1873" s="2" t="n">
        <v>43204.01349537037</v>
      </c>
      <c r="C1873" t="n">
        <v>4</v>
      </c>
      <c r="D1873" t="n">
        <v>4</v>
      </c>
      <c r="E1873" t="s">
        <v>1879</v>
      </c>
      <c r="F1873" t="s"/>
      <c r="G1873" t="s"/>
      <c r="H1873" t="s"/>
      <c r="I1873" t="s"/>
      <c r="J1873" t="n">
        <v>-0.2003</v>
      </c>
      <c r="K1873" t="n">
        <v>0.113</v>
      </c>
      <c r="L1873" t="n">
        <v>0.887</v>
      </c>
      <c r="M1873" t="n">
        <v>0</v>
      </c>
    </row>
    <row r="1874" spans="1:13">
      <c r="A1874" s="1">
        <f>HYPERLINK("http://www.twitter.com/NathanBLawrence/status/984946090679111680", "984946090679111680")</f>
        <v/>
      </c>
      <c r="B1874" s="2" t="n">
        <v>43204.00488425926</v>
      </c>
      <c r="C1874" t="n">
        <v>0</v>
      </c>
      <c r="D1874" t="n">
        <v>2</v>
      </c>
      <c r="E1874" t="s">
        <v>1880</v>
      </c>
      <c r="F1874" t="s"/>
      <c r="G1874" t="s"/>
      <c r="H1874" t="s"/>
      <c r="I1874" t="s"/>
      <c r="J1874" t="n">
        <v>0</v>
      </c>
      <c r="K1874" t="n">
        <v>0</v>
      </c>
      <c r="L1874" t="n">
        <v>1</v>
      </c>
      <c r="M1874" t="n">
        <v>0</v>
      </c>
    </row>
    <row r="1875" spans="1:13">
      <c r="A1875" s="1">
        <f>HYPERLINK("http://www.twitter.com/NathanBLawrence/status/984946067631411200", "984946067631411200")</f>
        <v/>
      </c>
      <c r="B1875" s="2" t="n">
        <v>43204.00481481481</v>
      </c>
      <c r="C1875" t="n">
        <v>2</v>
      </c>
      <c r="D1875" t="n">
        <v>2</v>
      </c>
      <c r="E1875" t="s">
        <v>1881</v>
      </c>
      <c r="F1875" t="s"/>
      <c r="G1875" t="s"/>
      <c r="H1875" t="s"/>
      <c r="I1875" t="s"/>
      <c r="J1875" t="n">
        <v>0</v>
      </c>
      <c r="K1875" t="n">
        <v>0</v>
      </c>
      <c r="L1875" t="n">
        <v>1</v>
      </c>
      <c r="M1875" t="n">
        <v>0</v>
      </c>
    </row>
    <row r="1876" spans="1:13">
      <c r="A1876" s="1">
        <f>HYPERLINK("http://www.twitter.com/NathanBLawrence/status/984945241559044099", "984945241559044099")</f>
        <v/>
      </c>
      <c r="B1876" s="2" t="n">
        <v>43204.00253472223</v>
      </c>
      <c r="C1876" t="n">
        <v>3</v>
      </c>
      <c r="D1876" t="n">
        <v>1</v>
      </c>
      <c r="E1876" t="s">
        <v>1882</v>
      </c>
      <c r="F1876" t="s"/>
      <c r="G1876" t="s"/>
      <c r="H1876" t="s"/>
      <c r="I1876" t="s"/>
      <c r="J1876" t="n">
        <v>-0.7269</v>
      </c>
      <c r="K1876" t="n">
        <v>0.418</v>
      </c>
      <c r="L1876" t="n">
        <v>0.464</v>
      </c>
      <c r="M1876" t="n">
        <v>0.118</v>
      </c>
    </row>
    <row r="1877" spans="1:13">
      <c r="A1877" s="1">
        <f>HYPERLINK("http://www.twitter.com/NathanBLawrence/status/984943851050864640", "984943851050864640")</f>
        <v/>
      </c>
      <c r="B1877" s="2" t="n">
        <v>43203.99870370371</v>
      </c>
      <c r="C1877" t="n">
        <v>3</v>
      </c>
      <c r="D1877" t="n">
        <v>0</v>
      </c>
      <c r="E1877" t="s">
        <v>1883</v>
      </c>
      <c r="F1877" t="s"/>
      <c r="G1877" t="s"/>
      <c r="H1877" t="s"/>
      <c r="I1877" t="s"/>
      <c r="J1877" t="n">
        <v>0.2746</v>
      </c>
      <c r="K1877" t="n">
        <v>0</v>
      </c>
      <c r="L1877" t="n">
        <v>0.74</v>
      </c>
      <c r="M1877" t="n">
        <v>0.26</v>
      </c>
    </row>
    <row r="1878" spans="1:13">
      <c r="A1878" s="1">
        <f>HYPERLINK("http://www.twitter.com/NathanBLawrence/status/984943472955322370", "984943472955322370")</f>
        <v/>
      </c>
      <c r="B1878" s="2" t="n">
        <v>43203.99765046296</v>
      </c>
      <c r="C1878" t="n">
        <v>0</v>
      </c>
      <c r="D1878" t="n">
        <v>1</v>
      </c>
      <c r="E1878" t="s">
        <v>1884</v>
      </c>
      <c r="F1878" t="s"/>
      <c r="G1878" t="s"/>
      <c r="H1878" t="s"/>
      <c r="I1878" t="s"/>
      <c r="J1878" t="n">
        <v>0.5266999999999999</v>
      </c>
      <c r="K1878" t="n">
        <v>0</v>
      </c>
      <c r="L1878" t="n">
        <v>0.476</v>
      </c>
      <c r="M1878" t="n">
        <v>0.524</v>
      </c>
    </row>
    <row r="1879" spans="1:13">
      <c r="A1879" s="1">
        <f>HYPERLINK("http://www.twitter.com/NathanBLawrence/status/984932334356090880", "984932334356090880")</f>
        <v/>
      </c>
      <c r="B1879" s="2" t="n">
        <v>43203.9669212963</v>
      </c>
      <c r="C1879" t="n">
        <v>0</v>
      </c>
      <c r="D1879" t="n">
        <v>22</v>
      </c>
      <c r="E1879" t="s">
        <v>1885</v>
      </c>
      <c r="F1879">
        <f>HYPERLINK("http://pbs.twimg.com/media/DasutJIWsAAhbq7.jpg", "http://pbs.twimg.com/media/DasutJIWsAAhbq7.jpg")</f>
        <v/>
      </c>
      <c r="G1879" t="s"/>
      <c r="H1879" t="s"/>
      <c r="I1879" t="s"/>
      <c r="J1879" t="n">
        <v>-0.8777</v>
      </c>
      <c r="K1879" t="n">
        <v>0.371</v>
      </c>
      <c r="L1879" t="n">
        <v>0.586</v>
      </c>
      <c r="M1879" t="n">
        <v>0.042</v>
      </c>
    </row>
    <row r="1880" spans="1:13">
      <c r="A1880" s="1">
        <f>HYPERLINK("http://www.twitter.com/NathanBLawrence/status/984932308078735360", "984932308078735360")</f>
        <v/>
      </c>
      <c r="B1880" s="2" t="n">
        <v>43203.96685185185</v>
      </c>
      <c r="C1880" t="n">
        <v>25</v>
      </c>
      <c r="D1880" t="n">
        <v>22</v>
      </c>
      <c r="E1880" t="s">
        <v>1886</v>
      </c>
      <c r="F1880">
        <f>HYPERLINK("http://pbs.twimg.com/media/DasutJIWsAAhbq7.jpg", "http://pbs.twimg.com/media/DasutJIWsAAhbq7.jpg")</f>
        <v/>
      </c>
      <c r="G1880" t="s"/>
      <c r="H1880" t="s"/>
      <c r="I1880" t="s"/>
      <c r="J1880" t="n">
        <v>-0.8777</v>
      </c>
      <c r="K1880" t="n">
        <v>0.234</v>
      </c>
      <c r="L1880" t="n">
        <v>0.739</v>
      </c>
      <c r="M1880" t="n">
        <v>0.027</v>
      </c>
    </row>
    <row r="1881" spans="1:13">
      <c r="A1881" s="1">
        <f>HYPERLINK("http://www.twitter.com/NathanBLawrence/status/984929535874490368", "984929535874490368")</f>
        <v/>
      </c>
      <c r="B1881" s="2" t="n">
        <v>43203.95920138889</v>
      </c>
      <c r="C1881" t="n">
        <v>0</v>
      </c>
      <c r="D1881" t="n">
        <v>2</v>
      </c>
      <c r="E1881" t="s">
        <v>1887</v>
      </c>
      <c r="F1881" t="s"/>
      <c r="G1881" t="s"/>
      <c r="H1881" t="s"/>
      <c r="I1881" t="s"/>
      <c r="J1881" t="n">
        <v>0</v>
      </c>
      <c r="K1881" t="n">
        <v>0</v>
      </c>
      <c r="L1881" t="n">
        <v>1</v>
      </c>
      <c r="M1881" t="n">
        <v>0</v>
      </c>
    </row>
    <row r="1882" spans="1:13">
      <c r="A1882" s="1">
        <f>HYPERLINK("http://www.twitter.com/NathanBLawrence/status/984929496154431488", "984929496154431488")</f>
        <v/>
      </c>
      <c r="B1882" s="2" t="n">
        <v>43203.95908564814</v>
      </c>
      <c r="C1882" t="n">
        <v>0</v>
      </c>
      <c r="D1882" t="n">
        <v>1</v>
      </c>
      <c r="E1882" t="s">
        <v>1888</v>
      </c>
      <c r="F1882" t="s"/>
      <c r="G1882" t="s"/>
      <c r="H1882" t="s"/>
      <c r="I1882" t="s"/>
      <c r="J1882" t="n">
        <v>0.128</v>
      </c>
      <c r="K1882" t="n">
        <v>0</v>
      </c>
      <c r="L1882" t="n">
        <v>0.909</v>
      </c>
      <c r="M1882" t="n">
        <v>0.091</v>
      </c>
    </row>
    <row r="1883" spans="1:13">
      <c r="A1883" s="1">
        <f>HYPERLINK("http://www.twitter.com/NathanBLawrence/status/984929391485554688", "984929391485554688")</f>
        <v/>
      </c>
      <c r="B1883" s="2" t="n">
        <v>43203.9587962963</v>
      </c>
      <c r="C1883" t="n">
        <v>2</v>
      </c>
      <c r="D1883" t="n">
        <v>2</v>
      </c>
      <c r="E1883" t="s">
        <v>1889</v>
      </c>
      <c r="F1883" t="s"/>
      <c r="G1883" t="s"/>
      <c r="H1883" t="s"/>
      <c r="I1883" t="s"/>
      <c r="J1883" t="n">
        <v>0</v>
      </c>
      <c r="K1883" t="n">
        <v>0</v>
      </c>
      <c r="L1883" t="n">
        <v>1</v>
      </c>
      <c r="M1883" t="n">
        <v>0</v>
      </c>
    </row>
    <row r="1884" spans="1:13">
      <c r="A1884" s="1">
        <f>HYPERLINK("http://www.twitter.com/NathanBLawrence/status/984929195708108800", "984929195708108800")</f>
        <v/>
      </c>
      <c r="B1884" s="2" t="n">
        <v>43203.95826388889</v>
      </c>
      <c r="C1884" t="n">
        <v>0</v>
      </c>
      <c r="D1884" t="n">
        <v>1</v>
      </c>
      <c r="E1884" t="s">
        <v>1890</v>
      </c>
      <c r="F1884" t="s"/>
      <c r="G1884" t="s"/>
      <c r="H1884" t="s"/>
      <c r="I1884" t="s"/>
      <c r="J1884" t="n">
        <v>0.128</v>
      </c>
      <c r="K1884" t="n">
        <v>0</v>
      </c>
      <c r="L1884" t="n">
        <v>0.897</v>
      </c>
      <c r="M1884" t="n">
        <v>0.103</v>
      </c>
    </row>
    <row r="1885" spans="1:13">
      <c r="A1885" s="1">
        <f>HYPERLINK("http://www.twitter.com/NathanBLawrence/status/984928046003228673", "984928046003228673")</f>
        <v/>
      </c>
      <c r="B1885" s="2" t="n">
        <v>43203.95508101852</v>
      </c>
      <c r="C1885" t="n">
        <v>0</v>
      </c>
      <c r="D1885" t="n">
        <v>12</v>
      </c>
      <c r="E1885" t="s">
        <v>1891</v>
      </c>
      <c r="F1885" t="s"/>
      <c r="G1885" t="s"/>
      <c r="H1885" t="s"/>
      <c r="I1885" t="s"/>
      <c r="J1885" t="n">
        <v>-0.5983000000000001</v>
      </c>
      <c r="K1885" t="n">
        <v>0.386</v>
      </c>
      <c r="L1885" t="n">
        <v>0.445</v>
      </c>
      <c r="M1885" t="n">
        <v>0.169</v>
      </c>
    </row>
    <row r="1886" spans="1:13">
      <c r="A1886" s="1">
        <f>HYPERLINK("http://www.twitter.com/NathanBLawrence/status/984912890087043073", "984912890087043073")</f>
        <v/>
      </c>
      <c r="B1886" s="2" t="n">
        <v>43203.91326388889</v>
      </c>
      <c r="C1886" t="n">
        <v>0</v>
      </c>
      <c r="D1886" t="n">
        <v>1</v>
      </c>
      <c r="E1886" t="s">
        <v>1892</v>
      </c>
      <c r="F1886" t="s"/>
      <c r="G1886" t="s"/>
      <c r="H1886" t="s"/>
      <c r="I1886" t="s"/>
      <c r="J1886" t="n">
        <v>0.296</v>
      </c>
      <c r="K1886" t="n">
        <v>0</v>
      </c>
      <c r="L1886" t="n">
        <v>0.872</v>
      </c>
      <c r="M1886" t="n">
        <v>0.128</v>
      </c>
    </row>
    <row r="1887" spans="1:13">
      <c r="A1887" s="1">
        <f>HYPERLINK("http://www.twitter.com/NathanBLawrence/status/984909724037632001", "984909724037632001")</f>
        <v/>
      </c>
      <c r="B1887" s="2" t="n">
        <v>43203.90452546296</v>
      </c>
      <c r="C1887" t="n">
        <v>0</v>
      </c>
      <c r="D1887" t="n">
        <v>1</v>
      </c>
      <c r="E1887" t="s">
        <v>1893</v>
      </c>
      <c r="F1887" t="s"/>
      <c r="G1887" t="s"/>
      <c r="H1887" t="s"/>
      <c r="I1887" t="s"/>
      <c r="J1887" t="n">
        <v>0.296</v>
      </c>
      <c r="K1887" t="n">
        <v>0</v>
      </c>
      <c r="L1887" t="n">
        <v>0.855</v>
      </c>
      <c r="M1887" t="n">
        <v>0.145</v>
      </c>
    </row>
    <row r="1888" spans="1:13">
      <c r="A1888" s="1">
        <f>HYPERLINK("http://www.twitter.com/NathanBLawrence/status/984897883823632386", "984897883823632386")</f>
        <v/>
      </c>
      <c r="B1888" s="2" t="n">
        <v>43203.87185185185</v>
      </c>
      <c r="C1888" t="n">
        <v>0</v>
      </c>
      <c r="D1888" t="n">
        <v>5</v>
      </c>
      <c r="E1888" t="s">
        <v>1894</v>
      </c>
      <c r="F1888" t="s"/>
      <c r="G1888" t="s"/>
      <c r="H1888" t="s"/>
      <c r="I1888" t="s"/>
      <c r="J1888" t="n">
        <v>-0.296</v>
      </c>
      <c r="K1888" t="n">
        <v>0.109</v>
      </c>
      <c r="L1888" t="n">
        <v>0.891</v>
      </c>
      <c r="M1888" t="n">
        <v>0</v>
      </c>
    </row>
    <row r="1889" spans="1:13">
      <c r="A1889" s="1">
        <f>HYPERLINK("http://www.twitter.com/NathanBLawrence/status/984896876515352578", "984896876515352578")</f>
        <v/>
      </c>
      <c r="B1889" s="2" t="n">
        <v>43203.86907407407</v>
      </c>
      <c r="C1889" t="n">
        <v>7</v>
      </c>
      <c r="D1889" t="n">
        <v>5</v>
      </c>
      <c r="E1889" t="s">
        <v>1895</v>
      </c>
      <c r="F1889" t="s"/>
      <c r="G1889" t="s"/>
      <c r="H1889" t="s"/>
      <c r="I1889" t="s"/>
      <c r="J1889" t="n">
        <v>-0.7003</v>
      </c>
      <c r="K1889" t="n">
        <v>0.18</v>
      </c>
      <c r="L1889" t="n">
        <v>0.82</v>
      </c>
      <c r="M1889" t="n">
        <v>0</v>
      </c>
    </row>
    <row r="1890" spans="1:13">
      <c r="A1890" s="1">
        <f>HYPERLINK("http://www.twitter.com/NathanBLawrence/status/984892864495783938", "984892864495783938")</f>
        <v/>
      </c>
      <c r="B1890" s="2" t="n">
        <v>43203.85799768518</v>
      </c>
      <c r="C1890" t="n">
        <v>2</v>
      </c>
      <c r="D1890" t="n">
        <v>0</v>
      </c>
      <c r="E1890" t="s">
        <v>1896</v>
      </c>
      <c r="F1890" t="s"/>
      <c r="G1890" t="s"/>
      <c r="H1890" t="s"/>
      <c r="I1890" t="s"/>
      <c r="J1890" t="n">
        <v>0</v>
      </c>
      <c r="K1890" t="n">
        <v>0</v>
      </c>
      <c r="L1890" t="n">
        <v>1</v>
      </c>
      <c r="M1890" t="n">
        <v>0</v>
      </c>
    </row>
    <row r="1891" spans="1:13">
      <c r="A1891" s="1">
        <f>HYPERLINK("http://www.twitter.com/NathanBLawrence/status/984856446776070144", "984856446776070144")</f>
        <v/>
      </c>
      <c r="B1891" s="2" t="n">
        <v>43203.75751157408</v>
      </c>
      <c r="C1891" t="n">
        <v>0</v>
      </c>
      <c r="D1891" t="n">
        <v>12</v>
      </c>
      <c r="E1891" t="s">
        <v>1897</v>
      </c>
      <c r="F1891" t="s"/>
      <c r="G1891" t="s"/>
      <c r="H1891" t="s"/>
      <c r="I1891" t="s"/>
      <c r="J1891" t="n">
        <v>-0.296</v>
      </c>
      <c r="K1891" t="n">
        <v>0.115</v>
      </c>
      <c r="L1891" t="n">
        <v>0.885</v>
      </c>
      <c r="M1891" t="n">
        <v>0</v>
      </c>
    </row>
    <row r="1892" spans="1:13">
      <c r="A1892" s="1">
        <f>HYPERLINK("http://www.twitter.com/NathanBLawrence/status/984826998915829762", "984826998915829762")</f>
        <v/>
      </c>
      <c r="B1892" s="2" t="n">
        <v>43203.67625</v>
      </c>
      <c r="C1892" t="n">
        <v>0</v>
      </c>
      <c r="D1892" t="n">
        <v>0</v>
      </c>
      <c r="E1892" t="s">
        <v>1898</v>
      </c>
      <c r="F1892" t="s"/>
      <c r="G1892" t="s"/>
      <c r="H1892" t="s"/>
      <c r="I1892" t="s"/>
      <c r="J1892" t="n">
        <v>0.5106000000000001</v>
      </c>
      <c r="K1892" t="n">
        <v>0</v>
      </c>
      <c r="L1892" t="n">
        <v>0.752</v>
      </c>
      <c r="M1892" t="n">
        <v>0.248</v>
      </c>
    </row>
    <row r="1893" spans="1:13">
      <c r="A1893" s="1">
        <f>HYPERLINK("http://www.twitter.com/NathanBLawrence/status/984823554100420608", "984823554100420608")</f>
        <v/>
      </c>
      <c r="B1893" s="2" t="n">
        <v>43203.66674768519</v>
      </c>
      <c r="C1893" t="n">
        <v>0</v>
      </c>
      <c r="D1893" t="n">
        <v>6</v>
      </c>
      <c r="E1893" t="s">
        <v>1899</v>
      </c>
      <c r="F1893" t="s"/>
      <c r="G1893" t="s"/>
      <c r="H1893" t="s"/>
      <c r="I1893" t="s"/>
      <c r="J1893" t="n">
        <v>-0.6166</v>
      </c>
      <c r="K1893" t="n">
        <v>0.161</v>
      </c>
      <c r="L1893" t="n">
        <v>0.839</v>
      </c>
      <c r="M1893" t="n">
        <v>0</v>
      </c>
    </row>
    <row r="1894" spans="1:13">
      <c r="A1894" s="1">
        <f>HYPERLINK("http://www.twitter.com/NathanBLawrence/status/984813994363023361", "984813994363023361")</f>
        <v/>
      </c>
      <c r="B1894" s="2" t="n">
        <v>43203.6403587963</v>
      </c>
      <c r="C1894" t="n">
        <v>1</v>
      </c>
      <c r="D1894" t="n">
        <v>0</v>
      </c>
      <c r="E1894" t="s">
        <v>1900</v>
      </c>
      <c r="F1894" t="s"/>
      <c r="G1894" t="s"/>
      <c r="H1894" t="s"/>
      <c r="I1894" t="s"/>
      <c r="J1894" t="n">
        <v>0</v>
      </c>
      <c r="K1894" t="n">
        <v>0</v>
      </c>
      <c r="L1894" t="n">
        <v>1</v>
      </c>
      <c r="M1894" t="n">
        <v>0</v>
      </c>
    </row>
    <row r="1895" spans="1:13">
      <c r="A1895" s="1">
        <f>HYPERLINK("http://www.twitter.com/NathanBLawrence/status/984813915443007488", "984813915443007488")</f>
        <v/>
      </c>
      <c r="B1895" s="2" t="n">
        <v>43203.64015046296</v>
      </c>
      <c r="C1895" t="n">
        <v>9</v>
      </c>
      <c r="D1895" t="n">
        <v>4</v>
      </c>
      <c r="E1895" t="s">
        <v>1901</v>
      </c>
      <c r="F1895">
        <f>HYPERLINK("http://pbs.twimg.com/media/DarCs72X0AAK0UT.jpg", "http://pbs.twimg.com/media/DarCs72X0AAK0UT.jpg")</f>
        <v/>
      </c>
      <c r="G1895">
        <f>HYPERLINK("http://pbs.twimg.com/media/DarCt9HW0AAnFV-.jpg", "http://pbs.twimg.com/media/DarCt9HW0AAnFV-.jpg")</f>
        <v/>
      </c>
      <c r="H1895" t="s"/>
      <c r="I1895" t="s"/>
      <c r="J1895" t="n">
        <v>-0.3129</v>
      </c>
      <c r="K1895" t="n">
        <v>0.098</v>
      </c>
      <c r="L1895" t="n">
        <v>0.845</v>
      </c>
      <c r="M1895" t="n">
        <v>0.057</v>
      </c>
    </row>
    <row r="1896" spans="1:13">
      <c r="A1896" s="1">
        <f>HYPERLINK("http://www.twitter.com/NathanBLawrence/status/984811871759929344", "984811871759929344")</f>
        <v/>
      </c>
      <c r="B1896" s="2" t="n">
        <v>43203.63450231482</v>
      </c>
      <c r="C1896" t="n">
        <v>0</v>
      </c>
      <c r="D1896" t="n">
        <v>0</v>
      </c>
      <c r="E1896" t="s">
        <v>1902</v>
      </c>
      <c r="F1896">
        <f>HYPERLINK("http://pbs.twimg.com/media/DarBHXIX4AAVQ8s.jpg", "http://pbs.twimg.com/media/DarBHXIX4AAVQ8s.jpg")</f>
        <v/>
      </c>
      <c r="G1896" t="s"/>
      <c r="H1896" t="s"/>
      <c r="I1896" t="s"/>
      <c r="J1896" t="n">
        <v>0</v>
      </c>
      <c r="K1896" t="n">
        <v>0</v>
      </c>
      <c r="L1896" t="n">
        <v>1</v>
      </c>
      <c r="M1896" t="n">
        <v>0</v>
      </c>
    </row>
    <row r="1897" spans="1:13">
      <c r="A1897" s="1">
        <f>HYPERLINK("http://www.twitter.com/NathanBLawrence/status/984782069921452034", "984782069921452034")</f>
        <v/>
      </c>
      <c r="B1897" s="2" t="n">
        <v>43203.55226851852</v>
      </c>
      <c r="C1897" t="n">
        <v>0</v>
      </c>
      <c r="D1897" t="n">
        <v>1</v>
      </c>
      <c r="E1897" t="s">
        <v>1903</v>
      </c>
      <c r="F1897" t="s"/>
      <c r="G1897" t="s"/>
      <c r="H1897" t="s"/>
      <c r="I1897" t="s"/>
      <c r="J1897" t="n">
        <v>0.4404</v>
      </c>
      <c r="K1897" t="n">
        <v>0</v>
      </c>
      <c r="L1897" t="n">
        <v>0.879</v>
      </c>
      <c r="M1897" t="n">
        <v>0.121</v>
      </c>
    </row>
    <row r="1898" spans="1:13">
      <c r="A1898" s="1">
        <f>HYPERLINK("http://www.twitter.com/NathanBLawrence/status/984782008839757824", "984782008839757824")</f>
        <v/>
      </c>
      <c r="B1898" s="2" t="n">
        <v>43203.55209490741</v>
      </c>
      <c r="C1898" t="n">
        <v>0</v>
      </c>
      <c r="D1898" t="n">
        <v>1</v>
      </c>
      <c r="E1898" t="s">
        <v>1904</v>
      </c>
      <c r="F1898" t="s"/>
      <c r="G1898" t="s"/>
      <c r="H1898" t="s"/>
      <c r="I1898" t="s"/>
      <c r="J1898" t="n">
        <v>0.3818</v>
      </c>
      <c r="K1898" t="n">
        <v>0.056</v>
      </c>
      <c r="L1898" t="n">
        <v>0.82</v>
      </c>
      <c r="M1898" t="n">
        <v>0.124</v>
      </c>
    </row>
    <row r="1899" spans="1:13">
      <c r="A1899" s="1">
        <f>HYPERLINK("http://www.twitter.com/NathanBLawrence/status/984758616992440320", "984758616992440320")</f>
        <v/>
      </c>
      <c r="B1899" s="2" t="n">
        <v>43203.4875462963</v>
      </c>
      <c r="C1899" t="n">
        <v>0</v>
      </c>
      <c r="D1899" t="n">
        <v>2</v>
      </c>
      <c r="E1899" t="s">
        <v>1905</v>
      </c>
      <c r="F1899" t="s"/>
      <c r="G1899" t="s"/>
      <c r="H1899" t="s"/>
      <c r="I1899" t="s"/>
      <c r="J1899" t="n">
        <v>0</v>
      </c>
      <c r="K1899" t="n">
        <v>0</v>
      </c>
      <c r="L1899" t="n">
        <v>1</v>
      </c>
      <c r="M1899" t="n">
        <v>0</v>
      </c>
    </row>
    <row r="1900" spans="1:13">
      <c r="A1900" s="1">
        <f>HYPERLINK("http://www.twitter.com/NathanBLawrence/status/984704983781212160", "984704983781212160")</f>
        <v/>
      </c>
      <c r="B1900" s="2" t="n">
        <v>43203.33954861111</v>
      </c>
      <c r="C1900" t="n">
        <v>0</v>
      </c>
      <c r="D1900" t="n">
        <v>1</v>
      </c>
      <c r="E1900" t="s">
        <v>1906</v>
      </c>
      <c r="F1900" t="s"/>
      <c r="G1900" t="s"/>
      <c r="H1900" t="s"/>
      <c r="I1900" t="s"/>
      <c r="J1900" t="n">
        <v>-0.2235</v>
      </c>
      <c r="K1900" t="n">
        <v>0.08599999999999999</v>
      </c>
      <c r="L1900" t="n">
        <v>0.914</v>
      </c>
      <c r="M1900" t="n">
        <v>0</v>
      </c>
    </row>
    <row r="1901" spans="1:13">
      <c r="A1901" s="1">
        <f>HYPERLINK("http://www.twitter.com/NathanBLawrence/status/984634390083973120", "984634390083973120")</f>
        <v/>
      </c>
      <c r="B1901" s="2" t="n">
        <v>43203.14474537037</v>
      </c>
      <c r="C1901" t="n">
        <v>0</v>
      </c>
      <c r="D1901" t="n">
        <v>3</v>
      </c>
      <c r="E1901" t="s">
        <v>1907</v>
      </c>
      <c r="F1901" t="s"/>
      <c r="G1901" t="s"/>
      <c r="H1901" t="s"/>
      <c r="I1901" t="s"/>
      <c r="J1901" t="n">
        <v>-0.5562</v>
      </c>
      <c r="K1901" t="n">
        <v>0.183</v>
      </c>
      <c r="L1901" t="n">
        <v>0.8169999999999999</v>
      </c>
      <c r="M1901" t="n">
        <v>0</v>
      </c>
    </row>
    <row r="1902" spans="1:13">
      <c r="A1902" s="1">
        <f>HYPERLINK("http://www.twitter.com/NathanBLawrence/status/984617720217063424", "984617720217063424")</f>
        <v/>
      </c>
      <c r="B1902" s="2" t="n">
        <v>43203.09875</v>
      </c>
      <c r="C1902" t="n">
        <v>0</v>
      </c>
      <c r="D1902" t="n">
        <v>1</v>
      </c>
      <c r="E1902" t="s">
        <v>1908</v>
      </c>
      <c r="F1902" t="s"/>
      <c r="G1902" t="s"/>
      <c r="H1902" t="s"/>
      <c r="I1902" t="s"/>
      <c r="J1902" t="n">
        <v>0.2584</v>
      </c>
      <c r="K1902" t="n">
        <v>0</v>
      </c>
      <c r="L1902" t="n">
        <v>0.711</v>
      </c>
      <c r="M1902" t="n">
        <v>0.289</v>
      </c>
    </row>
    <row r="1903" spans="1:13">
      <c r="A1903" s="1">
        <f>HYPERLINK("http://www.twitter.com/NathanBLawrence/status/984615909439524865", "984615909439524865")</f>
        <v/>
      </c>
      <c r="B1903" s="2" t="n">
        <v>43203.09375</v>
      </c>
      <c r="C1903" t="n">
        <v>0</v>
      </c>
      <c r="D1903" t="n">
        <v>7</v>
      </c>
      <c r="E1903" t="s">
        <v>1909</v>
      </c>
      <c r="F1903" t="s"/>
      <c r="G1903" t="s"/>
      <c r="H1903" t="s"/>
      <c r="I1903" t="s"/>
      <c r="J1903" t="n">
        <v>-0.6739000000000001</v>
      </c>
      <c r="K1903" t="n">
        <v>0.335</v>
      </c>
      <c r="L1903" t="n">
        <v>0.665</v>
      </c>
      <c r="M1903" t="n">
        <v>0</v>
      </c>
    </row>
    <row r="1904" spans="1:13">
      <c r="A1904" s="1">
        <f>HYPERLINK("http://www.twitter.com/NathanBLawrence/status/984596861720940544", "984596861720940544")</f>
        <v/>
      </c>
      <c r="B1904" s="2" t="n">
        <v>43203.04119212963</v>
      </c>
      <c r="C1904" t="n">
        <v>0</v>
      </c>
      <c r="D1904" t="n">
        <v>5</v>
      </c>
      <c r="E1904" t="s">
        <v>1910</v>
      </c>
      <c r="F1904" t="s"/>
      <c r="G1904" t="s"/>
      <c r="H1904" t="s"/>
      <c r="I1904" t="s"/>
      <c r="J1904" t="n">
        <v>0</v>
      </c>
      <c r="K1904" t="n">
        <v>0</v>
      </c>
      <c r="L1904" t="n">
        <v>1</v>
      </c>
      <c r="M1904" t="n">
        <v>0</v>
      </c>
    </row>
    <row r="1905" spans="1:13">
      <c r="A1905" s="1">
        <f>HYPERLINK("http://www.twitter.com/NathanBLawrence/status/984592179157925893", "984592179157925893")</f>
        <v/>
      </c>
      <c r="B1905" s="2" t="n">
        <v>43203.02827546297</v>
      </c>
      <c r="C1905" t="n">
        <v>0</v>
      </c>
      <c r="D1905" t="n">
        <v>2</v>
      </c>
      <c r="E1905" t="s">
        <v>1911</v>
      </c>
      <c r="F1905" t="s"/>
      <c r="G1905" t="s"/>
      <c r="H1905" t="s"/>
      <c r="I1905" t="s"/>
      <c r="J1905" t="n">
        <v>-0.7269</v>
      </c>
      <c r="K1905" t="n">
        <v>0.303</v>
      </c>
      <c r="L1905" t="n">
        <v>0.697</v>
      </c>
      <c r="M1905" t="n">
        <v>0</v>
      </c>
    </row>
    <row r="1906" spans="1:13">
      <c r="A1906" s="1">
        <f>HYPERLINK("http://www.twitter.com/NathanBLawrence/status/984592087319539712", "984592087319539712")</f>
        <v/>
      </c>
      <c r="B1906" s="2" t="n">
        <v>43203.02802083334</v>
      </c>
      <c r="C1906" t="n">
        <v>5</v>
      </c>
      <c r="D1906" t="n">
        <v>2</v>
      </c>
      <c r="E1906" t="s">
        <v>1912</v>
      </c>
      <c r="F1906" t="s"/>
      <c r="G1906" t="s"/>
      <c r="H1906" t="s"/>
      <c r="I1906" t="s"/>
      <c r="J1906" t="n">
        <v>-0.8555</v>
      </c>
      <c r="K1906" t="n">
        <v>0.302</v>
      </c>
      <c r="L1906" t="n">
        <v>0.698</v>
      </c>
      <c r="M1906" t="n">
        <v>0</v>
      </c>
    </row>
    <row r="1907" spans="1:13">
      <c r="A1907" s="1">
        <f>HYPERLINK("http://www.twitter.com/NathanBLawrence/status/984586619134119936", "984586619134119936")</f>
        <v/>
      </c>
      <c r="B1907" s="2" t="n">
        <v>43203.01292824074</v>
      </c>
      <c r="C1907" t="n">
        <v>0</v>
      </c>
      <c r="D1907" t="n">
        <v>4</v>
      </c>
      <c r="E1907" t="s">
        <v>1913</v>
      </c>
      <c r="F1907" t="s"/>
      <c r="G1907" t="s"/>
      <c r="H1907" t="s"/>
      <c r="I1907" t="s"/>
      <c r="J1907" t="n">
        <v>0</v>
      </c>
      <c r="K1907" t="n">
        <v>0</v>
      </c>
      <c r="L1907" t="n">
        <v>1</v>
      </c>
      <c r="M1907" t="n">
        <v>0</v>
      </c>
    </row>
    <row r="1908" spans="1:13">
      <c r="A1908" s="1">
        <f>HYPERLINK("http://www.twitter.com/NathanBLawrence/status/984585492917342209", "984585492917342209")</f>
        <v/>
      </c>
      <c r="B1908" s="2" t="n">
        <v>43203.00981481482</v>
      </c>
      <c r="C1908" t="n">
        <v>7</v>
      </c>
      <c r="D1908" t="n">
        <v>4</v>
      </c>
      <c r="E1908" t="s">
        <v>1914</v>
      </c>
      <c r="F1908" t="s"/>
      <c r="G1908" t="s"/>
      <c r="H1908" t="s"/>
      <c r="I1908" t="s"/>
      <c r="J1908" t="n">
        <v>0</v>
      </c>
      <c r="K1908" t="n">
        <v>0</v>
      </c>
      <c r="L1908" t="n">
        <v>1</v>
      </c>
      <c r="M1908" t="n">
        <v>0</v>
      </c>
    </row>
    <row r="1909" spans="1:13">
      <c r="A1909" s="1">
        <f>HYPERLINK("http://www.twitter.com/NathanBLawrence/status/984583850201362432", "984583850201362432")</f>
        <v/>
      </c>
      <c r="B1909" s="2" t="n">
        <v>43203.00528935185</v>
      </c>
      <c r="C1909" t="n">
        <v>0</v>
      </c>
      <c r="D1909" t="n">
        <v>4</v>
      </c>
      <c r="E1909" t="s">
        <v>1915</v>
      </c>
      <c r="F1909" t="s"/>
      <c r="G1909" t="s"/>
      <c r="H1909" t="s"/>
      <c r="I1909" t="s"/>
      <c r="J1909" t="n">
        <v>0</v>
      </c>
      <c r="K1909" t="n">
        <v>0</v>
      </c>
      <c r="L1909" t="n">
        <v>1</v>
      </c>
      <c r="M1909" t="n">
        <v>0</v>
      </c>
    </row>
    <row r="1910" spans="1:13">
      <c r="A1910" s="1">
        <f>HYPERLINK("http://www.twitter.com/NathanBLawrence/status/984583831222194176", "984583831222194176")</f>
        <v/>
      </c>
      <c r="B1910" s="2" t="n">
        <v>43203.00523148148</v>
      </c>
      <c r="C1910" t="n">
        <v>4</v>
      </c>
      <c r="D1910" t="n">
        <v>4</v>
      </c>
      <c r="E1910" t="s">
        <v>1916</v>
      </c>
      <c r="F1910" t="s"/>
      <c r="G1910" t="s"/>
      <c r="H1910" t="s"/>
      <c r="I1910" t="s"/>
      <c r="J1910" t="n">
        <v>-0.4023</v>
      </c>
      <c r="K1910" t="n">
        <v>0.101</v>
      </c>
      <c r="L1910" t="n">
        <v>0.899</v>
      </c>
      <c r="M1910" t="n">
        <v>0</v>
      </c>
    </row>
    <row r="1911" spans="1:13">
      <c r="A1911" s="1">
        <f>HYPERLINK("http://www.twitter.com/NathanBLawrence/status/984581114844106752", "984581114844106752")</f>
        <v/>
      </c>
      <c r="B1911" s="2" t="n">
        <v>43202.99774305556</v>
      </c>
      <c r="C1911" t="n">
        <v>0</v>
      </c>
      <c r="D1911" t="n">
        <v>0</v>
      </c>
      <c r="E1911" t="s">
        <v>1917</v>
      </c>
      <c r="F1911" t="s"/>
      <c r="G1911" t="s"/>
      <c r="H1911" t="s"/>
      <c r="I1911" t="s"/>
      <c r="J1911" t="n">
        <v>0</v>
      </c>
      <c r="K1911" t="n">
        <v>0</v>
      </c>
      <c r="L1911" t="n">
        <v>1</v>
      </c>
      <c r="M1911" t="n">
        <v>0</v>
      </c>
    </row>
    <row r="1912" spans="1:13">
      <c r="A1912" s="1">
        <f>HYPERLINK("http://www.twitter.com/NathanBLawrence/status/984579751921766400", "984579751921766400")</f>
        <v/>
      </c>
      <c r="B1912" s="2" t="n">
        <v>43202.99398148148</v>
      </c>
      <c r="C1912" t="n">
        <v>0</v>
      </c>
      <c r="D1912" t="n">
        <v>4</v>
      </c>
      <c r="E1912" t="s">
        <v>1918</v>
      </c>
      <c r="F1912" t="s"/>
      <c r="G1912" t="s"/>
      <c r="H1912" t="s"/>
      <c r="I1912" t="s"/>
      <c r="J1912" t="n">
        <v>0</v>
      </c>
      <c r="K1912" t="n">
        <v>0</v>
      </c>
      <c r="L1912" t="n">
        <v>1</v>
      </c>
      <c r="M1912" t="n">
        <v>0</v>
      </c>
    </row>
    <row r="1913" spans="1:13">
      <c r="A1913" s="1">
        <f>HYPERLINK("http://www.twitter.com/NathanBLawrence/status/984579594949885952", "984579594949885952")</f>
        <v/>
      </c>
      <c r="B1913" s="2" t="n">
        <v>43202.99354166666</v>
      </c>
      <c r="C1913" t="n">
        <v>0</v>
      </c>
      <c r="D1913" t="n">
        <v>14</v>
      </c>
      <c r="E1913" t="s">
        <v>1919</v>
      </c>
      <c r="F1913">
        <f>HYPERLINK("http://pbs.twimg.com/media/DamGtUyVwAAqC8f.jpg", "http://pbs.twimg.com/media/DamGtUyVwAAqC8f.jpg")</f>
        <v/>
      </c>
      <c r="G1913" t="s"/>
      <c r="H1913" t="s"/>
      <c r="I1913" t="s"/>
      <c r="J1913" t="n">
        <v>0.128</v>
      </c>
      <c r="K1913" t="n">
        <v>0</v>
      </c>
      <c r="L1913" t="n">
        <v>0.9330000000000001</v>
      </c>
      <c r="M1913" t="n">
        <v>0.067</v>
      </c>
    </row>
    <row r="1914" spans="1:13">
      <c r="A1914" s="1">
        <f>HYPERLINK("http://www.twitter.com/NathanBLawrence/status/984577059526717446", "984577059526717446")</f>
        <v/>
      </c>
      <c r="B1914" s="2" t="n">
        <v>43202.98655092593</v>
      </c>
      <c r="C1914" t="n">
        <v>0</v>
      </c>
      <c r="D1914" t="n">
        <v>1</v>
      </c>
      <c r="E1914" t="s">
        <v>1920</v>
      </c>
      <c r="F1914" t="s"/>
      <c r="G1914" t="s"/>
      <c r="H1914" t="s"/>
      <c r="I1914" t="s"/>
      <c r="J1914" t="n">
        <v>-0.4215</v>
      </c>
      <c r="K1914" t="n">
        <v>0.135</v>
      </c>
      <c r="L1914" t="n">
        <v>0.865</v>
      </c>
      <c r="M1914" t="n">
        <v>0</v>
      </c>
    </row>
    <row r="1915" spans="1:13">
      <c r="A1915" s="1">
        <f>HYPERLINK("http://www.twitter.com/NathanBLawrence/status/984576990975025152", "984576990975025152")</f>
        <v/>
      </c>
      <c r="B1915" s="2" t="n">
        <v>43202.98635416666</v>
      </c>
      <c r="C1915" t="n">
        <v>0</v>
      </c>
      <c r="D1915" t="n">
        <v>0</v>
      </c>
      <c r="E1915" t="s">
        <v>1921</v>
      </c>
      <c r="F1915" t="s"/>
      <c r="G1915" t="s"/>
      <c r="H1915" t="s"/>
      <c r="I1915" t="s"/>
      <c r="J1915" t="n">
        <v>-0.7351</v>
      </c>
      <c r="K1915" t="n">
        <v>0.406</v>
      </c>
      <c r="L1915" t="n">
        <v>0.594</v>
      </c>
      <c r="M1915" t="n">
        <v>0</v>
      </c>
    </row>
    <row r="1916" spans="1:13">
      <c r="A1916" s="1">
        <f>HYPERLINK("http://www.twitter.com/NathanBLawrence/status/984576963821166593", "984576963821166593")</f>
        <v/>
      </c>
      <c r="B1916" s="2" t="n">
        <v>43202.98628472222</v>
      </c>
      <c r="C1916" t="n">
        <v>1</v>
      </c>
      <c r="D1916" t="n">
        <v>1</v>
      </c>
      <c r="E1916" t="s">
        <v>1922</v>
      </c>
      <c r="F1916" t="s"/>
      <c r="G1916" t="s"/>
      <c r="H1916" t="s"/>
      <c r="I1916" t="s"/>
      <c r="J1916" t="n">
        <v>-0.4215</v>
      </c>
      <c r="K1916" t="n">
        <v>0.094</v>
      </c>
      <c r="L1916" t="n">
        <v>0.906</v>
      </c>
      <c r="M1916" t="n">
        <v>0</v>
      </c>
    </row>
    <row r="1917" spans="1:13">
      <c r="A1917" s="1">
        <f>HYPERLINK("http://www.twitter.com/NathanBLawrence/status/984564997312442368", "984564997312442368")</f>
        <v/>
      </c>
      <c r="B1917" s="2" t="n">
        <v>43202.95326388889</v>
      </c>
      <c r="C1917" t="n">
        <v>0</v>
      </c>
      <c r="D1917" t="n">
        <v>7</v>
      </c>
      <c r="E1917" t="s">
        <v>1923</v>
      </c>
      <c r="F1917" t="s"/>
      <c r="G1917" t="s"/>
      <c r="H1917" t="s"/>
      <c r="I1917" t="s"/>
      <c r="J1917" t="n">
        <v>-0.5106000000000001</v>
      </c>
      <c r="K1917" t="n">
        <v>0.178</v>
      </c>
      <c r="L1917" t="n">
        <v>0.772</v>
      </c>
      <c r="M1917" t="n">
        <v>0.05</v>
      </c>
    </row>
    <row r="1918" spans="1:13">
      <c r="A1918" s="1">
        <f>HYPERLINK("http://www.twitter.com/NathanBLawrence/status/984564140151918592", "984564140151918592")</f>
        <v/>
      </c>
      <c r="B1918" s="2" t="n">
        <v>43202.95089120371</v>
      </c>
      <c r="C1918" t="n">
        <v>0</v>
      </c>
      <c r="D1918" t="n">
        <v>3</v>
      </c>
      <c r="E1918" t="s">
        <v>1924</v>
      </c>
      <c r="F1918">
        <f>HYPERLINK("http://pbs.twimg.com/media/DancHgcVQAAw1RV.jpg", "http://pbs.twimg.com/media/DancHgcVQAAw1RV.jpg")</f>
        <v/>
      </c>
      <c r="G1918" t="s"/>
      <c r="H1918" t="s"/>
      <c r="I1918" t="s"/>
      <c r="J1918" t="n">
        <v>0</v>
      </c>
      <c r="K1918" t="n">
        <v>0</v>
      </c>
      <c r="L1918" t="n">
        <v>1</v>
      </c>
      <c r="M1918" t="n">
        <v>0</v>
      </c>
    </row>
    <row r="1919" spans="1:13">
      <c r="A1919" s="1">
        <f>HYPERLINK("http://www.twitter.com/NathanBLawrence/status/984563846177280000", "984563846177280000")</f>
        <v/>
      </c>
      <c r="B1919" s="2" t="n">
        <v>43202.95008101852</v>
      </c>
      <c r="C1919" t="n">
        <v>0</v>
      </c>
      <c r="D1919" t="n">
        <v>4</v>
      </c>
      <c r="E1919" t="s">
        <v>1925</v>
      </c>
      <c r="F1919" t="s"/>
      <c r="G1919" t="s"/>
      <c r="H1919" t="s"/>
      <c r="I1919" t="s"/>
      <c r="J1919" t="n">
        <v>-0.5106000000000001</v>
      </c>
      <c r="K1919" t="n">
        <v>0.148</v>
      </c>
      <c r="L1919" t="n">
        <v>0.852</v>
      </c>
      <c r="M1919" t="n">
        <v>0</v>
      </c>
    </row>
    <row r="1920" spans="1:13">
      <c r="A1920" s="1">
        <f>HYPERLINK("http://www.twitter.com/NathanBLawrence/status/984563796864831488", "984563796864831488")</f>
        <v/>
      </c>
      <c r="B1920" s="2" t="n">
        <v>43202.9499537037</v>
      </c>
      <c r="C1920" t="n">
        <v>5</v>
      </c>
      <c r="D1920" t="n">
        <v>4</v>
      </c>
      <c r="E1920" t="s">
        <v>1926</v>
      </c>
      <c r="F1920" t="s"/>
      <c r="G1920" t="s"/>
      <c r="H1920" t="s"/>
      <c r="I1920" t="s"/>
      <c r="J1920" t="n">
        <v>-0.5106000000000001</v>
      </c>
      <c r="K1920" t="n">
        <v>0.142</v>
      </c>
      <c r="L1920" t="n">
        <v>0.858</v>
      </c>
      <c r="M1920" t="n">
        <v>0</v>
      </c>
    </row>
    <row r="1921" spans="1:13">
      <c r="A1921" s="1">
        <f>HYPERLINK("http://www.twitter.com/NathanBLawrence/status/984555865524105217", "984555865524105217")</f>
        <v/>
      </c>
      <c r="B1921" s="2" t="n">
        <v>43202.92806712963</v>
      </c>
      <c r="C1921" t="n">
        <v>0</v>
      </c>
      <c r="D1921" t="n">
        <v>1</v>
      </c>
      <c r="E1921" t="s">
        <v>1927</v>
      </c>
      <c r="F1921" t="s"/>
      <c r="G1921" t="s"/>
      <c r="H1921" t="s"/>
      <c r="I1921" t="s"/>
      <c r="J1921" t="n">
        <v>-0.2732</v>
      </c>
      <c r="K1921" t="n">
        <v>0.08</v>
      </c>
      <c r="L1921" t="n">
        <v>0.92</v>
      </c>
      <c r="M1921" t="n">
        <v>0</v>
      </c>
    </row>
    <row r="1922" spans="1:13">
      <c r="A1922" s="1">
        <f>HYPERLINK("http://www.twitter.com/NathanBLawrence/status/984555789900804096", "984555789900804096")</f>
        <v/>
      </c>
      <c r="B1922" s="2" t="n">
        <v>43202.9278587963</v>
      </c>
      <c r="C1922" t="n">
        <v>1</v>
      </c>
      <c r="D1922" t="n">
        <v>1</v>
      </c>
      <c r="E1922" t="s">
        <v>1928</v>
      </c>
      <c r="F1922" t="s"/>
      <c r="G1922" t="s"/>
      <c r="H1922" t="s"/>
      <c r="I1922" t="s"/>
      <c r="J1922" t="n">
        <v>-0.2732</v>
      </c>
      <c r="K1922" t="n">
        <v>0.06</v>
      </c>
      <c r="L1922" t="n">
        <v>0.9399999999999999</v>
      </c>
      <c r="M1922" t="n">
        <v>0</v>
      </c>
    </row>
    <row r="1923" spans="1:13">
      <c r="A1923" s="1">
        <f>HYPERLINK("http://www.twitter.com/NathanBLawrence/status/984553898039042048", "984553898039042048")</f>
        <v/>
      </c>
      <c r="B1923" s="2" t="n">
        <v>43202.92263888889</v>
      </c>
      <c r="C1923" t="n">
        <v>0</v>
      </c>
      <c r="D1923" t="n">
        <v>23</v>
      </c>
      <c r="E1923" t="s">
        <v>1929</v>
      </c>
      <c r="F1923" t="s"/>
      <c r="G1923" t="s"/>
      <c r="H1923" t="s"/>
      <c r="I1923" t="s"/>
      <c r="J1923" t="n">
        <v>0</v>
      </c>
      <c r="K1923" t="n">
        <v>0.132</v>
      </c>
      <c r="L1923" t="n">
        <v>0.736</v>
      </c>
      <c r="M1923" t="n">
        <v>0.132</v>
      </c>
    </row>
    <row r="1924" spans="1:13">
      <c r="A1924" s="1">
        <f>HYPERLINK("http://www.twitter.com/NathanBLawrence/status/984553752689553416", "984553752689553416")</f>
        <v/>
      </c>
      <c r="B1924" s="2" t="n">
        <v>43202.92223379629</v>
      </c>
      <c r="C1924" t="n">
        <v>0</v>
      </c>
      <c r="D1924" t="n">
        <v>14</v>
      </c>
      <c r="E1924" t="s">
        <v>1930</v>
      </c>
      <c r="F1924" t="s"/>
      <c r="G1924" t="s"/>
      <c r="H1924" t="s"/>
      <c r="I1924" t="s"/>
      <c r="J1924" t="n">
        <v>0</v>
      </c>
      <c r="K1924" t="n">
        <v>0</v>
      </c>
      <c r="L1924" t="n">
        <v>1</v>
      </c>
      <c r="M1924" t="n">
        <v>0</v>
      </c>
    </row>
    <row r="1925" spans="1:13">
      <c r="A1925" s="1">
        <f>HYPERLINK("http://www.twitter.com/NathanBLawrence/status/984547564564475904", "984547564564475904")</f>
        <v/>
      </c>
      <c r="B1925" s="2" t="n">
        <v>43202.90516203704</v>
      </c>
      <c r="C1925" t="n">
        <v>1</v>
      </c>
      <c r="D1925" t="n">
        <v>0</v>
      </c>
      <c r="E1925" t="s">
        <v>1931</v>
      </c>
      <c r="F1925" t="s"/>
      <c r="G1925" t="s"/>
      <c r="H1925" t="s"/>
      <c r="I1925" t="s"/>
      <c r="J1925" t="n">
        <v>0.4019</v>
      </c>
      <c r="K1925" t="n">
        <v>0</v>
      </c>
      <c r="L1925" t="n">
        <v>0.769</v>
      </c>
      <c r="M1925" t="n">
        <v>0.231</v>
      </c>
    </row>
    <row r="1926" spans="1:13">
      <c r="A1926" s="1">
        <f>HYPERLINK("http://www.twitter.com/NathanBLawrence/status/984547031766175744", "984547031766175744")</f>
        <v/>
      </c>
      <c r="B1926" s="2" t="n">
        <v>43202.90369212963</v>
      </c>
      <c r="C1926" t="n">
        <v>0</v>
      </c>
      <c r="D1926" t="n">
        <v>518</v>
      </c>
      <c r="E1926" t="s">
        <v>1932</v>
      </c>
      <c r="F1926">
        <f>HYPERLINK("http://pbs.twimg.com/media/DanKGFIVQAAiYde.jpg", "http://pbs.twimg.com/media/DanKGFIVQAAiYde.jpg")</f>
        <v/>
      </c>
      <c r="G1926" t="s"/>
      <c r="H1926" t="s"/>
      <c r="I1926" t="s"/>
      <c r="J1926" t="n">
        <v>-0.4019</v>
      </c>
      <c r="K1926" t="n">
        <v>0.163</v>
      </c>
      <c r="L1926" t="n">
        <v>0.837</v>
      </c>
      <c r="M1926" t="n">
        <v>0</v>
      </c>
    </row>
    <row r="1927" spans="1:13">
      <c r="A1927" s="1">
        <f>HYPERLINK("http://www.twitter.com/NathanBLawrence/status/984546828745170950", "984546828745170950")</f>
        <v/>
      </c>
      <c r="B1927" s="2" t="n">
        <v>43202.903125</v>
      </c>
      <c r="C1927" t="n">
        <v>0</v>
      </c>
      <c r="D1927" t="n">
        <v>0</v>
      </c>
      <c r="E1927" t="s">
        <v>1933</v>
      </c>
      <c r="F1927" t="s"/>
      <c r="G1927" t="s"/>
      <c r="H1927" t="s"/>
      <c r="I1927" t="s"/>
      <c r="J1927" t="n">
        <v>0</v>
      </c>
      <c r="K1927" t="n">
        <v>0</v>
      </c>
      <c r="L1927" t="n">
        <v>1</v>
      </c>
      <c r="M1927" t="n">
        <v>0</v>
      </c>
    </row>
    <row r="1928" spans="1:13">
      <c r="A1928" s="1">
        <f>HYPERLINK("http://www.twitter.com/NathanBLawrence/status/984546561861603329", "984546561861603329")</f>
        <v/>
      </c>
      <c r="B1928" s="2" t="n">
        <v>43202.90238425926</v>
      </c>
      <c r="C1928" t="n">
        <v>2</v>
      </c>
      <c r="D1928" t="n">
        <v>0</v>
      </c>
      <c r="E1928" t="s">
        <v>1934</v>
      </c>
      <c r="F1928" t="s"/>
      <c r="G1928" t="s"/>
      <c r="H1928" t="s"/>
      <c r="I1928" t="s"/>
      <c r="J1928" t="n">
        <v>-0.3612</v>
      </c>
      <c r="K1928" t="n">
        <v>0.238</v>
      </c>
      <c r="L1928" t="n">
        <v>0.762</v>
      </c>
      <c r="M1928" t="n">
        <v>0</v>
      </c>
    </row>
    <row r="1929" spans="1:13">
      <c r="A1929" s="1">
        <f>HYPERLINK("http://www.twitter.com/NathanBLawrence/status/984530615570714624", "984530615570714624")</f>
        <v/>
      </c>
      <c r="B1929" s="2" t="n">
        <v>43202.85839120371</v>
      </c>
      <c r="C1929" t="n">
        <v>0</v>
      </c>
      <c r="D1929" t="n">
        <v>0</v>
      </c>
      <c r="E1929" t="s">
        <v>1935</v>
      </c>
      <c r="F1929" t="s"/>
      <c r="G1929" t="s"/>
      <c r="H1929" t="s"/>
      <c r="I1929" t="s"/>
      <c r="J1929" t="n">
        <v>-0.0772</v>
      </c>
      <c r="K1929" t="n">
        <v>0.115</v>
      </c>
      <c r="L1929" t="n">
        <v>0.885</v>
      </c>
      <c r="M1929" t="n">
        <v>0</v>
      </c>
    </row>
    <row r="1930" spans="1:13">
      <c r="A1930" s="1">
        <f>HYPERLINK("http://www.twitter.com/NathanBLawrence/status/984529823858032640", "984529823858032640")</f>
        <v/>
      </c>
      <c r="B1930" s="2" t="n">
        <v>43202.8562037037</v>
      </c>
      <c r="C1930" t="n">
        <v>0</v>
      </c>
      <c r="D1930" t="n">
        <v>0</v>
      </c>
      <c r="E1930" t="s">
        <v>1936</v>
      </c>
      <c r="F1930" t="s"/>
      <c r="G1930" t="s"/>
      <c r="H1930" t="s"/>
      <c r="I1930" t="s"/>
      <c r="J1930" t="n">
        <v>-0.5574</v>
      </c>
      <c r="K1930" t="n">
        <v>0.261</v>
      </c>
      <c r="L1930" t="n">
        <v>0.739</v>
      </c>
      <c r="M1930" t="n">
        <v>0</v>
      </c>
    </row>
    <row r="1931" spans="1:13">
      <c r="A1931" s="1">
        <f>HYPERLINK("http://www.twitter.com/NathanBLawrence/status/984529533616484355", "984529533616484355")</f>
        <v/>
      </c>
      <c r="B1931" s="2" t="n">
        <v>43202.8554050926</v>
      </c>
      <c r="C1931" t="n">
        <v>0</v>
      </c>
      <c r="D1931" t="n">
        <v>9</v>
      </c>
      <c r="E1931" t="s">
        <v>1937</v>
      </c>
      <c r="F1931">
        <f>HYPERLINK("http://pbs.twimg.com/media/Dam-bFlVwAAiywB.jpg", "http://pbs.twimg.com/media/Dam-bFlVwAAiywB.jpg")</f>
        <v/>
      </c>
      <c r="G1931" t="s"/>
      <c r="H1931" t="s"/>
      <c r="I1931" t="s"/>
      <c r="J1931" t="n">
        <v>-0.34</v>
      </c>
      <c r="K1931" t="n">
        <v>0.124</v>
      </c>
      <c r="L1931" t="n">
        <v>0.876</v>
      </c>
      <c r="M1931" t="n">
        <v>0</v>
      </c>
    </row>
    <row r="1932" spans="1:13">
      <c r="A1932" s="1">
        <f>HYPERLINK("http://www.twitter.com/NathanBLawrence/status/984524859014250497", "984524859014250497")</f>
        <v/>
      </c>
      <c r="B1932" s="2" t="n">
        <v>43202.8425</v>
      </c>
      <c r="C1932" t="n">
        <v>0</v>
      </c>
      <c r="D1932" t="n">
        <v>2</v>
      </c>
      <c r="E1932" t="s">
        <v>1938</v>
      </c>
      <c r="F1932" t="s"/>
      <c r="G1932" t="s"/>
      <c r="H1932" t="s"/>
      <c r="I1932" t="s"/>
      <c r="J1932" t="n">
        <v>-0.8658</v>
      </c>
      <c r="K1932" t="n">
        <v>0.442</v>
      </c>
      <c r="L1932" t="n">
        <v>0.455</v>
      </c>
      <c r="M1932" t="n">
        <v>0.103</v>
      </c>
    </row>
    <row r="1933" spans="1:13">
      <c r="A1933" s="1">
        <f>HYPERLINK("http://www.twitter.com/NathanBLawrence/status/984523256958017536", "984523256958017536")</f>
        <v/>
      </c>
      <c r="B1933" s="2" t="n">
        <v>43202.8380787037</v>
      </c>
      <c r="C1933" t="n">
        <v>0</v>
      </c>
      <c r="D1933" t="n">
        <v>3</v>
      </c>
      <c r="E1933" t="s">
        <v>1939</v>
      </c>
      <c r="F1933" t="s"/>
      <c r="G1933" t="s"/>
      <c r="H1933" t="s"/>
      <c r="I1933" t="s"/>
      <c r="J1933" t="n">
        <v>-0.8834</v>
      </c>
      <c r="K1933" t="n">
        <v>0.414</v>
      </c>
      <c r="L1933" t="n">
        <v>0.586</v>
      </c>
      <c r="M1933" t="n">
        <v>0</v>
      </c>
    </row>
    <row r="1934" spans="1:13">
      <c r="A1934" s="1">
        <f>HYPERLINK("http://www.twitter.com/NathanBLawrence/status/984519419215806464", "984519419215806464")</f>
        <v/>
      </c>
      <c r="B1934" s="2" t="n">
        <v>43202.82748842592</v>
      </c>
      <c r="C1934" t="n">
        <v>0</v>
      </c>
      <c r="D1934" t="n">
        <v>0</v>
      </c>
      <c r="E1934" t="s">
        <v>1940</v>
      </c>
      <c r="F1934" t="s"/>
      <c r="G1934" t="s"/>
      <c r="H1934" t="s"/>
      <c r="I1934" t="s"/>
      <c r="J1934" t="n">
        <v>0.1779</v>
      </c>
      <c r="K1934" t="n">
        <v>0.161</v>
      </c>
      <c r="L1934" t="n">
        <v>0.6909999999999999</v>
      </c>
      <c r="M1934" t="n">
        <v>0.147</v>
      </c>
    </row>
    <row r="1935" spans="1:13">
      <c r="A1935" s="1">
        <f>HYPERLINK("http://www.twitter.com/NathanBLawrence/status/984514451041697792", "984514451041697792")</f>
        <v/>
      </c>
      <c r="B1935" s="2" t="n">
        <v>43202.81378472222</v>
      </c>
      <c r="C1935" t="n">
        <v>0</v>
      </c>
      <c r="D1935" t="n">
        <v>2</v>
      </c>
      <c r="E1935" t="s">
        <v>1941</v>
      </c>
      <c r="F1935" t="s"/>
      <c r="G1935" t="s"/>
      <c r="H1935" t="s"/>
      <c r="I1935" t="s"/>
      <c r="J1935" t="n">
        <v>0</v>
      </c>
      <c r="K1935" t="n">
        <v>0</v>
      </c>
      <c r="L1935" t="n">
        <v>1</v>
      </c>
      <c r="M1935" t="n">
        <v>0</v>
      </c>
    </row>
    <row r="1936" spans="1:13">
      <c r="A1936" s="1">
        <f>HYPERLINK("http://www.twitter.com/NathanBLawrence/status/984514435808047104", "984514435808047104")</f>
        <v/>
      </c>
      <c r="B1936" s="2" t="n">
        <v>43202.81373842592</v>
      </c>
      <c r="C1936" t="n">
        <v>4</v>
      </c>
      <c r="D1936" t="n">
        <v>2</v>
      </c>
      <c r="E1936" t="s">
        <v>1942</v>
      </c>
      <c r="F1936" t="s"/>
      <c r="G1936" t="s"/>
      <c r="H1936" t="s"/>
      <c r="I1936" t="s"/>
      <c r="J1936" t="n">
        <v>0</v>
      </c>
      <c r="K1936" t="n">
        <v>0</v>
      </c>
      <c r="L1936" t="n">
        <v>1</v>
      </c>
      <c r="M1936" t="n">
        <v>0</v>
      </c>
    </row>
    <row r="1937" spans="1:13">
      <c r="A1937" s="1">
        <f>HYPERLINK("http://www.twitter.com/NathanBLawrence/status/984511680255315975", "984511680255315975")</f>
        <v/>
      </c>
      <c r="B1937" s="2" t="n">
        <v>43202.80613425926</v>
      </c>
      <c r="C1937" t="n">
        <v>0</v>
      </c>
      <c r="D1937" t="n">
        <v>2</v>
      </c>
      <c r="E1937" t="s">
        <v>1943</v>
      </c>
      <c r="F1937" t="s"/>
      <c r="G1937" t="s"/>
      <c r="H1937" t="s"/>
      <c r="I1937" t="s"/>
      <c r="J1937" t="n">
        <v>-0.8078</v>
      </c>
      <c r="K1937" t="n">
        <v>0.327</v>
      </c>
      <c r="L1937" t="n">
        <v>0.597</v>
      </c>
      <c r="M1937" t="n">
        <v>0.076</v>
      </c>
    </row>
    <row r="1938" spans="1:13">
      <c r="A1938" s="1">
        <f>HYPERLINK("http://www.twitter.com/NathanBLawrence/status/984509774862598144", "984509774862598144")</f>
        <v/>
      </c>
      <c r="B1938" s="2" t="n">
        <v>43202.80087962963</v>
      </c>
      <c r="C1938" t="n">
        <v>0</v>
      </c>
      <c r="D1938" t="n">
        <v>3</v>
      </c>
      <c r="E1938" t="s">
        <v>1944</v>
      </c>
      <c r="F1938" t="s"/>
      <c r="G1938" t="s"/>
      <c r="H1938" t="s"/>
      <c r="I1938" t="s"/>
      <c r="J1938" t="n">
        <v>-0.5067</v>
      </c>
      <c r="K1938" t="n">
        <v>0.125</v>
      </c>
      <c r="L1938" t="n">
        <v>0.875</v>
      </c>
      <c r="M1938" t="n">
        <v>0</v>
      </c>
    </row>
    <row r="1939" spans="1:13">
      <c r="A1939" s="1">
        <f>HYPERLINK("http://www.twitter.com/NathanBLawrence/status/984509697825918981", "984509697825918981")</f>
        <v/>
      </c>
      <c r="B1939" s="2" t="n">
        <v>43202.80065972222</v>
      </c>
      <c r="C1939" t="n">
        <v>2</v>
      </c>
      <c r="D1939" t="n">
        <v>2</v>
      </c>
      <c r="E1939" t="s">
        <v>1945</v>
      </c>
      <c r="F1939" t="s"/>
      <c r="G1939" t="s"/>
      <c r="H1939" t="s"/>
      <c r="I1939" t="s"/>
      <c r="J1939" t="n">
        <v>-0.8078</v>
      </c>
      <c r="K1939" t="n">
        <v>0.355</v>
      </c>
      <c r="L1939" t="n">
        <v>0.5629999999999999</v>
      </c>
      <c r="M1939" t="n">
        <v>0.082</v>
      </c>
    </row>
    <row r="1940" spans="1:13">
      <c r="A1940" s="1">
        <f>HYPERLINK("http://www.twitter.com/NathanBLawrence/status/984504125810462720", "984504125810462720")</f>
        <v/>
      </c>
      <c r="B1940" s="2" t="n">
        <v>43202.78528935185</v>
      </c>
      <c r="C1940" t="n">
        <v>0</v>
      </c>
      <c r="D1940" t="n">
        <v>38</v>
      </c>
      <c r="E1940" t="s">
        <v>1946</v>
      </c>
      <c r="F1940" t="s"/>
      <c r="G1940" t="s"/>
      <c r="H1940" t="s"/>
      <c r="I1940" t="s"/>
      <c r="J1940" t="n">
        <v>-0.34</v>
      </c>
      <c r="K1940" t="n">
        <v>0.112</v>
      </c>
      <c r="L1940" t="n">
        <v>0.888</v>
      </c>
      <c r="M1940" t="n">
        <v>0</v>
      </c>
    </row>
    <row r="1941" spans="1:13">
      <c r="A1941" s="1">
        <f>HYPERLINK("http://www.twitter.com/NathanBLawrence/status/984497175861387266", "984497175861387266")</f>
        <v/>
      </c>
      <c r="B1941" s="2" t="n">
        <v>43202.76611111111</v>
      </c>
      <c r="C1941" t="n">
        <v>0</v>
      </c>
      <c r="D1941" t="n">
        <v>5</v>
      </c>
      <c r="E1941" t="s">
        <v>1947</v>
      </c>
      <c r="F1941" t="s"/>
      <c r="G1941" t="s"/>
      <c r="H1941" t="s"/>
      <c r="I1941" t="s"/>
      <c r="J1941" t="n">
        <v>0</v>
      </c>
      <c r="K1941" t="n">
        <v>0</v>
      </c>
      <c r="L1941" t="n">
        <v>1</v>
      </c>
      <c r="M1941" t="n">
        <v>0</v>
      </c>
    </row>
    <row r="1942" spans="1:13">
      <c r="A1942" s="1">
        <f>HYPERLINK("http://www.twitter.com/NathanBLawrence/status/984495863539142657", "984495863539142657")</f>
        <v/>
      </c>
      <c r="B1942" s="2" t="n">
        <v>43202.76248842593</v>
      </c>
      <c r="C1942" t="n">
        <v>0</v>
      </c>
      <c r="D1942" t="n">
        <v>0</v>
      </c>
      <c r="E1942" t="s">
        <v>1948</v>
      </c>
      <c r="F1942" t="s"/>
      <c r="G1942" t="s"/>
      <c r="H1942" t="s"/>
      <c r="I1942" t="s"/>
      <c r="J1942" t="n">
        <v>-0.2714</v>
      </c>
      <c r="K1942" t="n">
        <v>0.343</v>
      </c>
      <c r="L1942" t="n">
        <v>0.657</v>
      </c>
      <c r="M1942" t="n">
        <v>0</v>
      </c>
    </row>
    <row r="1943" spans="1:13">
      <c r="A1943" s="1">
        <f>HYPERLINK("http://www.twitter.com/NathanBLawrence/status/984488090306859010", "984488090306859010")</f>
        <v/>
      </c>
      <c r="B1943" s="2" t="n">
        <v>43202.74104166667</v>
      </c>
      <c r="C1943" t="n">
        <v>0</v>
      </c>
      <c r="D1943" t="n">
        <v>23</v>
      </c>
      <c r="E1943" t="s">
        <v>1949</v>
      </c>
      <c r="F1943">
        <f>HYPERLINK("http://pbs.twimg.com/media/DamaWz0VAAAWVLo.jpg", "http://pbs.twimg.com/media/DamaWz0VAAAWVLo.jpg")</f>
        <v/>
      </c>
      <c r="G1943" t="s"/>
      <c r="H1943" t="s"/>
      <c r="I1943" t="s"/>
      <c r="J1943" t="n">
        <v>0</v>
      </c>
      <c r="K1943" t="n">
        <v>0</v>
      </c>
      <c r="L1943" t="n">
        <v>1</v>
      </c>
      <c r="M1943" t="n">
        <v>0</v>
      </c>
    </row>
    <row r="1944" spans="1:13">
      <c r="A1944" s="1">
        <f>HYPERLINK("http://www.twitter.com/NathanBLawrence/status/984483388336889856", "984483388336889856")</f>
        <v/>
      </c>
      <c r="B1944" s="2" t="n">
        <v>43202.72806712963</v>
      </c>
      <c r="C1944" t="n">
        <v>0</v>
      </c>
      <c r="D1944" t="n">
        <v>5</v>
      </c>
      <c r="E1944" t="s">
        <v>1950</v>
      </c>
      <c r="F1944" t="s"/>
      <c r="G1944" t="s"/>
      <c r="H1944" t="s"/>
      <c r="I1944" t="s"/>
      <c r="J1944" t="n">
        <v>0.0516</v>
      </c>
      <c r="K1944" t="n">
        <v>0.06900000000000001</v>
      </c>
      <c r="L1944" t="n">
        <v>0.851</v>
      </c>
      <c r="M1944" t="n">
        <v>0.08</v>
      </c>
    </row>
    <row r="1945" spans="1:13">
      <c r="A1945" s="1">
        <f>HYPERLINK("http://www.twitter.com/NathanBLawrence/status/984482922978795521", "984482922978795521")</f>
        <v/>
      </c>
      <c r="B1945" s="2" t="n">
        <v>43202.72678240741</v>
      </c>
      <c r="C1945" t="n">
        <v>0</v>
      </c>
      <c r="D1945" t="n">
        <v>8</v>
      </c>
      <c r="E1945" t="s">
        <v>1951</v>
      </c>
      <c r="F1945">
        <f>HYPERLINK("http://pbs.twimg.com/media/DamEhXWU8AEO9at.jpg", "http://pbs.twimg.com/media/DamEhXWU8AEO9at.jpg")</f>
        <v/>
      </c>
      <c r="G1945" t="s"/>
      <c r="H1945" t="s"/>
      <c r="I1945" t="s"/>
      <c r="J1945" t="n">
        <v>-0.5994</v>
      </c>
      <c r="K1945" t="n">
        <v>0.302</v>
      </c>
      <c r="L1945" t="n">
        <v>0.588</v>
      </c>
      <c r="M1945" t="n">
        <v>0.11</v>
      </c>
    </row>
    <row r="1946" spans="1:13">
      <c r="A1946" s="1">
        <f>HYPERLINK("http://www.twitter.com/NathanBLawrence/status/984482868104781824", "984482868104781824")</f>
        <v/>
      </c>
      <c r="B1946" s="2" t="n">
        <v>43202.72663194445</v>
      </c>
      <c r="C1946" t="n">
        <v>0</v>
      </c>
      <c r="D1946" t="n">
        <v>12</v>
      </c>
      <c r="E1946" t="s">
        <v>1952</v>
      </c>
      <c r="F1946">
        <f>HYPERLINK("http://pbs.twimg.com/media/DamT_h6VQAAz-Kj.jpg", "http://pbs.twimg.com/media/DamT_h6VQAAz-Kj.jpg")</f>
        <v/>
      </c>
      <c r="G1946" t="s"/>
      <c r="H1946" t="s"/>
      <c r="I1946" t="s"/>
      <c r="J1946" t="n">
        <v>-0.296</v>
      </c>
      <c r="K1946" t="n">
        <v>0.099</v>
      </c>
      <c r="L1946" t="n">
        <v>0.901</v>
      </c>
      <c r="M1946" t="n">
        <v>0</v>
      </c>
    </row>
    <row r="1947" spans="1:13">
      <c r="A1947" s="1">
        <f>HYPERLINK("http://www.twitter.com/NathanBLawrence/status/984480735045341184", "984480735045341184")</f>
        <v/>
      </c>
      <c r="B1947" s="2" t="n">
        <v>43202.72074074074</v>
      </c>
      <c r="C1947" t="n">
        <v>0</v>
      </c>
      <c r="D1947" t="n">
        <v>1</v>
      </c>
      <c r="E1947" t="s">
        <v>1953</v>
      </c>
      <c r="F1947" t="s"/>
      <c r="G1947" t="s"/>
      <c r="H1947" t="s"/>
      <c r="I1947" t="s"/>
      <c r="J1947" t="n">
        <v>0.4779</v>
      </c>
      <c r="K1947" t="n">
        <v>0</v>
      </c>
      <c r="L1947" t="n">
        <v>0.853</v>
      </c>
      <c r="M1947" t="n">
        <v>0.147</v>
      </c>
    </row>
    <row r="1948" spans="1:13">
      <c r="A1948" s="1">
        <f>HYPERLINK("http://www.twitter.com/NathanBLawrence/status/984480695547461632", "984480695547461632")</f>
        <v/>
      </c>
      <c r="B1948" s="2" t="n">
        <v>43202.72063657407</v>
      </c>
      <c r="C1948" t="n">
        <v>2</v>
      </c>
      <c r="D1948" t="n">
        <v>1</v>
      </c>
      <c r="E1948" t="s">
        <v>1954</v>
      </c>
      <c r="F1948" t="s"/>
      <c r="G1948" t="s"/>
      <c r="H1948" t="s"/>
      <c r="I1948" t="s"/>
      <c r="J1948" t="n">
        <v>0.4779</v>
      </c>
      <c r="K1948" t="n">
        <v>0</v>
      </c>
      <c r="L1948" t="n">
        <v>0.837</v>
      </c>
      <c r="M1948" t="n">
        <v>0.163</v>
      </c>
    </row>
    <row r="1949" spans="1:13">
      <c r="A1949" s="1">
        <f>HYPERLINK("http://www.twitter.com/NathanBLawrence/status/984474639681359872", "984474639681359872")</f>
        <v/>
      </c>
      <c r="B1949" s="2" t="n">
        <v>43202.70392361111</v>
      </c>
      <c r="C1949" t="n">
        <v>0</v>
      </c>
      <c r="D1949" t="n">
        <v>1</v>
      </c>
      <c r="E1949" t="s">
        <v>1955</v>
      </c>
      <c r="F1949" t="s"/>
      <c r="G1949" t="s"/>
      <c r="H1949" t="s"/>
      <c r="I1949" t="s"/>
      <c r="J1949" t="n">
        <v>-0.5574</v>
      </c>
      <c r="K1949" t="n">
        <v>0.247</v>
      </c>
      <c r="L1949" t="n">
        <v>0.753</v>
      </c>
      <c r="M1949" t="n">
        <v>0</v>
      </c>
    </row>
    <row r="1950" spans="1:13">
      <c r="A1950" s="1">
        <f>HYPERLINK("http://www.twitter.com/NathanBLawrence/status/984474569741398016", "984474569741398016")</f>
        <v/>
      </c>
      <c r="B1950" s="2" t="n">
        <v>43202.70372685185</v>
      </c>
      <c r="C1950" t="n">
        <v>1</v>
      </c>
      <c r="D1950" t="n">
        <v>1</v>
      </c>
      <c r="E1950" t="s">
        <v>1956</v>
      </c>
      <c r="F1950" t="s"/>
      <c r="G1950" t="s"/>
      <c r="H1950" t="s"/>
      <c r="I1950" t="s"/>
      <c r="J1950" t="n">
        <v>-0.5574</v>
      </c>
      <c r="K1950" t="n">
        <v>0.277</v>
      </c>
      <c r="L1950" t="n">
        <v>0.723</v>
      </c>
      <c r="M1950" t="n">
        <v>0</v>
      </c>
    </row>
    <row r="1951" spans="1:13">
      <c r="A1951" s="1">
        <f>HYPERLINK("http://www.twitter.com/NathanBLawrence/status/984473861323415552", "984473861323415552")</f>
        <v/>
      </c>
      <c r="B1951" s="2" t="n">
        <v>43202.70177083334</v>
      </c>
      <c r="C1951" t="n">
        <v>1</v>
      </c>
      <c r="D1951" t="n">
        <v>0</v>
      </c>
      <c r="E1951" t="s">
        <v>1957</v>
      </c>
      <c r="F1951" t="s"/>
      <c r="G1951" t="s"/>
      <c r="H1951" t="s"/>
      <c r="I1951" t="s"/>
      <c r="J1951" t="n">
        <v>0</v>
      </c>
      <c r="K1951" t="n">
        <v>0</v>
      </c>
      <c r="L1951" t="n">
        <v>1</v>
      </c>
      <c r="M1951" t="n">
        <v>0</v>
      </c>
    </row>
    <row r="1952" spans="1:13">
      <c r="A1952" s="1">
        <f>HYPERLINK("http://www.twitter.com/NathanBLawrence/status/984473743773888512", "984473743773888512")</f>
        <v/>
      </c>
      <c r="B1952" s="2" t="n">
        <v>43202.70144675926</v>
      </c>
      <c r="C1952" t="n">
        <v>0</v>
      </c>
      <c r="D1952" t="n">
        <v>1</v>
      </c>
      <c r="E1952" t="s">
        <v>1958</v>
      </c>
      <c r="F1952" t="s"/>
      <c r="G1952" t="s"/>
      <c r="H1952" t="s"/>
      <c r="I1952" t="s"/>
      <c r="J1952" t="n">
        <v>-0.1027</v>
      </c>
      <c r="K1952" t="n">
        <v>0.057</v>
      </c>
      <c r="L1952" t="n">
        <v>0.9429999999999999</v>
      </c>
      <c r="M1952" t="n">
        <v>0</v>
      </c>
    </row>
    <row r="1953" spans="1:13">
      <c r="A1953" s="1">
        <f>HYPERLINK("http://www.twitter.com/NathanBLawrence/status/984473627495161856", "984473627495161856")</f>
        <v/>
      </c>
      <c r="B1953" s="2" t="n">
        <v>43202.70113425926</v>
      </c>
      <c r="C1953" t="n">
        <v>1</v>
      </c>
      <c r="D1953" t="n">
        <v>1</v>
      </c>
      <c r="E1953" t="s">
        <v>1959</v>
      </c>
      <c r="F1953" t="s"/>
      <c r="G1953" t="s"/>
      <c r="H1953" t="s"/>
      <c r="I1953" t="s"/>
      <c r="J1953" t="n">
        <v>-0.1027</v>
      </c>
      <c r="K1953" t="n">
        <v>0.055</v>
      </c>
      <c r="L1953" t="n">
        <v>0.945</v>
      </c>
      <c r="M1953" t="n">
        <v>0</v>
      </c>
    </row>
    <row r="1954" spans="1:13">
      <c r="A1954" s="1">
        <f>HYPERLINK("http://www.twitter.com/NathanBLawrence/status/984471286083710976", "984471286083710976")</f>
        <v/>
      </c>
      <c r="B1954" s="2" t="n">
        <v>43202.69466435185</v>
      </c>
      <c r="C1954" t="n">
        <v>0</v>
      </c>
      <c r="D1954" t="n">
        <v>0</v>
      </c>
      <c r="E1954" t="s">
        <v>1960</v>
      </c>
      <c r="F1954" t="s"/>
      <c r="G1954" t="s"/>
      <c r="H1954" t="s"/>
      <c r="I1954" t="s"/>
      <c r="J1954" t="n">
        <v>0</v>
      </c>
      <c r="K1954" t="n">
        <v>0</v>
      </c>
      <c r="L1954" t="n">
        <v>1</v>
      </c>
      <c r="M1954" t="n">
        <v>0</v>
      </c>
    </row>
    <row r="1955" spans="1:13">
      <c r="A1955" s="1">
        <f>HYPERLINK("http://www.twitter.com/NathanBLawrence/status/984461908903374848", "984461908903374848")</f>
        <v/>
      </c>
      <c r="B1955" s="2" t="n">
        <v>43202.6687962963</v>
      </c>
      <c r="C1955" t="n">
        <v>3</v>
      </c>
      <c r="D1955" t="n">
        <v>0</v>
      </c>
      <c r="E1955" t="s">
        <v>1961</v>
      </c>
      <c r="F1955" t="s"/>
      <c r="G1955" t="s"/>
      <c r="H1955" t="s"/>
      <c r="I1955" t="s"/>
      <c r="J1955" t="n">
        <v>-0.5562</v>
      </c>
      <c r="K1955" t="n">
        <v>0.31</v>
      </c>
      <c r="L1955" t="n">
        <v>0.6899999999999999</v>
      </c>
      <c r="M1955" t="n">
        <v>0</v>
      </c>
    </row>
    <row r="1956" spans="1:13">
      <c r="A1956" s="1">
        <f>HYPERLINK("http://www.twitter.com/NathanBLawrence/status/984461822584590336", "984461822584590336")</f>
        <v/>
      </c>
      <c r="B1956" s="2" t="n">
        <v>43202.66855324074</v>
      </c>
      <c r="C1956" t="n">
        <v>0</v>
      </c>
      <c r="D1956" t="n">
        <v>7</v>
      </c>
      <c r="E1956" t="s">
        <v>1962</v>
      </c>
      <c r="F1956" t="s"/>
      <c r="G1956" t="s"/>
      <c r="H1956" t="s"/>
      <c r="I1956" t="s"/>
      <c r="J1956" t="n">
        <v>-0.5859</v>
      </c>
      <c r="K1956" t="n">
        <v>0.255</v>
      </c>
      <c r="L1956" t="n">
        <v>0.673</v>
      </c>
      <c r="M1956" t="n">
        <v>0.07199999999999999</v>
      </c>
    </row>
    <row r="1957" spans="1:13">
      <c r="A1957" s="1">
        <f>HYPERLINK("http://www.twitter.com/NathanBLawrence/status/984458307363536897", "984458307363536897")</f>
        <v/>
      </c>
      <c r="B1957" s="2" t="n">
        <v>43202.65885416666</v>
      </c>
      <c r="C1957" t="n">
        <v>0</v>
      </c>
      <c r="D1957" t="n">
        <v>0</v>
      </c>
      <c r="E1957" t="s">
        <v>1963</v>
      </c>
      <c r="F1957" t="s"/>
      <c r="G1957" t="s"/>
      <c r="H1957" t="s"/>
      <c r="I1957" t="s"/>
      <c r="J1957" t="n">
        <v>0.1275</v>
      </c>
      <c r="K1957" t="n">
        <v>0.103</v>
      </c>
      <c r="L1957" t="n">
        <v>0.782</v>
      </c>
      <c r="M1957" t="n">
        <v>0.115</v>
      </c>
    </row>
    <row r="1958" spans="1:13">
      <c r="A1958" s="1">
        <f>HYPERLINK("http://www.twitter.com/NathanBLawrence/status/984457814524530688", "984457814524530688")</f>
        <v/>
      </c>
      <c r="B1958" s="2" t="n">
        <v>43202.65748842592</v>
      </c>
      <c r="C1958" t="n">
        <v>0</v>
      </c>
      <c r="D1958" t="n">
        <v>1</v>
      </c>
      <c r="E1958" t="s">
        <v>1964</v>
      </c>
      <c r="F1958" t="s"/>
      <c r="G1958" t="s"/>
      <c r="H1958" t="s"/>
      <c r="I1958" t="s"/>
      <c r="J1958" t="n">
        <v>0</v>
      </c>
      <c r="K1958" t="n">
        <v>0</v>
      </c>
      <c r="L1958" t="n">
        <v>1</v>
      </c>
      <c r="M1958" t="n">
        <v>0</v>
      </c>
    </row>
    <row r="1959" spans="1:13">
      <c r="A1959" s="1">
        <f>HYPERLINK("http://www.twitter.com/NathanBLawrence/status/984457785256611840", "984457785256611840")</f>
        <v/>
      </c>
      <c r="B1959" s="2" t="n">
        <v>43202.65741898148</v>
      </c>
      <c r="C1959" t="n">
        <v>0</v>
      </c>
      <c r="D1959" t="n">
        <v>1</v>
      </c>
      <c r="E1959" t="s">
        <v>1965</v>
      </c>
      <c r="F1959" t="s"/>
      <c r="G1959" t="s"/>
      <c r="H1959" t="s"/>
      <c r="I1959" t="s"/>
      <c r="J1959" t="n">
        <v>0</v>
      </c>
      <c r="K1959" t="n">
        <v>0</v>
      </c>
      <c r="L1959" t="n">
        <v>1</v>
      </c>
      <c r="M1959" t="n">
        <v>0</v>
      </c>
    </row>
    <row r="1960" spans="1:13">
      <c r="A1960" s="1">
        <f>HYPERLINK("http://www.twitter.com/NathanBLawrence/status/984442407616942081", "984442407616942081")</f>
        <v/>
      </c>
      <c r="B1960" s="2" t="n">
        <v>43202.61497685185</v>
      </c>
      <c r="C1960" t="n">
        <v>0</v>
      </c>
      <c r="D1960" t="n">
        <v>1</v>
      </c>
      <c r="E1960" t="s">
        <v>1966</v>
      </c>
      <c r="F1960" t="s"/>
      <c r="G1960" t="s"/>
      <c r="H1960" t="s"/>
      <c r="I1960" t="s"/>
      <c r="J1960" t="n">
        <v>-0.3637</v>
      </c>
      <c r="K1960" t="n">
        <v>0.14</v>
      </c>
      <c r="L1960" t="n">
        <v>0.782</v>
      </c>
      <c r="M1960" t="n">
        <v>0.078</v>
      </c>
    </row>
    <row r="1961" spans="1:13">
      <c r="A1961" s="1">
        <f>HYPERLINK("http://www.twitter.com/NathanBLawrence/status/984442392190291968", "984442392190291968")</f>
        <v/>
      </c>
      <c r="B1961" s="2" t="n">
        <v>43202.61494212963</v>
      </c>
      <c r="C1961" t="n">
        <v>2</v>
      </c>
      <c r="D1961" t="n">
        <v>1</v>
      </c>
      <c r="E1961" t="s">
        <v>1967</v>
      </c>
      <c r="F1961" t="s"/>
      <c r="G1961" t="s"/>
      <c r="H1961" t="s"/>
      <c r="I1961" t="s"/>
      <c r="J1961" t="n">
        <v>-0.2528</v>
      </c>
      <c r="K1961" t="n">
        <v>0.09</v>
      </c>
      <c r="L1961" t="n">
        <v>0.82</v>
      </c>
      <c r="M1961" t="n">
        <v>0.09</v>
      </c>
    </row>
    <row r="1962" spans="1:13">
      <c r="A1962" s="1">
        <f>HYPERLINK("http://www.twitter.com/NathanBLawrence/status/984441477886566401", "984441477886566401")</f>
        <v/>
      </c>
      <c r="B1962" s="2" t="n">
        <v>43202.61241898148</v>
      </c>
      <c r="C1962" t="n">
        <v>0</v>
      </c>
      <c r="D1962" t="n">
        <v>3</v>
      </c>
      <c r="E1962" t="s">
        <v>1968</v>
      </c>
      <c r="F1962">
        <f>HYPERLINK("http://pbs.twimg.com/media/DalvpiCWAAEkdID.jpg", "http://pbs.twimg.com/media/DalvpiCWAAEkdID.jpg")</f>
        <v/>
      </c>
      <c r="G1962">
        <f>HYPERLINK("http://pbs.twimg.com/media/DalvqnBWAAA2zni.jpg", "http://pbs.twimg.com/media/DalvqnBWAAA2zni.jpg")</f>
        <v/>
      </c>
      <c r="H1962">
        <f>HYPERLINK("http://pbs.twimg.com/media/DalvrgYXUAEqLxt.jpg", "http://pbs.twimg.com/media/DalvrgYXUAEqLxt.jpg")</f>
        <v/>
      </c>
      <c r="I1962" t="s"/>
      <c r="J1962" t="n">
        <v>-0.5514</v>
      </c>
      <c r="K1962" t="n">
        <v>0.182</v>
      </c>
      <c r="L1962" t="n">
        <v>0.8179999999999999</v>
      </c>
      <c r="M1962" t="n">
        <v>0</v>
      </c>
    </row>
    <row r="1963" spans="1:13">
      <c r="A1963" s="1">
        <f>HYPERLINK("http://www.twitter.com/NathanBLawrence/status/984441359758184449", "984441359758184449")</f>
        <v/>
      </c>
      <c r="B1963" s="2" t="n">
        <v>43202.61208333333</v>
      </c>
      <c r="C1963" t="n">
        <v>4</v>
      </c>
      <c r="D1963" t="n">
        <v>3</v>
      </c>
      <c r="E1963" t="s">
        <v>1969</v>
      </c>
      <c r="F1963">
        <f>HYPERLINK("http://pbs.twimg.com/media/DalvpiCWAAEkdID.jpg", "http://pbs.twimg.com/media/DalvpiCWAAEkdID.jpg")</f>
        <v/>
      </c>
      <c r="G1963">
        <f>HYPERLINK("http://pbs.twimg.com/media/DalvqnBWAAA2zni.jpg", "http://pbs.twimg.com/media/DalvqnBWAAA2zni.jpg")</f>
        <v/>
      </c>
      <c r="H1963">
        <f>HYPERLINK("http://pbs.twimg.com/media/DalvrgYXUAEqLxt.jpg", "http://pbs.twimg.com/media/DalvrgYXUAEqLxt.jpg")</f>
        <v/>
      </c>
      <c r="I1963" t="s"/>
      <c r="J1963" t="n">
        <v>-0.4871</v>
      </c>
      <c r="K1963" t="n">
        <v>0.143</v>
      </c>
      <c r="L1963" t="n">
        <v>0.76</v>
      </c>
      <c r="M1963" t="n">
        <v>0.097</v>
      </c>
    </row>
    <row r="1964" spans="1:13">
      <c r="A1964" s="1">
        <f>HYPERLINK("http://www.twitter.com/NathanBLawrence/status/984437112618541058", "984437112618541058")</f>
        <v/>
      </c>
      <c r="B1964" s="2" t="n">
        <v>43202.60037037037</v>
      </c>
      <c r="C1964" t="n">
        <v>0</v>
      </c>
      <c r="D1964" t="n">
        <v>1</v>
      </c>
      <c r="E1964" t="s">
        <v>1970</v>
      </c>
      <c r="F1964" t="s"/>
      <c r="G1964" t="s"/>
      <c r="H1964" t="s"/>
      <c r="I1964" t="s"/>
      <c r="J1964" t="n">
        <v>-0.1935</v>
      </c>
      <c r="K1964" t="n">
        <v>0.123</v>
      </c>
      <c r="L1964" t="n">
        <v>0.788</v>
      </c>
      <c r="M1964" t="n">
        <v>0.089</v>
      </c>
    </row>
    <row r="1965" spans="1:13">
      <c r="A1965" s="1">
        <f>HYPERLINK("http://www.twitter.com/NathanBLawrence/status/984437082365022208", "984437082365022208")</f>
        <v/>
      </c>
      <c r="B1965" s="2" t="n">
        <v>43202.60028935185</v>
      </c>
      <c r="C1965" t="n">
        <v>0</v>
      </c>
      <c r="D1965" t="n">
        <v>1</v>
      </c>
      <c r="E1965" t="s">
        <v>1971</v>
      </c>
      <c r="F1965" t="s"/>
      <c r="G1965" t="s"/>
      <c r="H1965" t="s"/>
      <c r="I1965" t="s"/>
      <c r="J1965" t="n">
        <v>0.3408</v>
      </c>
      <c r="K1965" t="n">
        <v>0.065</v>
      </c>
      <c r="L1965" t="n">
        <v>0.8</v>
      </c>
      <c r="M1965" t="n">
        <v>0.135</v>
      </c>
    </row>
    <row r="1966" spans="1:13">
      <c r="A1966" s="1">
        <f>HYPERLINK("http://www.twitter.com/NathanBLawrence/status/984423010248650752", "984423010248650752")</f>
        <v/>
      </c>
      <c r="B1966" s="2" t="n">
        <v>43202.56144675926</v>
      </c>
      <c r="C1966" t="n">
        <v>0</v>
      </c>
      <c r="D1966" t="n">
        <v>0</v>
      </c>
      <c r="E1966" t="s">
        <v>1972</v>
      </c>
      <c r="F1966" t="s"/>
      <c r="G1966" t="s"/>
      <c r="H1966" t="s"/>
      <c r="I1966" t="s"/>
      <c r="J1966" t="n">
        <v>-0.669</v>
      </c>
      <c r="K1966" t="n">
        <v>0.193</v>
      </c>
      <c r="L1966" t="n">
        <v>0.8070000000000001</v>
      </c>
      <c r="M1966" t="n">
        <v>0</v>
      </c>
    </row>
    <row r="1967" spans="1:13">
      <c r="A1967" s="1">
        <f>HYPERLINK("http://www.twitter.com/NathanBLawrence/status/984422358579630081", "984422358579630081")</f>
        <v/>
      </c>
      <c r="B1967" s="2" t="n">
        <v>43202.55965277777</v>
      </c>
      <c r="C1967" t="n">
        <v>0</v>
      </c>
      <c r="D1967" t="n">
        <v>1</v>
      </c>
      <c r="E1967" t="s">
        <v>1973</v>
      </c>
      <c r="F1967" t="s"/>
      <c r="G1967" t="s"/>
      <c r="H1967" t="s"/>
      <c r="I1967" t="s"/>
      <c r="J1967" t="n">
        <v>-0.2254</v>
      </c>
      <c r="K1967" t="n">
        <v>0.123</v>
      </c>
      <c r="L1967" t="n">
        <v>0.804</v>
      </c>
      <c r="M1967" t="n">
        <v>0.07199999999999999</v>
      </c>
    </row>
    <row r="1968" spans="1:13">
      <c r="A1968" s="1">
        <f>HYPERLINK("http://www.twitter.com/NathanBLawrence/status/984422145366413312", "984422145366413312")</f>
        <v/>
      </c>
      <c r="B1968" s="2" t="n">
        <v>43202.5590625</v>
      </c>
      <c r="C1968" t="n">
        <v>0</v>
      </c>
      <c r="D1968" t="n">
        <v>1</v>
      </c>
      <c r="E1968" t="s">
        <v>1974</v>
      </c>
      <c r="F1968" t="s"/>
      <c r="G1968" t="s"/>
      <c r="H1968" t="s"/>
      <c r="I1968" t="s"/>
      <c r="J1968" t="n">
        <v>-0.4878</v>
      </c>
      <c r="K1968" t="n">
        <v>0.178</v>
      </c>
      <c r="L1968" t="n">
        <v>0.752</v>
      </c>
      <c r="M1968" t="n">
        <v>0.07000000000000001</v>
      </c>
    </row>
    <row r="1969" spans="1:13">
      <c r="A1969" s="1">
        <f>HYPERLINK("http://www.twitter.com/NathanBLawrence/status/984420922634522625", "984420922634522625")</f>
        <v/>
      </c>
      <c r="B1969" s="2" t="n">
        <v>43202.55569444445</v>
      </c>
      <c r="C1969" t="n">
        <v>0</v>
      </c>
      <c r="D1969" t="n">
        <v>1</v>
      </c>
      <c r="E1969" t="s">
        <v>1975</v>
      </c>
      <c r="F1969" t="s"/>
      <c r="G1969" t="s"/>
      <c r="H1969" t="s"/>
      <c r="I1969" t="s"/>
      <c r="J1969" t="n">
        <v>0</v>
      </c>
      <c r="K1969" t="n">
        <v>0</v>
      </c>
      <c r="L1969" t="n">
        <v>1</v>
      </c>
      <c r="M1969" t="n">
        <v>0</v>
      </c>
    </row>
    <row r="1970" spans="1:13">
      <c r="A1970" s="1">
        <f>HYPERLINK("http://www.twitter.com/NathanBLawrence/status/984420887628861440", "984420887628861440")</f>
        <v/>
      </c>
      <c r="B1970" s="2" t="n">
        <v>43202.55559027778</v>
      </c>
      <c r="C1970" t="n">
        <v>0</v>
      </c>
      <c r="D1970" t="n">
        <v>1</v>
      </c>
      <c r="E1970" t="s">
        <v>1976</v>
      </c>
      <c r="F1970" t="s"/>
      <c r="G1970" t="s"/>
      <c r="H1970" t="s"/>
      <c r="I1970" t="s"/>
      <c r="J1970" t="n">
        <v>-0.3109</v>
      </c>
      <c r="K1970" t="n">
        <v>0.074</v>
      </c>
      <c r="L1970" t="n">
        <v>0.88</v>
      </c>
      <c r="M1970" t="n">
        <v>0.046</v>
      </c>
    </row>
    <row r="1971" spans="1:13">
      <c r="A1971" s="1">
        <f>HYPERLINK("http://www.twitter.com/NathanBLawrence/status/984420345800200192", "984420345800200192")</f>
        <v/>
      </c>
      <c r="B1971" s="2" t="n">
        <v>43202.55409722222</v>
      </c>
      <c r="C1971" t="n">
        <v>0</v>
      </c>
      <c r="D1971" t="n">
        <v>0</v>
      </c>
      <c r="E1971" t="s">
        <v>1977</v>
      </c>
      <c r="F1971" t="s"/>
      <c r="G1971" t="s"/>
      <c r="H1971" t="s"/>
      <c r="I1971" t="s"/>
      <c r="J1971" t="n">
        <v>-0.6369</v>
      </c>
      <c r="K1971" t="n">
        <v>0.172</v>
      </c>
      <c r="L1971" t="n">
        <v>0.828</v>
      </c>
      <c r="M1971" t="n">
        <v>0</v>
      </c>
    </row>
    <row r="1972" spans="1:13">
      <c r="A1972" s="1">
        <f>HYPERLINK("http://www.twitter.com/NathanBLawrence/status/984420059379625986", "984420059379625986")</f>
        <v/>
      </c>
      <c r="B1972" s="2" t="n">
        <v>43202.55331018518</v>
      </c>
      <c r="C1972" t="n">
        <v>0</v>
      </c>
      <c r="D1972" t="n">
        <v>1</v>
      </c>
      <c r="E1972" t="s">
        <v>1978</v>
      </c>
      <c r="F1972">
        <f>HYPERLINK("http://pbs.twimg.com/media/DalccK7X4AEH_D9.jpg", "http://pbs.twimg.com/media/DalccK7X4AEH_D9.jpg")</f>
        <v/>
      </c>
      <c r="G1972">
        <f>HYPERLINK("http://pbs.twimg.com/media/DalcdaoX0AETybn.jpg", "http://pbs.twimg.com/media/DalcdaoX0AETybn.jpg")</f>
        <v/>
      </c>
      <c r="H1972">
        <f>HYPERLINK("http://pbs.twimg.com/media/DalceVHX0AInQ-_.jpg", "http://pbs.twimg.com/media/DalceVHX0AInQ-_.jpg")</f>
        <v/>
      </c>
      <c r="I1972" t="s"/>
      <c r="J1972" t="n">
        <v>-0.7717000000000001</v>
      </c>
      <c r="K1972" t="n">
        <v>0.283</v>
      </c>
      <c r="L1972" t="n">
        <v>0.717</v>
      </c>
      <c r="M1972" t="n">
        <v>0</v>
      </c>
    </row>
    <row r="1973" spans="1:13">
      <c r="A1973" s="1">
        <f>HYPERLINK("http://www.twitter.com/NathanBLawrence/status/984420031416164352", "984420031416164352")</f>
        <v/>
      </c>
      <c r="B1973" s="2" t="n">
        <v>43202.55322916667</v>
      </c>
      <c r="C1973" t="n">
        <v>3</v>
      </c>
      <c r="D1973" t="n">
        <v>1</v>
      </c>
      <c r="E1973" t="s">
        <v>1979</v>
      </c>
      <c r="F1973">
        <f>HYPERLINK("http://pbs.twimg.com/media/DalccK7X4AEH_D9.jpg", "http://pbs.twimg.com/media/DalccK7X4AEH_D9.jpg")</f>
        <v/>
      </c>
      <c r="G1973">
        <f>HYPERLINK("http://pbs.twimg.com/media/DalcdaoX0AETybn.jpg", "http://pbs.twimg.com/media/DalcdaoX0AETybn.jpg")</f>
        <v/>
      </c>
      <c r="H1973">
        <f>HYPERLINK("http://pbs.twimg.com/media/DalceVHX0AInQ-_.jpg", "http://pbs.twimg.com/media/DalceVHX0AInQ-_.jpg")</f>
        <v/>
      </c>
      <c r="I1973" t="s"/>
      <c r="J1973" t="n">
        <v>-0.7717000000000001</v>
      </c>
      <c r="K1973" t="n">
        <v>0.261</v>
      </c>
      <c r="L1973" t="n">
        <v>0.739</v>
      </c>
      <c r="M1973" t="n">
        <v>0</v>
      </c>
    </row>
    <row r="1974" spans="1:13">
      <c r="A1974" s="1">
        <f>HYPERLINK("http://www.twitter.com/NathanBLawrence/status/984417685999104007", "984417685999104007")</f>
        <v/>
      </c>
      <c r="B1974" s="2" t="n">
        <v>43202.54675925926</v>
      </c>
      <c r="C1974" t="n">
        <v>0</v>
      </c>
      <c r="D1974" t="n">
        <v>0</v>
      </c>
      <c r="E1974" t="s">
        <v>1980</v>
      </c>
      <c r="F1974" t="s"/>
      <c r="G1974" t="s"/>
      <c r="H1974" t="s"/>
      <c r="I1974" t="s"/>
      <c r="J1974" t="n">
        <v>0</v>
      </c>
      <c r="K1974" t="n">
        <v>0</v>
      </c>
      <c r="L1974" t="n">
        <v>1</v>
      </c>
      <c r="M1974" t="n">
        <v>0</v>
      </c>
    </row>
    <row r="1975" spans="1:13">
      <c r="A1975" s="1">
        <f>HYPERLINK("http://www.twitter.com/NathanBLawrence/status/984365243597017088", "984365243597017088")</f>
        <v/>
      </c>
      <c r="B1975" s="2" t="n">
        <v>43202.40204861111</v>
      </c>
      <c r="C1975" t="n">
        <v>1</v>
      </c>
      <c r="D1975" t="n">
        <v>0</v>
      </c>
      <c r="E1975" t="s">
        <v>1981</v>
      </c>
      <c r="F1975" t="s"/>
      <c r="G1975" t="s"/>
      <c r="H1975" t="s"/>
      <c r="I1975" t="s"/>
      <c r="J1975" t="n">
        <v>-0.5266999999999999</v>
      </c>
      <c r="K1975" t="n">
        <v>0.167</v>
      </c>
      <c r="L1975" t="n">
        <v>0.833</v>
      </c>
      <c r="M1975" t="n">
        <v>0</v>
      </c>
    </row>
    <row r="1976" spans="1:13">
      <c r="A1976" s="1">
        <f>HYPERLINK("http://www.twitter.com/NathanBLawrence/status/984357617891008514", "984357617891008514")</f>
        <v/>
      </c>
      <c r="B1976" s="2" t="n">
        <v>43202.38100694444</v>
      </c>
      <c r="C1976" t="n">
        <v>0</v>
      </c>
      <c r="D1976" t="n">
        <v>1</v>
      </c>
      <c r="E1976" t="s">
        <v>1982</v>
      </c>
      <c r="F1976" t="s"/>
      <c r="G1976" t="s"/>
      <c r="H1976" t="s"/>
      <c r="I1976" t="s"/>
      <c r="J1976" t="n">
        <v>0</v>
      </c>
      <c r="K1976" t="n">
        <v>0</v>
      </c>
      <c r="L1976" t="n">
        <v>1</v>
      </c>
      <c r="M1976" t="n">
        <v>0</v>
      </c>
    </row>
    <row r="1977" spans="1:13">
      <c r="A1977" s="1">
        <f>HYPERLINK("http://www.twitter.com/NathanBLawrence/status/984357595128442880", "984357595128442880")</f>
        <v/>
      </c>
      <c r="B1977" s="2" t="n">
        <v>43202.3809375</v>
      </c>
      <c r="C1977" t="n">
        <v>2</v>
      </c>
      <c r="D1977" t="n">
        <v>1</v>
      </c>
      <c r="E1977" t="s">
        <v>1983</v>
      </c>
      <c r="F1977" t="s"/>
      <c r="G1977" t="s"/>
      <c r="H1977" t="s"/>
      <c r="I1977" t="s"/>
      <c r="J1977" t="n">
        <v>0</v>
      </c>
      <c r="K1977" t="n">
        <v>0</v>
      </c>
      <c r="L1977" t="n">
        <v>1</v>
      </c>
      <c r="M1977" t="n">
        <v>0</v>
      </c>
    </row>
    <row r="1978" spans="1:13">
      <c r="A1978" s="1">
        <f>HYPERLINK("http://www.twitter.com/NathanBLawrence/status/984356832973115392", "984356832973115392")</f>
        <v/>
      </c>
      <c r="B1978" s="2" t="n">
        <v>43202.3788425926</v>
      </c>
      <c r="C1978" t="n">
        <v>0</v>
      </c>
      <c r="D1978" t="n">
        <v>0</v>
      </c>
      <c r="E1978" t="s">
        <v>1984</v>
      </c>
      <c r="F1978" t="s"/>
      <c r="G1978" t="s"/>
      <c r="H1978" t="s"/>
      <c r="I1978" t="s"/>
      <c r="J1978" t="n">
        <v>0</v>
      </c>
      <c r="K1978" t="n">
        <v>0</v>
      </c>
      <c r="L1978" t="n">
        <v>1</v>
      </c>
      <c r="M1978" t="n">
        <v>0</v>
      </c>
    </row>
    <row r="1979" spans="1:13">
      <c r="A1979" s="1">
        <f>HYPERLINK("http://www.twitter.com/NathanBLawrence/status/984345015546798080", "984345015546798080")</f>
        <v/>
      </c>
      <c r="B1979" s="2" t="n">
        <v>43202.34622685185</v>
      </c>
      <c r="C1979" t="n">
        <v>0</v>
      </c>
      <c r="D1979" t="n">
        <v>1</v>
      </c>
      <c r="E1979" t="s">
        <v>1985</v>
      </c>
      <c r="F1979" t="s"/>
      <c r="G1979" t="s"/>
      <c r="H1979" t="s"/>
      <c r="I1979" t="s"/>
      <c r="J1979" t="n">
        <v>0.5994</v>
      </c>
      <c r="K1979" t="n">
        <v>0.101</v>
      </c>
      <c r="L1979" t="n">
        <v>0.662</v>
      </c>
      <c r="M1979" t="n">
        <v>0.237</v>
      </c>
    </row>
    <row r="1980" spans="1:13">
      <c r="A1980" s="1">
        <f>HYPERLINK("http://www.twitter.com/NathanBLawrence/status/984344484757540865", "984344484757540865")</f>
        <v/>
      </c>
      <c r="B1980" s="2" t="n">
        <v>43202.34476851852</v>
      </c>
      <c r="C1980" t="n">
        <v>0</v>
      </c>
      <c r="D1980" t="n">
        <v>24</v>
      </c>
      <c r="E1980" t="s">
        <v>1986</v>
      </c>
      <c r="F1980" t="s"/>
      <c r="G1980" t="s"/>
      <c r="H1980" t="s"/>
      <c r="I1980" t="s"/>
      <c r="J1980" t="n">
        <v>-0.3612</v>
      </c>
      <c r="K1980" t="n">
        <v>0.116</v>
      </c>
      <c r="L1980" t="n">
        <v>0.884</v>
      </c>
      <c r="M1980" t="n">
        <v>0</v>
      </c>
    </row>
    <row r="1981" spans="1:13">
      <c r="A1981" s="1">
        <f>HYPERLINK("http://www.twitter.com/NathanBLawrence/status/984344210462605312", "984344210462605312")</f>
        <v/>
      </c>
      <c r="B1981" s="2" t="n">
        <v>43202.34400462963</v>
      </c>
      <c r="C1981" t="n">
        <v>1</v>
      </c>
      <c r="D1981" t="n">
        <v>1</v>
      </c>
      <c r="E1981" t="s">
        <v>1987</v>
      </c>
      <c r="F1981" t="s"/>
      <c r="G1981" t="s"/>
      <c r="H1981" t="s"/>
      <c r="I1981" t="s"/>
      <c r="J1981" t="n">
        <v>0.5994</v>
      </c>
      <c r="K1981" t="n">
        <v>0.109</v>
      </c>
      <c r="L1981" t="n">
        <v>0.637</v>
      </c>
      <c r="M1981" t="n">
        <v>0.255</v>
      </c>
    </row>
    <row r="1982" spans="1:13">
      <c r="A1982" s="1">
        <f>HYPERLINK("http://www.twitter.com/NathanBLawrence/status/984343799890694144", "984343799890694144")</f>
        <v/>
      </c>
      <c r="B1982" s="2" t="n">
        <v>43202.34287037037</v>
      </c>
      <c r="C1982" t="n">
        <v>0</v>
      </c>
      <c r="D1982" t="n">
        <v>2</v>
      </c>
      <c r="E1982" t="s">
        <v>1988</v>
      </c>
      <c r="F1982" t="s"/>
      <c r="G1982" t="s"/>
      <c r="H1982" t="s"/>
      <c r="I1982" t="s"/>
      <c r="J1982" t="n">
        <v>0</v>
      </c>
      <c r="K1982" t="n">
        <v>0</v>
      </c>
      <c r="L1982" t="n">
        <v>1</v>
      </c>
      <c r="M1982" t="n">
        <v>0</v>
      </c>
    </row>
    <row r="1983" spans="1:13">
      <c r="A1983" s="1">
        <f>HYPERLINK("http://www.twitter.com/NathanBLawrence/status/984342735833485312", "984342735833485312")</f>
        <v/>
      </c>
      <c r="B1983" s="2" t="n">
        <v>43202.33994212963</v>
      </c>
      <c r="C1983" t="n">
        <v>0</v>
      </c>
      <c r="D1983" t="n">
        <v>2</v>
      </c>
      <c r="E1983" t="s">
        <v>1989</v>
      </c>
      <c r="F1983" t="s"/>
      <c r="G1983" t="s"/>
      <c r="H1983" t="s"/>
      <c r="I1983" t="s"/>
      <c r="J1983" t="n">
        <v>-0.296</v>
      </c>
      <c r="K1983" t="n">
        <v>0.099</v>
      </c>
      <c r="L1983" t="n">
        <v>0.901</v>
      </c>
      <c r="M1983" t="n">
        <v>0</v>
      </c>
    </row>
    <row r="1984" spans="1:13">
      <c r="A1984" s="1">
        <f>HYPERLINK("http://www.twitter.com/NathanBLawrence/status/984340942999220224", "984340942999220224")</f>
        <v/>
      </c>
      <c r="B1984" s="2" t="n">
        <v>43202.33498842592</v>
      </c>
      <c r="C1984" t="n">
        <v>0</v>
      </c>
      <c r="D1984" t="n">
        <v>1</v>
      </c>
      <c r="E1984" t="s">
        <v>1990</v>
      </c>
      <c r="F1984" t="s"/>
      <c r="G1984" t="s"/>
      <c r="H1984" t="s"/>
      <c r="I1984" t="s"/>
      <c r="J1984" t="n">
        <v>0</v>
      </c>
      <c r="K1984" t="n">
        <v>0</v>
      </c>
      <c r="L1984" t="n">
        <v>1</v>
      </c>
      <c r="M1984" t="n">
        <v>0</v>
      </c>
    </row>
    <row r="1985" spans="1:13">
      <c r="A1985" s="1">
        <f>HYPERLINK("http://www.twitter.com/NathanBLawrence/status/984261065855918085", "984261065855918085")</f>
        <v/>
      </c>
      <c r="B1985" s="2" t="n">
        <v>43202.11457175926</v>
      </c>
      <c r="C1985" t="n">
        <v>3</v>
      </c>
      <c r="D1985" t="n">
        <v>1</v>
      </c>
      <c r="E1985" t="s">
        <v>1991</v>
      </c>
      <c r="F1985" t="s"/>
      <c r="G1985" t="s"/>
      <c r="H1985" t="s"/>
      <c r="I1985" t="s"/>
      <c r="J1985" t="n">
        <v>0.2732</v>
      </c>
      <c r="K1985" t="n">
        <v>0.06</v>
      </c>
      <c r="L1985" t="n">
        <v>0.829</v>
      </c>
      <c r="M1985" t="n">
        <v>0.111</v>
      </c>
    </row>
    <row r="1986" spans="1:13">
      <c r="A1986" s="1">
        <f>HYPERLINK("http://www.twitter.com/NathanBLawrence/status/984257954856816640", "984257954856816640")</f>
        <v/>
      </c>
      <c r="B1986" s="2" t="n">
        <v>43202.1059837963</v>
      </c>
      <c r="C1986" t="n">
        <v>0</v>
      </c>
      <c r="D1986" t="n">
        <v>13</v>
      </c>
      <c r="E1986" t="s">
        <v>1992</v>
      </c>
      <c r="F1986">
        <f>HYPERLINK("http://pbs.twimg.com/media/Dai_POpXUAAyh-3.jpg", "http://pbs.twimg.com/media/Dai_POpXUAAyh-3.jpg")</f>
        <v/>
      </c>
      <c r="G1986" t="s"/>
      <c r="H1986" t="s"/>
      <c r="I1986" t="s"/>
      <c r="J1986" t="n">
        <v>-0.836</v>
      </c>
      <c r="K1986" t="n">
        <v>0.294</v>
      </c>
      <c r="L1986" t="n">
        <v>0.706</v>
      </c>
      <c r="M1986" t="n">
        <v>0</v>
      </c>
    </row>
    <row r="1987" spans="1:13">
      <c r="A1987" s="1">
        <f>HYPERLINK("http://www.twitter.com/NathanBLawrence/status/984247454110572544", "984247454110572544")</f>
        <v/>
      </c>
      <c r="B1987" s="2" t="n">
        <v>43202.07701388889</v>
      </c>
      <c r="C1987" t="n">
        <v>1</v>
      </c>
      <c r="D1987" t="n">
        <v>0</v>
      </c>
      <c r="E1987" t="s">
        <v>1993</v>
      </c>
      <c r="F1987" t="s"/>
      <c r="G1987" t="s"/>
      <c r="H1987" t="s"/>
      <c r="I1987" t="s"/>
      <c r="J1987" t="n">
        <v>0</v>
      </c>
      <c r="K1987" t="n">
        <v>0</v>
      </c>
      <c r="L1987" t="n">
        <v>1</v>
      </c>
      <c r="M1987" t="n">
        <v>0</v>
      </c>
    </row>
    <row r="1988" spans="1:13">
      <c r="A1988" s="1">
        <f>HYPERLINK("http://www.twitter.com/NathanBLawrence/status/984247179043844096", "984247179043844096")</f>
        <v/>
      </c>
      <c r="B1988" s="2" t="n">
        <v>43202.07625</v>
      </c>
      <c r="C1988" t="n">
        <v>0</v>
      </c>
      <c r="D1988" t="n">
        <v>0</v>
      </c>
      <c r="E1988" t="s">
        <v>1994</v>
      </c>
      <c r="F1988" t="s"/>
      <c r="G1988" t="s"/>
      <c r="H1988" t="s"/>
      <c r="I1988" t="s"/>
      <c r="J1988" t="n">
        <v>0</v>
      </c>
      <c r="K1988" t="n">
        <v>0</v>
      </c>
      <c r="L1988" t="n">
        <v>1</v>
      </c>
      <c r="M1988" t="n">
        <v>0</v>
      </c>
    </row>
    <row r="1989" spans="1:13">
      <c r="A1989" s="1">
        <f>HYPERLINK("http://www.twitter.com/NathanBLawrence/status/984243480967950336", "984243480967950336")</f>
        <v/>
      </c>
      <c r="B1989" s="2" t="n">
        <v>43202.06604166667</v>
      </c>
      <c r="C1989" t="n">
        <v>0</v>
      </c>
      <c r="D1989" t="n">
        <v>1</v>
      </c>
      <c r="E1989" t="s">
        <v>1995</v>
      </c>
      <c r="F1989" t="s"/>
      <c r="G1989" t="s"/>
      <c r="H1989" t="s"/>
      <c r="I1989" t="s"/>
      <c r="J1989" t="n">
        <v>0</v>
      </c>
      <c r="K1989" t="n">
        <v>0</v>
      </c>
      <c r="L1989" t="n">
        <v>1</v>
      </c>
      <c r="M1989" t="n">
        <v>0</v>
      </c>
    </row>
    <row r="1990" spans="1:13">
      <c r="A1990" s="1">
        <f>HYPERLINK("http://www.twitter.com/NathanBLawrence/status/984243452937474048", "984243452937474048")</f>
        <v/>
      </c>
      <c r="B1990" s="2" t="n">
        <v>43202.06597222222</v>
      </c>
      <c r="C1990" t="n">
        <v>1</v>
      </c>
      <c r="D1990" t="n">
        <v>1</v>
      </c>
      <c r="E1990" t="s">
        <v>1996</v>
      </c>
      <c r="F1990" t="s"/>
      <c r="G1990" t="s"/>
      <c r="H1990" t="s"/>
      <c r="I1990" t="s"/>
      <c r="J1990" t="n">
        <v>0</v>
      </c>
      <c r="K1990" t="n">
        <v>0</v>
      </c>
      <c r="L1990" t="n">
        <v>1</v>
      </c>
      <c r="M1990" t="n">
        <v>0</v>
      </c>
    </row>
    <row r="1991" spans="1:13">
      <c r="A1991" s="1">
        <f>HYPERLINK("http://www.twitter.com/NathanBLawrence/status/984243066910408704", "984243066910408704")</f>
        <v/>
      </c>
      <c r="B1991" s="2" t="n">
        <v>43202.06490740741</v>
      </c>
      <c r="C1991" t="n">
        <v>0</v>
      </c>
      <c r="D1991" t="n">
        <v>1</v>
      </c>
      <c r="E1991" t="s">
        <v>1997</v>
      </c>
      <c r="F1991" t="s"/>
      <c r="G1991" t="s"/>
      <c r="H1991" t="s"/>
      <c r="I1991" t="s"/>
      <c r="J1991" t="n">
        <v>-0.296</v>
      </c>
      <c r="K1991" t="n">
        <v>0.095</v>
      </c>
      <c r="L1991" t="n">
        <v>0.905</v>
      </c>
      <c r="M1991" t="n">
        <v>0</v>
      </c>
    </row>
    <row r="1992" spans="1:13">
      <c r="A1992" s="1">
        <f>HYPERLINK("http://www.twitter.com/NathanBLawrence/status/984242964246523904", "984242964246523904")</f>
        <v/>
      </c>
      <c r="B1992" s="2" t="n">
        <v>43202.06461805556</v>
      </c>
      <c r="C1992" t="n">
        <v>1</v>
      </c>
      <c r="D1992" t="n">
        <v>1</v>
      </c>
      <c r="E1992" t="s">
        <v>1998</v>
      </c>
      <c r="F1992" t="s"/>
      <c r="G1992" t="s"/>
      <c r="H1992" t="s"/>
      <c r="I1992" t="s"/>
      <c r="J1992" t="n">
        <v>0.25</v>
      </c>
      <c r="K1992" t="n">
        <v>0.119</v>
      </c>
      <c r="L1992" t="n">
        <v>0.736</v>
      </c>
      <c r="M1992" t="n">
        <v>0.145</v>
      </c>
    </row>
    <row r="1993" spans="1:13">
      <c r="A1993" s="1">
        <f>HYPERLINK("http://www.twitter.com/NathanBLawrence/status/984186800272011264", "984186800272011264")</f>
        <v/>
      </c>
      <c r="B1993" s="2" t="n">
        <v>43201.9096412037</v>
      </c>
      <c r="C1993" t="n">
        <v>2</v>
      </c>
      <c r="D1993" t="n">
        <v>0</v>
      </c>
      <c r="E1993" t="s">
        <v>1999</v>
      </c>
      <c r="F1993" t="s"/>
      <c r="G1993" t="s"/>
      <c r="H1993" t="s"/>
      <c r="I1993" t="s"/>
      <c r="J1993" t="n">
        <v>0.4574</v>
      </c>
      <c r="K1993" t="n">
        <v>0</v>
      </c>
      <c r="L1993" t="n">
        <v>0.786</v>
      </c>
      <c r="M1993" t="n">
        <v>0.214</v>
      </c>
    </row>
    <row r="1994" spans="1:13">
      <c r="A1994" s="1">
        <f>HYPERLINK("http://www.twitter.com/NathanBLawrence/status/984185243140804613", "984185243140804613")</f>
        <v/>
      </c>
      <c r="B1994" s="2" t="n">
        <v>43201.90533564815</v>
      </c>
      <c r="C1994" t="n">
        <v>1</v>
      </c>
      <c r="D1994" t="n">
        <v>0</v>
      </c>
      <c r="E1994" t="s">
        <v>2000</v>
      </c>
      <c r="F1994">
        <f>HYPERLINK("http://pbs.twimg.com/media/DaiHOdpXUAAaflQ.jpg", "http://pbs.twimg.com/media/DaiHOdpXUAAaflQ.jpg")</f>
        <v/>
      </c>
      <c r="G1994">
        <f>HYPERLINK("http://pbs.twimg.com/media/DaiHPUDXcAIeAYF.jpg", "http://pbs.twimg.com/media/DaiHPUDXcAIeAYF.jpg")</f>
        <v/>
      </c>
      <c r="H1994">
        <f>HYPERLINK("http://pbs.twimg.com/media/DaiHQP6WkAEEAyj.jpg", "http://pbs.twimg.com/media/DaiHQP6WkAEEAyj.jpg")</f>
        <v/>
      </c>
      <c r="I1994" t="s"/>
      <c r="J1994" t="n">
        <v>0</v>
      </c>
      <c r="K1994" t="n">
        <v>0</v>
      </c>
      <c r="L1994" t="n">
        <v>1</v>
      </c>
      <c r="M1994" t="n">
        <v>0</v>
      </c>
    </row>
    <row r="1995" spans="1:13">
      <c r="A1995" s="1">
        <f>HYPERLINK("http://www.twitter.com/NathanBLawrence/status/984184544701112321", "984184544701112321")</f>
        <v/>
      </c>
      <c r="B1995" s="2" t="n">
        <v>43201.90341435185</v>
      </c>
      <c r="C1995" t="n">
        <v>0</v>
      </c>
      <c r="D1995" t="n">
        <v>1</v>
      </c>
      <c r="E1995" t="s">
        <v>2001</v>
      </c>
      <c r="F1995" t="s"/>
      <c r="G1995" t="s"/>
      <c r="H1995" t="s"/>
      <c r="I1995" t="s"/>
      <c r="J1995" t="n">
        <v>0</v>
      </c>
      <c r="K1995" t="n">
        <v>0</v>
      </c>
      <c r="L1995" t="n">
        <v>1</v>
      </c>
      <c r="M1995" t="n">
        <v>0</v>
      </c>
    </row>
    <row r="1996" spans="1:13">
      <c r="A1996" s="1">
        <f>HYPERLINK("http://www.twitter.com/NathanBLawrence/status/984184471061659648", "984184471061659648")</f>
        <v/>
      </c>
      <c r="B1996" s="2" t="n">
        <v>43201.90320601852</v>
      </c>
      <c r="C1996" t="n">
        <v>0</v>
      </c>
      <c r="D1996" t="n">
        <v>0</v>
      </c>
      <c r="E1996" t="s">
        <v>2002</v>
      </c>
      <c r="F1996" t="s"/>
      <c r="G1996" t="s"/>
      <c r="H1996" t="s"/>
      <c r="I1996" t="s"/>
      <c r="J1996" t="n">
        <v>0</v>
      </c>
      <c r="K1996" t="n">
        <v>0</v>
      </c>
      <c r="L1996" t="n">
        <v>1</v>
      </c>
      <c r="M1996" t="n">
        <v>0</v>
      </c>
    </row>
    <row r="1997" spans="1:13">
      <c r="A1997" s="1">
        <f>HYPERLINK("http://www.twitter.com/NathanBLawrence/status/984184384315101190", "984184384315101190")</f>
        <v/>
      </c>
      <c r="B1997" s="2" t="n">
        <v>43201.90297453704</v>
      </c>
      <c r="C1997" t="n">
        <v>2</v>
      </c>
      <c r="D1997" t="n">
        <v>1</v>
      </c>
      <c r="E1997" t="s">
        <v>2003</v>
      </c>
      <c r="F1997" t="s"/>
      <c r="G1997" t="s"/>
      <c r="H1997" t="s"/>
      <c r="I1997" t="s"/>
      <c r="J1997" t="n">
        <v>0.6908</v>
      </c>
      <c r="K1997" t="n">
        <v>0</v>
      </c>
      <c r="L1997" t="n">
        <v>0.878</v>
      </c>
      <c r="M1997" t="n">
        <v>0.122</v>
      </c>
    </row>
    <row r="1998" spans="1:13">
      <c r="A1998" s="1">
        <f>HYPERLINK("http://www.twitter.com/NathanBLawrence/status/984184209140015104", "984184209140015104")</f>
        <v/>
      </c>
      <c r="B1998" s="2" t="n">
        <v>43201.90248842593</v>
      </c>
      <c r="C1998" t="n">
        <v>0</v>
      </c>
      <c r="D1998" t="n">
        <v>3</v>
      </c>
      <c r="E1998" t="s">
        <v>2004</v>
      </c>
      <c r="F1998" t="s"/>
      <c r="G1998" t="s"/>
      <c r="H1998" t="s"/>
      <c r="I1998" t="s"/>
      <c r="J1998" t="n">
        <v>0.4404</v>
      </c>
      <c r="K1998" t="n">
        <v>0</v>
      </c>
      <c r="L1998" t="n">
        <v>0.822</v>
      </c>
      <c r="M1998" t="n">
        <v>0.178</v>
      </c>
    </row>
    <row r="1999" spans="1:13">
      <c r="A1999" s="1">
        <f>HYPERLINK("http://www.twitter.com/NathanBLawrence/status/984184137883049985", "984184137883049985")</f>
        <v/>
      </c>
      <c r="B1999" s="2" t="n">
        <v>43201.90229166667</v>
      </c>
      <c r="C1999" t="n">
        <v>0</v>
      </c>
      <c r="D1999" t="n">
        <v>1</v>
      </c>
      <c r="E1999" t="s">
        <v>2005</v>
      </c>
      <c r="F1999">
        <f>HYPERLINK("http://pbs.twimg.com/media/DaiEt92X0AMNZIa.jpg", "http://pbs.twimg.com/media/DaiEt92X0AMNZIa.jpg")</f>
        <v/>
      </c>
      <c r="G1999">
        <f>HYPERLINK("http://pbs.twimg.com/media/DaiEu7DX0AAbvRt.jpg", "http://pbs.twimg.com/media/DaiEu7DX0AAbvRt.jpg")</f>
        <v/>
      </c>
      <c r="H1999">
        <f>HYPERLINK("http://pbs.twimg.com/media/DaiEv5mXcAEjDoH.jpg", "http://pbs.twimg.com/media/DaiEv5mXcAEjDoH.jpg")</f>
        <v/>
      </c>
      <c r="I1999" t="s"/>
      <c r="J1999" t="n">
        <v>0.5423</v>
      </c>
      <c r="K1999" t="n">
        <v>0.106</v>
      </c>
      <c r="L1999" t="n">
        <v>0.638</v>
      </c>
      <c r="M1999" t="n">
        <v>0.255</v>
      </c>
    </row>
    <row r="2000" spans="1:13">
      <c r="A2000" s="1">
        <f>HYPERLINK("http://www.twitter.com/NathanBLawrence/status/984182490452692994", "984182490452692994")</f>
        <v/>
      </c>
      <c r="B2000" s="2" t="n">
        <v>43201.89774305555</v>
      </c>
      <c r="C2000" t="n">
        <v>0</v>
      </c>
      <c r="D2000" t="n">
        <v>1</v>
      </c>
      <c r="E2000" t="s">
        <v>2006</v>
      </c>
      <c r="F2000">
        <f>HYPERLINK("http://pbs.twimg.com/media/DaiEt92X0AMNZIa.jpg", "http://pbs.twimg.com/media/DaiEt92X0AMNZIa.jpg")</f>
        <v/>
      </c>
      <c r="G2000">
        <f>HYPERLINK("http://pbs.twimg.com/media/DaiEu7DX0AAbvRt.jpg", "http://pbs.twimg.com/media/DaiEu7DX0AAbvRt.jpg")</f>
        <v/>
      </c>
      <c r="H2000">
        <f>HYPERLINK("http://pbs.twimg.com/media/DaiEv5mXcAEjDoH.jpg", "http://pbs.twimg.com/media/DaiEv5mXcAEjDoH.jpg")</f>
        <v/>
      </c>
      <c r="I2000" t="s"/>
      <c r="J2000" t="n">
        <v>0.5423</v>
      </c>
      <c r="K2000" t="n">
        <v>0.116</v>
      </c>
      <c r="L2000" t="n">
        <v>0.605</v>
      </c>
      <c r="M2000" t="n">
        <v>0.279</v>
      </c>
    </row>
    <row r="2001" spans="1:13">
      <c r="A2001" s="1">
        <f>HYPERLINK("http://www.twitter.com/NathanBLawrence/status/984182152270053378", "984182152270053378")</f>
        <v/>
      </c>
      <c r="B2001" s="2" t="n">
        <v>43201.89680555555</v>
      </c>
      <c r="C2001" t="n">
        <v>4</v>
      </c>
      <c r="D2001" t="n">
        <v>3</v>
      </c>
      <c r="E2001" t="s">
        <v>2007</v>
      </c>
      <c r="F2001" t="s"/>
      <c r="G2001" t="s"/>
      <c r="H2001" t="s"/>
      <c r="I2001" t="s"/>
      <c r="J2001" t="n">
        <v>0.4404</v>
      </c>
      <c r="K2001" t="n">
        <v>0</v>
      </c>
      <c r="L2001" t="n">
        <v>0.8129999999999999</v>
      </c>
      <c r="M2001" t="n">
        <v>0.187</v>
      </c>
    </row>
    <row r="2002" spans="1:13">
      <c r="A2002" s="1">
        <f>HYPERLINK("http://www.twitter.com/NathanBLawrence/status/984180485428596741", "984180485428596741")</f>
        <v/>
      </c>
      <c r="B2002" s="2" t="n">
        <v>43201.89221064815</v>
      </c>
      <c r="C2002" t="n">
        <v>0</v>
      </c>
      <c r="D2002" t="n">
        <v>5</v>
      </c>
      <c r="E2002" t="s">
        <v>2008</v>
      </c>
      <c r="F2002" t="s"/>
      <c r="G2002" t="s"/>
      <c r="H2002" t="s"/>
      <c r="I2002" t="s"/>
      <c r="J2002" t="n">
        <v>-0.5067</v>
      </c>
      <c r="K2002" t="n">
        <v>0.17</v>
      </c>
      <c r="L2002" t="n">
        <v>0.83</v>
      </c>
      <c r="M2002" t="n">
        <v>0</v>
      </c>
    </row>
    <row r="2003" spans="1:13">
      <c r="A2003" s="1">
        <f>HYPERLINK("http://www.twitter.com/NathanBLawrence/status/984180432425095168", "984180432425095168")</f>
        <v/>
      </c>
      <c r="B2003" s="2" t="n">
        <v>43201.89206018519</v>
      </c>
      <c r="C2003" t="n">
        <v>4</v>
      </c>
      <c r="D2003" t="n">
        <v>5</v>
      </c>
      <c r="E2003" t="s">
        <v>2009</v>
      </c>
      <c r="F2003" t="s"/>
      <c r="G2003" t="s"/>
      <c r="H2003" t="s"/>
      <c r="I2003" t="s"/>
      <c r="J2003" t="n">
        <v>0.5684</v>
      </c>
      <c r="K2003" t="n">
        <v>0.068</v>
      </c>
      <c r="L2003" t="n">
        <v>0.761</v>
      </c>
      <c r="M2003" t="n">
        <v>0.171</v>
      </c>
    </row>
    <row r="2004" spans="1:13">
      <c r="A2004" s="1">
        <f>HYPERLINK("http://www.twitter.com/NathanBLawrence/status/984173936685576194", "984173936685576194")</f>
        <v/>
      </c>
      <c r="B2004" s="2" t="n">
        <v>43201.87414351852</v>
      </c>
      <c r="C2004" t="n">
        <v>0</v>
      </c>
      <c r="D2004" t="n">
        <v>1</v>
      </c>
      <c r="E2004" t="s">
        <v>2010</v>
      </c>
      <c r="F2004" t="s"/>
      <c r="G2004" t="s"/>
      <c r="H2004" t="s"/>
      <c r="I2004" t="s"/>
      <c r="J2004" t="n">
        <v>-0.5562</v>
      </c>
      <c r="K2004" t="n">
        <v>0.451</v>
      </c>
      <c r="L2004" t="n">
        <v>0.417</v>
      </c>
      <c r="M2004" t="n">
        <v>0.132</v>
      </c>
    </row>
    <row r="2005" spans="1:13">
      <c r="A2005" s="1">
        <f>HYPERLINK("http://www.twitter.com/NathanBLawrence/status/984173865071988736", "984173865071988736")</f>
        <v/>
      </c>
      <c r="B2005" s="2" t="n">
        <v>43201.87394675926</v>
      </c>
      <c r="C2005" t="n">
        <v>0</v>
      </c>
      <c r="D2005" t="n">
        <v>0</v>
      </c>
      <c r="E2005" t="s">
        <v>2011</v>
      </c>
      <c r="F2005" t="s"/>
      <c r="G2005" t="s"/>
      <c r="H2005" t="s"/>
      <c r="I2005" t="s"/>
      <c r="J2005" t="n">
        <v>0.6369</v>
      </c>
      <c r="K2005" t="n">
        <v>0</v>
      </c>
      <c r="L2005" t="n">
        <v>0.8159999999999999</v>
      </c>
      <c r="M2005" t="n">
        <v>0.184</v>
      </c>
    </row>
    <row r="2006" spans="1:13">
      <c r="A2006" s="1">
        <f>HYPERLINK("http://www.twitter.com/NathanBLawrence/status/984173830087331844", "984173830087331844")</f>
        <v/>
      </c>
      <c r="B2006" s="2" t="n">
        <v>43201.87384259259</v>
      </c>
      <c r="C2006" t="n">
        <v>2</v>
      </c>
      <c r="D2006" t="n">
        <v>2</v>
      </c>
      <c r="E2006" t="s">
        <v>2012</v>
      </c>
      <c r="F2006" t="s"/>
      <c r="G2006" t="s"/>
      <c r="H2006" t="s"/>
      <c r="I2006" t="s"/>
      <c r="J2006" t="n">
        <v>0.6369</v>
      </c>
      <c r="K2006" t="n">
        <v>0</v>
      </c>
      <c r="L2006" t="n">
        <v>0.828</v>
      </c>
      <c r="M2006" t="n">
        <v>0.172</v>
      </c>
    </row>
    <row r="2007" spans="1:13">
      <c r="A2007" s="1">
        <f>HYPERLINK("http://www.twitter.com/NathanBLawrence/status/984173537819791365", "984173537819791365")</f>
        <v/>
      </c>
      <c r="B2007" s="2" t="n">
        <v>43201.87304398148</v>
      </c>
      <c r="C2007" t="n">
        <v>5</v>
      </c>
      <c r="D2007" t="n">
        <v>1</v>
      </c>
      <c r="E2007" t="s">
        <v>2013</v>
      </c>
      <c r="F2007" t="s"/>
      <c r="G2007" t="s"/>
      <c r="H2007" t="s"/>
      <c r="I2007" t="s"/>
      <c r="J2007" t="n">
        <v>-0.5562</v>
      </c>
      <c r="K2007" t="n">
        <v>0.524</v>
      </c>
      <c r="L2007" t="n">
        <v>0.323</v>
      </c>
      <c r="M2007" t="n">
        <v>0.153</v>
      </c>
    </row>
    <row r="2008" spans="1:13">
      <c r="A2008" s="1">
        <f>HYPERLINK("http://www.twitter.com/NathanBLawrence/status/984172747269066752", "984172747269066752")</f>
        <v/>
      </c>
      <c r="B2008" s="2" t="n">
        <v>43201.87085648148</v>
      </c>
      <c r="C2008" t="n">
        <v>0</v>
      </c>
      <c r="D2008" t="n">
        <v>0</v>
      </c>
      <c r="E2008" t="s">
        <v>2014</v>
      </c>
      <c r="F2008" t="s"/>
      <c r="G2008" t="s"/>
      <c r="H2008" t="s"/>
      <c r="I2008" t="s"/>
      <c r="J2008" t="n">
        <v>0.6369</v>
      </c>
      <c r="K2008" t="n">
        <v>0</v>
      </c>
      <c r="L2008" t="n">
        <v>0.833</v>
      </c>
      <c r="M2008" t="n">
        <v>0.167</v>
      </c>
    </row>
    <row r="2009" spans="1:13">
      <c r="A2009" s="1">
        <f>HYPERLINK("http://www.twitter.com/NathanBLawrence/status/984172263007191041", "984172263007191041")</f>
        <v/>
      </c>
      <c r="B2009" s="2" t="n">
        <v>43201.86952546296</v>
      </c>
      <c r="C2009" t="n">
        <v>0</v>
      </c>
      <c r="D2009" t="n">
        <v>58</v>
      </c>
      <c r="E2009" t="s">
        <v>2015</v>
      </c>
      <c r="F2009">
        <f>HYPERLINK("http://pbs.twimg.com/media/Dah60PEW4AQXEzo.jpg", "http://pbs.twimg.com/media/Dah60PEW4AQXEzo.jpg")</f>
        <v/>
      </c>
      <c r="G2009" t="s"/>
      <c r="H2009" t="s"/>
      <c r="I2009" t="s"/>
      <c r="J2009" t="n">
        <v>-0.34</v>
      </c>
      <c r="K2009" t="n">
        <v>0.103</v>
      </c>
      <c r="L2009" t="n">
        <v>0.897</v>
      </c>
      <c r="M2009" t="n">
        <v>0</v>
      </c>
    </row>
    <row r="2010" spans="1:13">
      <c r="A2010" s="1">
        <f>HYPERLINK("http://www.twitter.com/NathanBLawrence/status/984172240974512130", "984172240974512130")</f>
        <v/>
      </c>
      <c r="B2010" s="2" t="n">
        <v>43201.86945601852</v>
      </c>
      <c r="C2010" t="n">
        <v>0</v>
      </c>
      <c r="D2010" t="n">
        <v>0</v>
      </c>
      <c r="E2010" t="s">
        <v>2016</v>
      </c>
      <c r="F2010" t="s"/>
      <c r="G2010" t="s"/>
      <c r="H2010" t="s"/>
      <c r="I2010" t="s"/>
      <c r="J2010" t="n">
        <v>0.6369</v>
      </c>
      <c r="K2010" t="n">
        <v>0</v>
      </c>
      <c r="L2010" t="n">
        <v>0.8159999999999999</v>
      </c>
      <c r="M2010" t="n">
        <v>0.184</v>
      </c>
    </row>
    <row r="2011" spans="1:13">
      <c r="A2011" s="1">
        <f>HYPERLINK("http://www.twitter.com/NathanBLawrence/status/984172197852966913", "984172197852966913")</f>
        <v/>
      </c>
      <c r="B2011" s="2" t="n">
        <v>43201.86934027778</v>
      </c>
      <c r="C2011" t="n">
        <v>0</v>
      </c>
      <c r="D2011" t="n">
        <v>1</v>
      </c>
      <c r="E2011" t="s">
        <v>2017</v>
      </c>
      <c r="F2011" t="s"/>
      <c r="G2011" t="s"/>
      <c r="H2011" t="s"/>
      <c r="I2011" t="s"/>
      <c r="J2011" t="n">
        <v>0.6369</v>
      </c>
      <c r="K2011" t="n">
        <v>0</v>
      </c>
      <c r="L2011" t="n">
        <v>0.802</v>
      </c>
      <c r="M2011" t="n">
        <v>0.198</v>
      </c>
    </row>
    <row r="2012" spans="1:13">
      <c r="A2012" s="1">
        <f>HYPERLINK("http://www.twitter.com/NathanBLawrence/status/984171944340795394", "984171944340795394")</f>
        <v/>
      </c>
      <c r="B2012" s="2" t="n">
        <v>43201.86864583333</v>
      </c>
      <c r="C2012" t="n">
        <v>0</v>
      </c>
      <c r="D2012" t="n">
        <v>1</v>
      </c>
      <c r="E2012" t="s">
        <v>2018</v>
      </c>
      <c r="F2012" t="s"/>
      <c r="G2012" t="s"/>
      <c r="H2012" t="s"/>
      <c r="I2012" t="s"/>
      <c r="J2012" t="n">
        <v>0.6369</v>
      </c>
      <c r="K2012" t="n">
        <v>0</v>
      </c>
      <c r="L2012" t="n">
        <v>0.822</v>
      </c>
      <c r="M2012" t="n">
        <v>0.178</v>
      </c>
    </row>
    <row r="2013" spans="1:13">
      <c r="A2013" s="1">
        <f>HYPERLINK("http://www.twitter.com/NathanBLawrence/status/984169600647606272", "984169600647606272")</f>
        <v/>
      </c>
      <c r="B2013" s="2" t="n">
        <v>43201.86217592593</v>
      </c>
      <c r="C2013" t="n">
        <v>0</v>
      </c>
      <c r="D2013" t="n">
        <v>0</v>
      </c>
      <c r="E2013" t="s">
        <v>2019</v>
      </c>
      <c r="F2013" t="s"/>
      <c r="G2013" t="s"/>
      <c r="H2013" t="s"/>
      <c r="I2013" t="s"/>
      <c r="J2013" t="n">
        <v>0.3527</v>
      </c>
      <c r="K2013" t="n">
        <v>0</v>
      </c>
      <c r="L2013" t="n">
        <v>0.903</v>
      </c>
      <c r="M2013" t="n">
        <v>0.097</v>
      </c>
    </row>
    <row r="2014" spans="1:13">
      <c r="A2014" s="1">
        <f>HYPERLINK("http://www.twitter.com/NathanBLawrence/status/984169122375307266", "984169122375307266")</f>
        <v/>
      </c>
      <c r="B2014" s="2" t="n">
        <v>43201.86085648148</v>
      </c>
      <c r="C2014" t="n">
        <v>1</v>
      </c>
      <c r="D2014" t="n">
        <v>0</v>
      </c>
      <c r="E2014" t="s">
        <v>2020</v>
      </c>
      <c r="F2014" t="s"/>
      <c r="G2014" t="s"/>
      <c r="H2014" t="s"/>
      <c r="I2014" t="s"/>
      <c r="J2014" t="n">
        <v>0.296</v>
      </c>
      <c r="K2014" t="n">
        <v>0</v>
      </c>
      <c r="L2014" t="n">
        <v>0.887</v>
      </c>
      <c r="M2014" t="n">
        <v>0.113</v>
      </c>
    </row>
    <row r="2015" spans="1:13">
      <c r="A2015" s="1">
        <f>HYPERLINK("http://www.twitter.com/NathanBLawrence/status/984167417738821633", "984167417738821633")</f>
        <v/>
      </c>
      <c r="B2015" s="2" t="n">
        <v>43201.85614583334</v>
      </c>
      <c r="C2015" t="n">
        <v>0</v>
      </c>
      <c r="D2015" t="n">
        <v>3</v>
      </c>
      <c r="E2015" t="s">
        <v>2021</v>
      </c>
      <c r="F2015" t="s"/>
      <c r="G2015" t="s"/>
      <c r="H2015" t="s"/>
      <c r="I2015" t="s"/>
      <c r="J2015" t="n">
        <v>0.4926</v>
      </c>
      <c r="K2015" t="n">
        <v>0</v>
      </c>
      <c r="L2015" t="n">
        <v>0.825</v>
      </c>
      <c r="M2015" t="n">
        <v>0.175</v>
      </c>
    </row>
    <row r="2016" spans="1:13">
      <c r="A2016" s="1">
        <f>HYPERLINK("http://www.twitter.com/NathanBLawrence/status/984164319301656577", "984164319301656577")</f>
        <v/>
      </c>
      <c r="B2016" s="2" t="n">
        <v>43201.84760416667</v>
      </c>
      <c r="C2016" t="n">
        <v>0</v>
      </c>
      <c r="D2016" t="n">
        <v>2</v>
      </c>
      <c r="E2016" t="s">
        <v>2022</v>
      </c>
      <c r="F2016">
        <f>HYPERLINK("http://pbs.twimg.com/media/DahzZ2cW0AARci2.jpg", "http://pbs.twimg.com/media/DahzZ2cW0AARci2.jpg")</f>
        <v/>
      </c>
      <c r="G2016" t="s"/>
      <c r="H2016" t="s"/>
      <c r="I2016" t="s"/>
      <c r="J2016" t="n">
        <v>0</v>
      </c>
      <c r="K2016" t="n">
        <v>0</v>
      </c>
      <c r="L2016" t="n">
        <v>1</v>
      </c>
      <c r="M2016" t="n">
        <v>0</v>
      </c>
    </row>
    <row r="2017" spans="1:13">
      <c r="A2017" s="1">
        <f>HYPERLINK("http://www.twitter.com/NathanBLawrence/status/984164153161080835", "984164153161080835")</f>
        <v/>
      </c>
      <c r="B2017" s="2" t="n">
        <v>43201.8471412037</v>
      </c>
      <c r="C2017" t="n">
        <v>1</v>
      </c>
      <c r="D2017" t="n">
        <v>2</v>
      </c>
      <c r="E2017" t="s">
        <v>2023</v>
      </c>
      <c r="F2017">
        <f>HYPERLINK("http://pbs.twimg.com/media/DahzZ2cW0AARci2.jpg", "http://pbs.twimg.com/media/DahzZ2cW0AARci2.jpg")</f>
        <v/>
      </c>
      <c r="G2017" t="s"/>
      <c r="H2017" t="s"/>
      <c r="I2017" t="s"/>
      <c r="J2017" t="n">
        <v>0</v>
      </c>
      <c r="K2017" t="n">
        <v>0</v>
      </c>
      <c r="L2017" t="n">
        <v>1</v>
      </c>
      <c r="M2017" t="n">
        <v>0</v>
      </c>
    </row>
    <row r="2018" spans="1:13">
      <c r="A2018" s="1">
        <f>HYPERLINK("http://www.twitter.com/NathanBLawrence/status/984157268303335424", "984157268303335424")</f>
        <v/>
      </c>
      <c r="B2018" s="2" t="n">
        <v>43201.82814814815</v>
      </c>
      <c r="C2018" t="n">
        <v>0</v>
      </c>
      <c r="D2018" t="n">
        <v>3</v>
      </c>
      <c r="E2018" t="s">
        <v>2024</v>
      </c>
      <c r="F2018" t="s"/>
      <c r="G2018" t="s"/>
      <c r="H2018" t="s"/>
      <c r="I2018" t="s"/>
      <c r="J2018" t="n">
        <v>0.3612</v>
      </c>
      <c r="K2018" t="n">
        <v>0</v>
      </c>
      <c r="L2018" t="n">
        <v>0.906</v>
      </c>
      <c r="M2018" t="n">
        <v>0.094</v>
      </c>
    </row>
    <row r="2019" spans="1:13">
      <c r="A2019" s="1">
        <f>HYPERLINK("http://www.twitter.com/NathanBLawrence/status/984156447847124995", "984156447847124995")</f>
        <v/>
      </c>
      <c r="B2019" s="2" t="n">
        <v>43201.82587962963</v>
      </c>
      <c r="C2019" t="n">
        <v>5</v>
      </c>
      <c r="D2019" t="n">
        <v>3</v>
      </c>
      <c r="E2019" t="s">
        <v>2025</v>
      </c>
      <c r="F2019" t="s"/>
      <c r="G2019" t="s"/>
      <c r="H2019" t="s"/>
      <c r="I2019" t="s"/>
      <c r="J2019" t="n">
        <v>0.5859</v>
      </c>
      <c r="K2019" t="n">
        <v>0</v>
      </c>
      <c r="L2019" t="n">
        <v>0.849</v>
      </c>
      <c r="M2019" t="n">
        <v>0.151</v>
      </c>
    </row>
    <row r="2020" spans="1:13">
      <c r="A2020" s="1">
        <f>HYPERLINK("http://www.twitter.com/NathanBLawrence/status/984146819163807749", "984146819163807749")</f>
        <v/>
      </c>
      <c r="B2020" s="2" t="n">
        <v>43201.79930555556</v>
      </c>
      <c r="C2020" t="n">
        <v>0</v>
      </c>
      <c r="D2020" t="n">
        <v>31</v>
      </c>
      <c r="E2020" t="s">
        <v>2026</v>
      </c>
      <c r="F2020" t="s"/>
      <c r="G2020" t="s"/>
      <c r="H2020" t="s"/>
      <c r="I2020" t="s"/>
      <c r="J2020" t="n">
        <v>0</v>
      </c>
      <c r="K2020" t="n">
        <v>0</v>
      </c>
      <c r="L2020" t="n">
        <v>1</v>
      </c>
      <c r="M2020" t="n">
        <v>0</v>
      </c>
    </row>
    <row r="2021" spans="1:13">
      <c r="A2021" s="1">
        <f>HYPERLINK("http://www.twitter.com/NathanBLawrence/status/984138830281404425", "984138830281404425")</f>
        <v/>
      </c>
      <c r="B2021" s="2" t="n">
        <v>43201.77726851852</v>
      </c>
      <c r="C2021" t="n">
        <v>1</v>
      </c>
      <c r="D2021" t="n">
        <v>0</v>
      </c>
      <c r="E2021" t="s">
        <v>2027</v>
      </c>
      <c r="F2021" t="s"/>
      <c r="G2021" t="s"/>
      <c r="H2021" t="s"/>
      <c r="I2021" t="s"/>
      <c r="J2021" t="n">
        <v>-0.126</v>
      </c>
      <c r="K2021" t="n">
        <v>0.09</v>
      </c>
      <c r="L2021" t="n">
        <v>0.91</v>
      </c>
      <c r="M2021" t="n">
        <v>0</v>
      </c>
    </row>
    <row r="2022" spans="1:13">
      <c r="A2022" s="1">
        <f>HYPERLINK("http://www.twitter.com/NathanBLawrence/status/984132574233718810", "984132574233718810")</f>
        <v/>
      </c>
      <c r="B2022" s="2" t="n">
        <v>43201.76</v>
      </c>
      <c r="C2022" t="n">
        <v>1</v>
      </c>
      <c r="D2022" t="n">
        <v>0</v>
      </c>
      <c r="E2022" t="s">
        <v>2028</v>
      </c>
      <c r="F2022" t="s"/>
      <c r="G2022" t="s"/>
      <c r="H2022" t="s"/>
      <c r="I2022" t="s"/>
      <c r="J2022" t="n">
        <v>0</v>
      </c>
      <c r="K2022" t="n">
        <v>0</v>
      </c>
      <c r="L2022" t="n">
        <v>1</v>
      </c>
      <c r="M2022" t="n">
        <v>0</v>
      </c>
    </row>
    <row r="2023" spans="1:13">
      <c r="A2023" s="1">
        <f>HYPERLINK("http://www.twitter.com/NathanBLawrence/status/984130765503041536", "984130765503041536")</f>
        <v/>
      </c>
      <c r="B2023" s="2" t="n">
        <v>43201.75501157407</v>
      </c>
      <c r="C2023" t="n">
        <v>1</v>
      </c>
      <c r="D2023" t="n">
        <v>0</v>
      </c>
      <c r="E2023" t="s">
        <v>2029</v>
      </c>
      <c r="F2023" t="s"/>
      <c r="G2023" t="s"/>
      <c r="H2023" t="s"/>
      <c r="I2023" t="s"/>
      <c r="J2023" t="n">
        <v>0.3182</v>
      </c>
      <c r="K2023" t="n">
        <v>0</v>
      </c>
      <c r="L2023" t="n">
        <v>0.777</v>
      </c>
      <c r="M2023" t="n">
        <v>0.223</v>
      </c>
    </row>
    <row r="2024" spans="1:13">
      <c r="A2024" s="1">
        <f>HYPERLINK("http://www.twitter.com/NathanBLawrence/status/984127593170563072", "984127593170563072")</f>
        <v/>
      </c>
      <c r="B2024" s="2" t="n">
        <v>43201.74626157407</v>
      </c>
      <c r="C2024" t="n">
        <v>0</v>
      </c>
      <c r="D2024" t="n">
        <v>1</v>
      </c>
      <c r="E2024" t="s">
        <v>2030</v>
      </c>
      <c r="F2024" t="s"/>
      <c r="G2024" t="s"/>
      <c r="H2024" t="s"/>
      <c r="I2024" t="s"/>
      <c r="J2024" t="n">
        <v>0.3724</v>
      </c>
      <c r="K2024" t="n">
        <v>0</v>
      </c>
      <c r="L2024" t="n">
        <v>0.862</v>
      </c>
      <c r="M2024" t="n">
        <v>0.138</v>
      </c>
    </row>
    <row r="2025" spans="1:13">
      <c r="A2025" s="1">
        <f>HYPERLINK("http://www.twitter.com/NathanBLawrence/status/984127105314287625", "984127105314287625")</f>
        <v/>
      </c>
      <c r="B2025" s="2" t="n">
        <v>43201.74490740741</v>
      </c>
      <c r="C2025" t="n">
        <v>0</v>
      </c>
      <c r="D2025" t="n">
        <v>0</v>
      </c>
      <c r="E2025" t="s">
        <v>2031</v>
      </c>
      <c r="F2025" t="s"/>
      <c r="G2025" t="s"/>
      <c r="H2025" t="s"/>
      <c r="I2025" t="s"/>
      <c r="J2025" t="n">
        <v>0</v>
      </c>
      <c r="K2025" t="n">
        <v>0</v>
      </c>
      <c r="L2025" t="n">
        <v>1</v>
      </c>
      <c r="M2025" t="n">
        <v>0</v>
      </c>
    </row>
    <row r="2026" spans="1:13">
      <c r="A2026" s="1">
        <f>HYPERLINK("http://www.twitter.com/NathanBLawrence/status/984123961511424007", "984123961511424007")</f>
        <v/>
      </c>
      <c r="B2026" s="2" t="n">
        <v>43201.73623842592</v>
      </c>
      <c r="C2026" t="n">
        <v>0</v>
      </c>
      <c r="D2026" t="n">
        <v>1</v>
      </c>
      <c r="E2026" t="s">
        <v>2032</v>
      </c>
      <c r="F2026" t="s"/>
      <c r="G2026" t="s"/>
      <c r="H2026" t="s"/>
      <c r="I2026" t="s"/>
      <c r="J2026" t="n">
        <v>0.3724</v>
      </c>
      <c r="K2026" t="n">
        <v>0</v>
      </c>
      <c r="L2026" t="n">
        <v>0.846</v>
      </c>
      <c r="M2026" t="n">
        <v>0.154</v>
      </c>
    </row>
    <row r="2027" spans="1:13">
      <c r="A2027" s="1">
        <f>HYPERLINK("http://www.twitter.com/NathanBLawrence/status/984123262014812162", "984123262014812162")</f>
        <v/>
      </c>
      <c r="B2027" s="2" t="n">
        <v>43201.73430555555</v>
      </c>
      <c r="C2027" t="n">
        <v>0</v>
      </c>
      <c r="D2027" t="n">
        <v>0</v>
      </c>
      <c r="E2027" t="s">
        <v>2033</v>
      </c>
      <c r="F2027" t="s"/>
      <c r="G2027" t="s"/>
      <c r="H2027" t="s"/>
      <c r="I2027" t="s"/>
      <c r="J2027" t="n">
        <v>0.3182</v>
      </c>
      <c r="K2027" t="n">
        <v>0</v>
      </c>
      <c r="L2027" t="n">
        <v>0.777</v>
      </c>
      <c r="M2027" t="n">
        <v>0.223</v>
      </c>
    </row>
    <row r="2028" spans="1:13">
      <c r="A2028" s="1">
        <f>HYPERLINK("http://www.twitter.com/NathanBLawrence/status/984119828679192579", "984119828679192579")</f>
        <v/>
      </c>
      <c r="B2028" s="2" t="n">
        <v>43201.72482638889</v>
      </c>
      <c r="C2028" t="n">
        <v>0</v>
      </c>
      <c r="D2028" t="n">
        <v>3</v>
      </c>
      <c r="E2028" t="s">
        <v>2034</v>
      </c>
      <c r="F2028" t="s"/>
      <c r="G2028" t="s"/>
      <c r="H2028" t="s"/>
      <c r="I2028" t="s"/>
      <c r="J2028" t="n">
        <v>0</v>
      </c>
      <c r="K2028" t="n">
        <v>0</v>
      </c>
      <c r="L2028" t="n">
        <v>1</v>
      </c>
      <c r="M2028" t="n">
        <v>0</v>
      </c>
    </row>
    <row r="2029" spans="1:13">
      <c r="A2029" s="1">
        <f>HYPERLINK("http://www.twitter.com/NathanBLawrence/status/984117913547354112", "984117913547354112")</f>
        <v/>
      </c>
      <c r="B2029" s="2" t="n">
        <v>43201.71954861111</v>
      </c>
      <c r="C2029" t="n">
        <v>0</v>
      </c>
      <c r="D2029" t="n">
        <v>0</v>
      </c>
      <c r="E2029" t="s">
        <v>2035</v>
      </c>
      <c r="F2029" t="s"/>
      <c r="G2029" t="s"/>
      <c r="H2029" t="s"/>
      <c r="I2029" t="s"/>
      <c r="J2029" t="n">
        <v>0.3612</v>
      </c>
      <c r="K2029" t="n">
        <v>0</v>
      </c>
      <c r="L2029" t="n">
        <v>0.762</v>
      </c>
      <c r="M2029" t="n">
        <v>0.238</v>
      </c>
    </row>
    <row r="2030" spans="1:13">
      <c r="A2030" s="1">
        <f>HYPERLINK("http://www.twitter.com/NathanBLawrence/status/984112330664562693", "984112330664562693")</f>
        <v/>
      </c>
      <c r="B2030" s="2" t="n">
        <v>43201.70414351852</v>
      </c>
      <c r="C2030" t="n">
        <v>1</v>
      </c>
      <c r="D2030" t="n">
        <v>0</v>
      </c>
      <c r="E2030" t="s">
        <v>2036</v>
      </c>
      <c r="F2030" t="s"/>
      <c r="G2030" t="s"/>
      <c r="H2030" t="s"/>
      <c r="I2030" t="s"/>
      <c r="J2030" t="n">
        <v>-0.2732</v>
      </c>
      <c r="K2030" t="n">
        <v>0.091</v>
      </c>
      <c r="L2030" t="n">
        <v>0.909</v>
      </c>
      <c r="M2030" t="n">
        <v>0</v>
      </c>
    </row>
    <row r="2031" spans="1:13">
      <c r="A2031" s="1">
        <f>HYPERLINK("http://www.twitter.com/NathanBLawrence/status/984106201532256258", "984106201532256258")</f>
        <v/>
      </c>
      <c r="B2031" s="2" t="n">
        <v>43201.68722222222</v>
      </c>
      <c r="C2031" t="n">
        <v>0</v>
      </c>
      <c r="D2031" t="n">
        <v>1</v>
      </c>
      <c r="E2031" t="s">
        <v>2037</v>
      </c>
      <c r="F2031" t="s"/>
      <c r="G2031" t="s"/>
      <c r="H2031" t="s"/>
      <c r="I2031" t="s"/>
      <c r="J2031" t="n">
        <v>-0.0065</v>
      </c>
      <c r="K2031" t="n">
        <v>0.124</v>
      </c>
      <c r="L2031" t="n">
        <v>0.753</v>
      </c>
      <c r="M2031" t="n">
        <v>0.123</v>
      </c>
    </row>
    <row r="2032" spans="1:13">
      <c r="A2032" s="1">
        <f>HYPERLINK("http://www.twitter.com/NathanBLawrence/status/984105573850472449", "984105573850472449")</f>
        <v/>
      </c>
      <c r="B2032" s="2" t="n">
        <v>43201.68549768518</v>
      </c>
      <c r="C2032" t="n">
        <v>1</v>
      </c>
      <c r="D2032" t="n">
        <v>1</v>
      </c>
      <c r="E2032" t="s">
        <v>2038</v>
      </c>
      <c r="F2032" t="s"/>
      <c r="G2032" t="s"/>
      <c r="H2032" t="s"/>
      <c r="I2032" t="s"/>
      <c r="J2032" t="n">
        <v>-0.0065</v>
      </c>
      <c r="K2032" t="n">
        <v>0.135</v>
      </c>
      <c r="L2032" t="n">
        <v>0.732</v>
      </c>
      <c r="M2032" t="n">
        <v>0.133</v>
      </c>
    </row>
    <row r="2033" spans="1:13">
      <c r="A2033" s="1">
        <f>HYPERLINK("http://www.twitter.com/NathanBLawrence/status/984090499140157442", "984090499140157442")</f>
        <v/>
      </c>
      <c r="B2033" s="2" t="n">
        <v>43201.64390046296</v>
      </c>
      <c r="C2033" t="n">
        <v>0</v>
      </c>
      <c r="D2033" t="n">
        <v>2</v>
      </c>
      <c r="E2033" t="s">
        <v>2039</v>
      </c>
      <c r="F2033" t="s"/>
      <c r="G2033" t="s"/>
      <c r="H2033" t="s"/>
      <c r="I2033" t="s"/>
      <c r="J2033" t="n">
        <v>-0.1027</v>
      </c>
      <c r="K2033" t="n">
        <v>0.183</v>
      </c>
      <c r="L2033" t="n">
        <v>0.647</v>
      </c>
      <c r="M2033" t="n">
        <v>0.169</v>
      </c>
    </row>
    <row r="2034" spans="1:13">
      <c r="A2034" s="1">
        <f>HYPERLINK("http://www.twitter.com/NathanBLawrence/status/984082253428023297", "984082253428023297")</f>
        <v/>
      </c>
      <c r="B2034" s="2" t="n">
        <v>43201.62114583333</v>
      </c>
      <c r="C2034" t="n">
        <v>6</v>
      </c>
      <c r="D2034" t="n">
        <v>3</v>
      </c>
      <c r="E2034" t="s">
        <v>2040</v>
      </c>
      <c r="F2034" t="s"/>
      <c r="G2034" t="s"/>
      <c r="H2034" t="s"/>
      <c r="I2034" t="s"/>
      <c r="J2034" t="n">
        <v>-0.4939</v>
      </c>
      <c r="K2034" t="n">
        <v>0.091</v>
      </c>
      <c r="L2034" t="n">
        <v>0.909</v>
      </c>
      <c r="M2034" t="n">
        <v>0</v>
      </c>
    </row>
    <row r="2035" spans="1:13">
      <c r="A2035" s="1">
        <f>HYPERLINK("http://www.twitter.com/NathanBLawrence/status/984081784156688384", "984081784156688384")</f>
        <v/>
      </c>
      <c r="B2035" s="2" t="n">
        <v>43201.61984953703</v>
      </c>
      <c r="C2035" t="n">
        <v>0</v>
      </c>
      <c r="D2035" t="n">
        <v>3</v>
      </c>
      <c r="E2035" t="s">
        <v>2041</v>
      </c>
      <c r="F2035" t="s"/>
      <c r="G2035" t="s"/>
      <c r="H2035" t="s"/>
      <c r="I2035" t="s"/>
      <c r="J2035" t="n">
        <v>-0.5719</v>
      </c>
      <c r="K2035" t="n">
        <v>0.171</v>
      </c>
      <c r="L2035" t="n">
        <v>0.829</v>
      </c>
      <c r="M2035" t="n">
        <v>0</v>
      </c>
    </row>
    <row r="2036" spans="1:13">
      <c r="A2036" s="1">
        <f>HYPERLINK("http://www.twitter.com/NathanBLawrence/status/984057921746153472", "984057921746153472")</f>
        <v/>
      </c>
      <c r="B2036" s="2" t="n">
        <v>43201.55400462963</v>
      </c>
      <c r="C2036" t="n">
        <v>1</v>
      </c>
      <c r="D2036" t="n">
        <v>0</v>
      </c>
      <c r="E2036" t="s">
        <v>2042</v>
      </c>
      <c r="F2036" t="s"/>
      <c r="G2036" t="s"/>
      <c r="H2036" t="s"/>
      <c r="I2036" t="s"/>
      <c r="J2036" t="n">
        <v>0.1511</v>
      </c>
      <c r="K2036" t="n">
        <v>0.163</v>
      </c>
      <c r="L2036" t="n">
        <v>0.64</v>
      </c>
      <c r="M2036" t="n">
        <v>0.197</v>
      </c>
    </row>
    <row r="2037" spans="1:13">
      <c r="A2037" s="1">
        <f>HYPERLINK("http://www.twitter.com/NathanBLawrence/status/984047488482070529", "984047488482070529")</f>
        <v/>
      </c>
      <c r="B2037" s="2" t="n">
        <v>43201.52520833333</v>
      </c>
      <c r="C2037" t="n">
        <v>0</v>
      </c>
      <c r="D2037" t="n">
        <v>4</v>
      </c>
      <c r="E2037" t="s">
        <v>2043</v>
      </c>
      <c r="F2037" t="s"/>
      <c r="G2037" t="s"/>
      <c r="H2037" t="s"/>
      <c r="I2037" t="s"/>
      <c r="J2037" t="n">
        <v>0</v>
      </c>
      <c r="K2037" t="n">
        <v>0</v>
      </c>
      <c r="L2037" t="n">
        <v>1</v>
      </c>
      <c r="M2037" t="n">
        <v>0</v>
      </c>
    </row>
    <row r="2038" spans="1:13">
      <c r="A2038" s="1">
        <f>HYPERLINK("http://www.twitter.com/NathanBLawrence/status/984047462468997120", "984047462468997120")</f>
        <v/>
      </c>
      <c r="B2038" s="2" t="n">
        <v>43201.52513888889</v>
      </c>
      <c r="C2038" t="n">
        <v>0</v>
      </c>
      <c r="D2038" t="n">
        <v>4</v>
      </c>
      <c r="E2038" t="s">
        <v>2044</v>
      </c>
      <c r="F2038" t="s"/>
      <c r="G2038" t="s"/>
      <c r="H2038" t="s"/>
      <c r="I2038" t="s"/>
      <c r="J2038" t="n">
        <v>0</v>
      </c>
      <c r="K2038" t="n">
        <v>0</v>
      </c>
      <c r="L2038" t="n">
        <v>1</v>
      </c>
      <c r="M2038" t="n">
        <v>0</v>
      </c>
    </row>
    <row r="2039" spans="1:13">
      <c r="A2039" s="1">
        <f>HYPERLINK("http://www.twitter.com/NathanBLawrence/status/984047018665480193", "984047018665480193")</f>
        <v/>
      </c>
      <c r="B2039" s="2" t="n">
        <v>43201.52391203704</v>
      </c>
      <c r="C2039" t="n">
        <v>2</v>
      </c>
      <c r="D2039" t="n">
        <v>0</v>
      </c>
      <c r="E2039" t="s">
        <v>2045</v>
      </c>
      <c r="F2039" t="s"/>
      <c r="G2039" t="s"/>
      <c r="H2039" t="s"/>
      <c r="I2039" t="s"/>
      <c r="J2039" t="n">
        <v>-0.8270999999999999</v>
      </c>
      <c r="K2039" t="n">
        <v>0.339</v>
      </c>
      <c r="L2039" t="n">
        <v>0.661</v>
      </c>
      <c r="M2039" t="n">
        <v>0</v>
      </c>
    </row>
    <row r="2040" spans="1:13">
      <c r="A2040" s="1">
        <f>HYPERLINK("http://www.twitter.com/NathanBLawrence/status/984046992321138689", "984046992321138689")</f>
        <v/>
      </c>
      <c r="B2040" s="2" t="n">
        <v>43201.52384259259</v>
      </c>
      <c r="C2040" t="n">
        <v>1</v>
      </c>
      <c r="D2040" t="n">
        <v>0</v>
      </c>
      <c r="E2040" t="s">
        <v>2046</v>
      </c>
      <c r="F2040" t="s"/>
      <c r="G2040" t="s"/>
      <c r="H2040" t="s"/>
      <c r="I2040" t="s"/>
      <c r="J2040" t="n">
        <v>-0.296</v>
      </c>
      <c r="K2040" t="n">
        <v>0.058</v>
      </c>
      <c r="L2040" t="n">
        <v>0.9419999999999999</v>
      </c>
      <c r="M2040" t="n">
        <v>0</v>
      </c>
    </row>
    <row r="2041" spans="1:13">
      <c r="A2041" s="1">
        <f>HYPERLINK("http://www.twitter.com/NathanBLawrence/status/984046954941435904", "984046954941435904")</f>
        <v/>
      </c>
      <c r="B2041" s="2" t="n">
        <v>43201.52373842592</v>
      </c>
      <c r="C2041" t="n">
        <v>1</v>
      </c>
      <c r="D2041" t="n">
        <v>0</v>
      </c>
      <c r="E2041" t="s">
        <v>2047</v>
      </c>
      <c r="F2041" t="s"/>
      <c r="G2041" t="s"/>
      <c r="H2041" t="s"/>
      <c r="I2041" t="s"/>
      <c r="J2041" t="n">
        <v>-0.4404</v>
      </c>
      <c r="K2041" t="n">
        <v>0.06900000000000001</v>
      </c>
      <c r="L2041" t="n">
        <v>0.931</v>
      </c>
      <c r="M2041" t="n">
        <v>0</v>
      </c>
    </row>
    <row r="2042" spans="1:13">
      <c r="A2042" s="1">
        <f>HYPERLINK("http://www.twitter.com/NathanBLawrence/status/984039795981733891", "984039795981733891")</f>
        <v/>
      </c>
      <c r="B2042" s="2" t="n">
        <v>43201.50398148148</v>
      </c>
      <c r="C2042" t="n">
        <v>0</v>
      </c>
      <c r="D2042" t="n">
        <v>0</v>
      </c>
      <c r="E2042" t="s">
        <v>2048</v>
      </c>
      <c r="F2042" t="s"/>
      <c r="G2042" t="s"/>
      <c r="H2042" t="s"/>
      <c r="I2042" t="s"/>
      <c r="J2042" t="n">
        <v>0</v>
      </c>
      <c r="K2042" t="n">
        <v>0</v>
      </c>
      <c r="L2042" t="n">
        <v>1</v>
      </c>
      <c r="M2042" t="n">
        <v>0</v>
      </c>
    </row>
    <row r="2043" spans="1:13">
      <c r="A2043" s="1">
        <f>HYPERLINK("http://www.twitter.com/NathanBLawrence/status/984039607779188737", "984039607779188737")</f>
        <v/>
      </c>
      <c r="B2043" s="2" t="n">
        <v>43201.50346064815</v>
      </c>
      <c r="C2043" t="n">
        <v>0</v>
      </c>
      <c r="D2043" t="n">
        <v>1</v>
      </c>
      <c r="E2043" t="s">
        <v>2049</v>
      </c>
      <c r="F2043" t="s"/>
      <c r="G2043" t="s"/>
      <c r="H2043" t="s"/>
      <c r="I2043" t="s"/>
      <c r="J2043" t="n">
        <v>0</v>
      </c>
      <c r="K2043" t="n">
        <v>0</v>
      </c>
      <c r="L2043" t="n">
        <v>1</v>
      </c>
      <c r="M2043" t="n">
        <v>0</v>
      </c>
    </row>
    <row r="2044" spans="1:13">
      <c r="A2044" s="1">
        <f>HYPERLINK("http://www.twitter.com/NathanBLawrence/status/984039548131913729", "984039548131913729")</f>
        <v/>
      </c>
      <c r="B2044" s="2" t="n">
        <v>43201.50329861111</v>
      </c>
      <c r="C2044" t="n">
        <v>0</v>
      </c>
      <c r="D2044" t="n">
        <v>1</v>
      </c>
      <c r="E2044" t="s">
        <v>2050</v>
      </c>
      <c r="F2044" t="s"/>
      <c r="G2044" t="s"/>
      <c r="H2044" t="s"/>
      <c r="I2044" t="s"/>
      <c r="J2044" t="n">
        <v>0</v>
      </c>
      <c r="K2044" t="n">
        <v>0</v>
      </c>
      <c r="L2044" t="n">
        <v>1</v>
      </c>
      <c r="M2044" t="n">
        <v>0</v>
      </c>
    </row>
    <row r="2045" spans="1:13">
      <c r="A2045" s="1">
        <f>HYPERLINK("http://www.twitter.com/NathanBLawrence/status/984037360907313152", "984037360907313152")</f>
        <v/>
      </c>
      <c r="B2045" s="2" t="n">
        <v>43201.49726851852</v>
      </c>
      <c r="C2045" t="n">
        <v>0</v>
      </c>
      <c r="D2045" t="n">
        <v>5</v>
      </c>
      <c r="E2045" t="s">
        <v>2051</v>
      </c>
      <c r="F2045">
        <f>HYPERLINK("http://pbs.twimg.com/media/Daf_hB-WAAEKzav.jpg", "http://pbs.twimg.com/media/Daf_hB-WAAEKzav.jpg")</f>
        <v/>
      </c>
      <c r="G2045">
        <f>HYPERLINK("http://pbs.twimg.com/media/Daf_h-zWkAAHyo4.jpg", "http://pbs.twimg.com/media/Daf_h-zWkAAHyo4.jpg")</f>
        <v/>
      </c>
      <c r="H2045">
        <f>HYPERLINK("http://pbs.twimg.com/media/Daf_ixPX0AENWOx.jpg", "http://pbs.twimg.com/media/Daf_ixPX0AENWOx.jpg")</f>
        <v/>
      </c>
      <c r="I2045" t="s"/>
      <c r="J2045" t="n">
        <v>0.4019</v>
      </c>
      <c r="K2045" t="n">
        <v>0</v>
      </c>
      <c r="L2045" t="n">
        <v>0.828</v>
      </c>
      <c r="M2045" t="n">
        <v>0.172</v>
      </c>
    </row>
    <row r="2046" spans="1:13">
      <c r="A2046" s="1">
        <f>HYPERLINK("http://www.twitter.com/NathanBLawrence/status/984037277742567425", "984037277742567425")</f>
        <v/>
      </c>
      <c r="B2046" s="2" t="n">
        <v>43201.49703703704</v>
      </c>
      <c r="C2046" t="n">
        <v>5</v>
      </c>
      <c r="D2046" t="n">
        <v>5</v>
      </c>
      <c r="E2046" t="s">
        <v>2052</v>
      </c>
      <c r="F2046">
        <f>HYPERLINK("http://pbs.twimg.com/media/Daf_hB-WAAEKzav.jpg", "http://pbs.twimg.com/media/Daf_hB-WAAEKzav.jpg")</f>
        <v/>
      </c>
      <c r="G2046">
        <f>HYPERLINK("http://pbs.twimg.com/media/Daf_h-zWkAAHyo4.jpg", "http://pbs.twimg.com/media/Daf_h-zWkAAHyo4.jpg")</f>
        <v/>
      </c>
      <c r="H2046">
        <f>HYPERLINK("http://pbs.twimg.com/media/Daf_ixPX0AENWOx.jpg", "http://pbs.twimg.com/media/Daf_ixPX0AENWOx.jpg")</f>
        <v/>
      </c>
      <c r="I2046" t="s"/>
      <c r="J2046" t="n">
        <v>0.4019</v>
      </c>
      <c r="K2046" t="n">
        <v>0</v>
      </c>
      <c r="L2046" t="n">
        <v>0.886</v>
      </c>
      <c r="M2046" t="n">
        <v>0.114</v>
      </c>
    </row>
    <row r="2047" spans="1:13">
      <c r="A2047" s="1">
        <f>HYPERLINK("http://www.twitter.com/NathanBLawrence/status/984023430868676608", "984023430868676608")</f>
        <v/>
      </c>
      <c r="B2047" s="2" t="n">
        <v>43201.45881944444</v>
      </c>
      <c r="C2047" t="n">
        <v>1</v>
      </c>
      <c r="D2047" t="n">
        <v>1</v>
      </c>
      <c r="E2047" t="s">
        <v>2053</v>
      </c>
      <c r="F2047" t="s"/>
      <c r="G2047" t="s"/>
      <c r="H2047" t="s"/>
      <c r="I2047" t="s"/>
      <c r="J2047" t="n">
        <v>0</v>
      </c>
      <c r="K2047" t="n">
        <v>0</v>
      </c>
      <c r="L2047" t="n">
        <v>1</v>
      </c>
      <c r="M2047" t="n">
        <v>0</v>
      </c>
    </row>
    <row r="2048" spans="1:13">
      <c r="A2048" s="1">
        <f>HYPERLINK("http://www.twitter.com/NathanBLawrence/status/984022649046216710", "984022649046216710")</f>
        <v/>
      </c>
      <c r="B2048" s="2" t="n">
        <v>43201.45666666667</v>
      </c>
      <c r="C2048" t="n">
        <v>1</v>
      </c>
      <c r="D2048" t="n">
        <v>1</v>
      </c>
      <c r="E2048" t="s">
        <v>2054</v>
      </c>
      <c r="F2048" t="s"/>
      <c r="G2048" t="s"/>
      <c r="H2048" t="s"/>
      <c r="I2048" t="s"/>
      <c r="J2048" t="n">
        <v>0.4329</v>
      </c>
      <c r="K2048" t="n">
        <v>0</v>
      </c>
      <c r="L2048" t="n">
        <v>0.897</v>
      </c>
      <c r="M2048" t="n">
        <v>0.103</v>
      </c>
    </row>
    <row r="2049" spans="1:13">
      <c r="A2049" s="1">
        <f>HYPERLINK("http://www.twitter.com/NathanBLawrence/status/983991399048794113", "983991399048794113")</f>
        <v/>
      </c>
      <c r="B2049" s="2" t="n">
        <v>43201.37042824074</v>
      </c>
      <c r="C2049" t="n">
        <v>0</v>
      </c>
      <c r="D2049" t="n">
        <v>1</v>
      </c>
      <c r="E2049" t="s">
        <v>2055</v>
      </c>
      <c r="F2049" t="s"/>
      <c r="G2049" t="s"/>
      <c r="H2049" t="s"/>
      <c r="I2049" t="s"/>
      <c r="J2049" t="n">
        <v>-0.6486</v>
      </c>
      <c r="K2049" t="n">
        <v>0.158</v>
      </c>
      <c r="L2049" t="n">
        <v>0.842</v>
      </c>
      <c r="M2049" t="n">
        <v>0</v>
      </c>
    </row>
    <row r="2050" spans="1:13">
      <c r="A2050" s="1">
        <f>HYPERLINK("http://www.twitter.com/NathanBLawrence/status/983987910654521351", "983987910654521351")</f>
        <v/>
      </c>
      <c r="B2050" s="2" t="n">
        <v>43201.36081018519</v>
      </c>
      <c r="C2050" t="n">
        <v>0</v>
      </c>
      <c r="D2050" t="n">
        <v>1</v>
      </c>
      <c r="E2050" t="s">
        <v>2056</v>
      </c>
      <c r="F2050" t="s"/>
      <c r="G2050" t="s"/>
      <c r="H2050" t="s"/>
      <c r="I2050" t="s"/>
      <c r="J2050" t="n">
        <v>-0.7783</v>
      </c>
      <c r="K2050" t="n">
        <v>0.207</v>
      </c>
      <c r="L2050" t="n">
        <v>0.793</v>
      </c>
      <c r="M2050" t="n">
        <v>0</v>
      </c>
    </row>
    <row r="2051" spans="1:13">
      <c r="A2051" s="1">
        <f>HYPERLINK("http://www.twitter.com/NathanBLawrence/status/983972827543072770", "983972827543072770")</f>
        <v/>
      </c>
      <c r="B2051" s="2" t="n">
        <v>43201.31918981481</v>
      </c>
      <c r="C2051" t="n">
        <v>0</v>
      </c>
      <c r="D2051" t="n">
        <v>0</v>
      </c>
      <c r="E2051" t="s">
        <v>2057</v>
      </c>
      <c r="F2051" t="s"/>
      <c r="G2051" t="s"/>
      <c r="H2051" t="s"/>
      <c r="I2051" t="s"/>
      <c r="J2051" t="n">
        <v>-0.2617</v>
      </c>
      <c r="K2051" t="n">
        <v>0.186</v>
      </c>
      <c r="L2051" t="n">
        <v>0.8139999999999999</v>
      </c>
      <c r="M2051" t="n">
        <v>0</v>
      </c>
    </row>
    <row r="2052" spans="1:13">
      <c r="A2052" s="1">
        <f>HYPERLINK("http://www.twitter.com/NathanBLawrence/status/983972138691461121", "983972138691461121")</f>
        <v/>
      </c>
      <c r="B2052" s="2" t="n">
        <v>43201.31728009259</v>
      </c>
      <c r="C2052" t="n">
        <v>0</v>
      </c>
      <c r="D2052" t="n">
        <v>0</v>
      </c>
      <c r="E2052" t="s">
        <v>2058</v>
      </c>
      <c r="F2052" t="s"/>
      <c r="G2052" t="s"/>
      <c r="H2052" t="s"/>
      <c r="I2052" t="s"/>
      <c r="J2052" t="n">
        <v>0</v>
      </c>
      <c r="K2052" t="n">
        <v>0</v>
      </c>
      <c r="L2052" t="n">
        <v>1</v>
      </c>
      <c r="M2052" t="n">
        <v>0</v>
      </c>
    </row>
    <row r="2053" spans="1:13">
      <c r="A2053" s="1">
        <f>HYPERLINK("http://www.twitter.com/NathanBLawrence/status/983972086338195456", "983972086338195456")</f>
        <v/>
      </c>
      <c r="B2053" s="2" t="n">
        <v>43201.3171412037</v>
      </c>
      <c r="C2053" t="n">
        <v>0</v>
      </c>
      <c r="D2053" t="n">
        <v>0</v>
      </c>
      <c r="E2053" t="s">
        <v>2058</v>
      </c>
      <c r="F2053" t="s"/>
      <c r="G2053" t="s"/>
      <c r="H2053" t="s"/>
      <c r="I2053" t="s"/>
      <c r="J2053" t="n">
        <v>0</v>
      </c>
      <c r="K2053" t="n">
        <v>0</v>
      </c>
      <c r="L2053" t="n">
        <v>1</v>
      </c>
      <c r="M2053" t="n">
        <v>0</v>
      </c>
    </row>
    <row r="2054" spans="1:13">
      <c r="A2054" s="1">
        <f>HYPERLINK("http://www.twitter.com/NathanBLawrence/status/983971499408265217", "983971499408265217")</f>
        <v/>
      </c>
      <c r="B2054" s="2" t="n">
        <v>43201.31552083333</v>
      </c>
      <c r="C2054" t="n">
        <v>0</v>
      </c>
      <c r="D2054" t="n">
        <v>0</v>
      </c>
      <c r="E2054" t="s">
        <v>2059</v>
      </c>
      <c r="F2054" t="s"/>
      <c r="G2054" t="s"/>
      <c r="H2054" t="s"/>
      <c r="I2054" t="s"/>
      <c r="J2054" t="n">
        <v>0</v>
      </c>
      <c r="K2054" t="n">
        <v>0</v>
      </c>
      <c r="L2054" t="n">
        <v>1</v>
      </c>
      <c r="M2054" t="n">
        <v>0</v>
      </c>
    </row>
    <row r="2055" spans="1:13">
      <c r="A2055" s="1">
        <f>HYPERLINK("http://www.twitter.com/NathanBLawrence/status/983970950973722624", "983970950973722624")</f>
        <v/>
      </c>
      <c r="B2055" s="2" t="n">
        <v>43201.31400462963</v>
      </c>
      <c r="C2055" t="n">
        <v>0</v>
      </c>
      <c r="D2055" t="n">
        <v>1</v>
      </c>
      <c r="E2055" t="s">
        <v>2060</v>
      </c>
      <c r="F2055" t="s"/>
      <c r="G2055" t="s"/>
      <c r="H2055" t="s"/>
      <c r="I2055" t="s"/>
      <c r="J2055" t="n">
        <v>0</v>
      </c>
      <c r="K2055" t="n">
        <v>0</v>
      </c>
      <c r="L2055" t="n">
        <v>1</v>
      </c>
      <c r="M2055" t="n">
        <v>0</v>
      </c>
    </row>
    <row r="2056" spans="1:13">
      <c r="A2056" s="1">
        <f>HYPERLINK("http://www.twitter.com/NathanBLawrence/status/983970915687043074", "983970915687043074")</f>
        <v/>
      </c>
      <c r="B2056" s="2" t="n">
        <v>43201.31391203704</v>
      </c>
      <c r="C2056" t="n">
        <v>0</v>
      </c>
      <c r="D2056" t="n">
        <v>1</v>
      </c>
      <c r="E2056" t="s">
        <v>2061</v>
      </c>
      <c r="F2056" t="s"/>
      <c r="G2056" t="s"/>
      <c r="H2056" t="s"/>
      <c r="I2056" t="s"/>
      <c r="J2056" t="n">
        <v>0</v>
      </c>
      <c r="K2056" t="n">
        <v>0</v>
      </c>
      <c r="L2056" t="n">
        <v>1</v>
      </c>
      <c r="M2056" t="n">
        <v>0</v>
      </c>
    </row>
    <row r="2057" spans="1:13">
      <c r="A2057" s="1">
        <f>HYPERLINK("http://www.twitter.com/NathanBLawrence/status/983968217159921669", "983968217159921669")</f>
        <v/>
      </c>
      <c r="B2057" s="2" t="n">
        <v>43201.30645833333</v>
      </c>
      <c r="C2057" t="n">
        <v>0</v>
      </c>
      <c r="D2057" t="n">
        <v>1</v>
      </c>
      <c r="E2057" t="s">
        <v>2062</v>
      </c>
      <c r="F2057" t="s"/>
      <c r="G2057" t="s"/>
      <c r="H2057" t="s"/>
      <c r="I2057" t="s"/>
      <c r="J2057" t="n">
        <v>0</v>
      </c>
      <c r="K2057" t="n">
        <v>0</v>
      </c>
      <c r="L2057" t="n">
        <v>1</v>
      </c>
      <c r="M2057" t="n">
        <v>0</v>
      </c>
    </row>
    <row r="2058" spans="1:13">
      <c r="A2058" s="1">
        <f>HYPERLINK("http://www.twitter.com/NathanBLawrence/status/983968168145313792", "983968168145313792")</f>
        <v/>
      </c>
      <c r="B2058" s="2" t="n">
        <v>43201.30633101852</v>
      </c>
      <c r="C2058" t="n">
        <v>0</v>
      </c>
      <c r="D2058" t="n">
        <v>1</v>
      </c>
      <c r="E2058" t="s">
        <v>2063</v>
      </c>
      <c r="F2058" t="s"/>
      <c r="G2058" t="s"/>
      <c r="H2058" t="s"/>
      <c r="I2058" t="s"/>
      <c r="J2058" t="n">
        <v>0</v>
      </c>
      <c r="K2058" t="n">
        <v>0</v>
      </c>
      <c r="L2058" t="n">
        <v>1</v>
      </c>
      <c r="M2058" t="n">
        <v>0</v>
      </c>
    </row>
    <row r="2059" spans="1:13">
      <c r="A2059" s="1">
        <f>HYPERLINK("http://www.twitter.com/NathanBLawrence/status/983966624754659328", "983966624754659328")</f>
        <v/>
      </c>
      <c r="B2059" s="2" t="n">
        <v>43201.30207175926</v>
      </c>
      <c r="C2059" t="n">
        <v>0</v>
      </c>
      <c r="D2059" t="n">
        <v>7</v>
      </c>
      <c r="E2059" t="s">
        <v>2051</v>
      </c>
      <c r="F2059">
        <f>HYPERLINK("http://pbs.twimg.com/media/Dae-wnkWAAAipXV.jpg", "http://pbs.twimg.com/media/Dae-wnkWAAAipXV.jpg")</f>
        <v/>
      </c>
      <c r="G2059">
        <f>HYPERLINK("http://pbs.twimg.com/media/Dae-xx0X0AAZlsX.jpg", "http://pbs.twimg.com/media/Dae-xx0X0AAZlsX.jpg")</f>
        <v/>
      </c>
      <c r="H2059">
        <f>HYPERLINK("http://pbs.twimg.com/media/Dae-y37WsAA7qA4.jpg", "http://pbs.twimg.com/media/Dae-y37WsAA7qA4.jpg")</f>
        <v/>
      </c>
      <c r="I2059" t="s"/>
      <c r="J2059" t="n">
        <v>0.4019</v>
      </c>
      <c r="K2059" t="n">
        <v>0</v>
      </c>
      <c r="L2059" t="n">
        <v>0.828</v>
      </c>
      <c r="M2059" t="n">
        <v>0.172</v>
      </c>
    </row>
    <row r="2060" spans="1:13">
      <c r="A2060" s="1">
        <f>HYPERLINK("http://www.twitter.com/NathanBLawrence/status/983966465442369541", "983966465442369541")</f>
        <v/>
      </c>
      <c r="B2060" s="2" t="n">
        <v>43201.30163194444</v>
      </c>
      <c r="C2060" t="n">
        <v>10</v>
      </c>
      <c r="D2060" t="n">
        <v>7</v>
      </c>
      <c r="E2060" t="s">
        <v>2064</v>
      </c>
      <c r="F2060">
        <f>HYPERLINK("http://pbs.twimg.com/media/Dae-wnkWAAAipXV.jpg", "http://pbs.twimg.com/media/Dae-wnkWAAAipXV.jpg")</f>
        <v/>
      </c>
      <c r="G2060">
        <f>HYPERLINK("http://pbs.twimg.com/media/Dae-xx0X0AAZlsX.jpg", "http://pbs.twimg.com/media/Dae-xx0X0AAZlsX.jpg")</f>
        <v/>
      </c>
      <c r="H2060">
        <f>HYPERLINK("http://pbs.twimg.com/media/Dae-y37WsAA7qA4.jpg", "http://pbs.twimg.com/media/Dae-y37WsAA7qA4.jpg")</f>
        <v/>
      </c>
      <c r="I2060" t="s"/>
      <c r="J2060" t="n">
        <v>0.4019</v>
      </c>
      <c r="K2060" t="n">
        <v>0</v>
      </c>
      <c r="L2060" t="n">
        <v>0.87</v>
      </c>
      <c r="M2060" t="n">
        <v>0.13</v>
      </c>
    </row>
    <row r="2061" spans="1:13">
      <c r="A2061" s="1">
        <f>HYPERLINK("http://www.twitter.com/NathanBLawrence/status/983956644144078848", "983956644144078848")</f>
        <v/>
      </c>
      <c r="B2061" s="2" t="n">
        <v>43201.27452546296</v>
      </c>
      <c r="C2061" t="n">
        <v>0</v>
      </c>
      <c r="D2061" t="n">
        <v>6</v>
      </c>
      <c r="E2061" t="s">
        <v>2065</v>
      </c>
      <c r="F2061" t="s"/>
      <c r="G2061" t="s"/>
      <c r="H2061" t="s"/>
      <c r="I2061" t="s"/>
      <c r="J2061" t="n">
        <v>-0.6369</v>
      </c>
      <c r="K2061" t="n">
        <v>0.245</v>
      </c>
      <c r="L2061" t="n">
        <v>0.755</v>
      </c>
      <c r="M2061" t="n">
        <v>0</v>
      </c>
    </row>
    <row r="2062" spans="1:13">
      <c r="A2062" s="1">
        <f>HYPERLINK("http://www.twitter.com/NathanBLawrence/status/983956112125947904", "983956112125947904")</f>
        <v/>
      </c>
      <c r="B2062" s="2" t="n">
        <v>43201.27305555555</v>
      </c>
      <c r="C2062" t="n">
        <v>0</v>
      </c>
      <c r="D2062" t="n">
        <v>4</v>
      </c>
      <c r="E2062" t="s">
        <v>2066</v>
      </c>
      <c r="F2062" t="s"/>
      <c r="G2062" t="s"/>
      <c r="H2062" t="s"/>
      <c r="I2062" t="s"/>
      <c r="J2062" t="n">
        <v>0</v>
      </c>
      <c r="K2062" t="n">
        <v>0</v>
      </c>
      <c r="L2062" t="n">
        <v>1</v>
      </c>
      <c r="M2062" t="n">
        <v>0</v>
      </c>
    </row>
    <row r="2063" spans="1:13">
      <c r="A2063" s="1">
        <f>HYPERLINK("http://www.twitter.com/NathanBLawrence/status/983908799307223041", "983908799307223041")</f>
        <v/>
      </c>
      <c r="B2063" s="2" t="n">
        <v>43201.1425</v>
      </c>
      <c r="C2063" t="n">
        <v>0</v>
      </c>
      <c r="D2063" t="n">
        <v>1</v>
      </c>
      <c r="E2063" t="s">
        <v>2067</v>
      </c>
      <c r="F2063" t="s"/>
      <c r="G2063" t="s"/>
      <c r="H2063" t="s"/>
      <c r="I2063" t="s"/>
      <c r="J2063" t="n">
        <v>-0.68</v>
      </c>
      <c r="K2063" t="n">
        <v>0.247</v>
      </c>
      <c r="L2063" t="n">
        <v>0.753</v>
      </c>
      <c r="M2063" t="n">
        <v>0</v>
      </c>
    </row>
    <row r="2064" spans="1:13">
      <c r="A2064" s="1">
        <f>HYPERLINK("http://www.twitter.com/NathanBLawrence/status/983908782496509952", "983908782496509952")</f>
        <v/>
      </c>
      <c r="B2064" s="2" t="n">
        <v>43201.1424537037</v>
      </c>
      <c r="C2064" t="n">
        <v>2</v>
      </c>
      <c r="D2064" t="n">
        <v>1</v>
      </c>
      <c r="E2064" t="s">
        <v>2068</v>
      </c>
      <c r="F2064" t="s"/>
      <c r="G2064" t="s"/>
      <c r="H2064" t="s"/>
      <c r="I2064" t="s"/>
      <c r="J2064" t="n">
        <v>-0.68</v>
      </c>
      <c r="K2064" t="n">
        <v>0.277</v>
      </c>
      <c r="L2064" t="n">
        <v>0.723</v>
      </c>
      <c r="M2064" t="n">
        <v>0</v>
      </c>
    </row>
    <row r="2065" spans="1:13">
      <c r="A2065" s="1">
        <f>HYPERLINK("http://www.twitter.com/NathanBLawrence/status/983907270546411521", "983907270546411521")</f>
        <v/>
      </c>
      <c r="B2065" s="2" t="n">
        <v>43201.13828703704</v>
      </c>
      <c r="C2065" t="n">
        <v>0</v>
      </c>
      <c r="D2065" t="n">
        <v>1</v>
      </c>
      <c r="E2065" t="s">
        <v>2069</v>
      </c>
      <c r="F2065" t="s"/>
      <c r="G2065" t="s"/>
      <c r="H2065" t="s"/>
      <c r="I2065" t="s"/>
      <c r="J2065" t="n">
        <v>-0.296</v>
      </c>
      <c r="K2065" t="n">
        <v>0.091</v>
      </c>
      <c r="L2065" t="n">
        <v>0.909</v>
      </c>
      <c r="M2065" t="n">
        <v>0</v>
      </c>
    </row>
    <row r="2066" spans="1:13">
      <c r="A2066" s="1">
        <f>HYPERLINK("http://www.twitter.com/NathanBLawrence/status/983907197104132096", "983907197104132096")</f>
        <v/>
      </c>
      <c r="B2066" s="2" t="n">
        <v>43201.13807870371</v>
      </c>
      <c r="C2066" t="n">
        <v>0</v>
      </c>
      <c r="D2066" t="n">
        <v>1</v>
      </c>
      <c r="E2066" t="s">
        <v>2070</v>
      </c>
      <c r="F2066" t="s"/>
      <c r="G2066" t="s"/>
      <c r="H2066" t="s"/>
      <c r="I2066" t="s"/>
      <c r="J2066" t="n">
        <v>-0.296</v>
      </c>
      <c r="K2066" t="n">
        <v>0.099</v>
      </c>
      <c r="L2066" t="n">
        <v>0.901</v>
      </c>
      <c r="M2066" t="n">
        <v>0</v>
      </c>
    </row>
    <row r="2067" spans="1:13">
      <c r="A2067" s="1">
        <f>HYPERLINK("http://www.twitter.com/NathanBLawrence/status/983905651255586817", "983905651255586817")</f>
        <v/>
      </c>
      <c r="B2067" s="2" t="n">
        <v>43201.13380787037</v>
      </c>
      <c r="C2067" t="n">
        <v>0</v>
      </c>
      <c r="D2067" t="n">
        <v>0</v>
      </c>
      <c r="E2067" t="s">
        <v>2071</v>
      </c>
      <c r="F2067" t="s"/>
      <c r="G2067" t="s"/>
      <c r="H2067" t="s"/>
      <c r="I2067" t="s"/>
      <c r="J2067" t="n">
        <v>0</v>
      </c>
      <c r="K2067" t="n">
        <v>0</v>
      </c>
      <c r="L2067" t="n">
        <v>1</v>
      </c>
      <c r="M2067" t="n">
        <v>0</v>
      </c>
    </row>
    <row r="2068" spans="1:13">
      <c r="A2068" s="1">
        <f>HYPERLINK("http://www.twitter.com/NathanBLawrence/status/983904507489849344", "983904507489849344")</f>
        <v/>
      </c>
      <c r="B2068" s="2" t="n">
        <v>43201.13065972222</v>
      </c>
      <c r="C2068" t="n">
        <v>0</v>
      </c>
      <c r="D2068" t="n">
        <v>4</v>
      </c>
      <c r="E2068" t="s">
        <v>2072</v>
      </c>
      <c r="F2068">
        <f>HYPERLINK("http://pbs.twimg.com/media/DaeH5HiWsAAz7Hj.jpg", "http://pbs.twimg.com/media/DaeH5HiWsAAz7Hj.jpg")</f>
        <v/>
      </c>
      <c r="G2068" t="s"/>
      <c r="H2068" t="s"/>
      <c r="I2068" t="s"/>
      <c r="J2068" t="n">
        <v>0.743</v>
      </c>
      <c r="K2068" t="n">
        <v>0</v>
      </c>
      <c r="L2068" t="n">
        <v>0.799</v>
      </c>
      <c r="M2068" t="n">
        <v>0.201</v>
      </c>
    </row>
    <row r="2069" spans="1:13">
      <c r="A2069" s="1">
        <f>HYPERLINK("http://www.twitter.com/NathanBLawrence/status/983904488649052162", "983904488649052162")</f>
        <v/>
      </c>
      <c r="B2069" s="2" t="n">
        <v>43201.13060185185</v>
      </c>
      <c r="C2069" t="n">
        <v>1</v>
      </c>
      <c r="D2069" t="n">
        <v>4</v>
      </c>
      <c r="E2069" t="s">
        <v>2073</v>
      </c>
      <c r="F2069">
        <f>HYPERLINK("http://pbs.twimg.com/media/DaeH5HiWsAAz7Hj.jpg", "http://pbs.twimg.com/media/DaeH5HiWsAAz7Hj.jpg")</f>
        <v/>
      </c>
      <c r="G2069" t="s"/>
      <c r="H2069" t="s"/>
      <c r="I2069" t="s"/>
      <c r="J2069" t="n">
        <v>0.743</v>
      </c>
      <c r="K2069" t="n">
        <v>0</v>
      </c>
      <c r="L2069" t="n">
        <v>0.8159999999999999</v>
      </c>
      <c r="M2069" t="n">
        <v>0.184</v>
      </c>
    </row>
    <row r="2070" spans="1:13">
      <c r="A2070" s="1">
        <f>HYPERLINK("http://www.twitter.com/NathanBLawrence/status/983903757745426432", "983903757745426432")</f>
        <v/>
      </c>
      <c r="B2070" s="2" t="n">
        <v>43201.12858796296</v>
      </c>
      <c r="C2070" t="n">
        <v>0</v>
      </c>
      <c r="D2070" t="n">
        <v>2</v>
      </c>
      <c r="E2070" t="s">
        <v>2074</v>
      </c>
      <c r="F2070" t="s"/>
      <c r="G2070" t="s"/>
      <c r="H2070" t="s"/>
      <c r="I2070" t="s"/>
      <c r="J2070" t="n">
        <v>-0.5994</v>
      </c>
      <c r="K2070" t="n">
        <v>0.353</v>
      </c>
      <c r="L2070" t="n">
        <v>0.647</v>
      </c>
      <c r="M2070" t="n">
        <v>0</v>
      </c>
    </row>
    <row r="2071" spans="1:13">
      <c r="A2071" s="1">
        <f>HYPERLINK("http://www.twitter.com/NathanBLawrence/status/983903715722760192", "983903715722760192")</f>
        <v/>
      </c>
      <c r="B2071" s="2" t="n">
        <v>43201.12847222222</v>
      </c>
      <c r="C2071" t="n">
        <v>0</v>
      </c>
      <c r="D2071" t="n">
        <v>0</v>
      </c>
      <c r="E2071" t="s">
        <v>2075</v>
      </c>
      <c r="F2071" t="s"/>
      <c r="G2071" t="s"/>
      <c r="H2071" t="s"/>
      <c r="I2071" t="s"/>
      <c r="J2071" t="n">
        <v>0</v>
      </c>
      <c r="K2071" t="n">
        <v>0</v>
      </c>
      <c r="L2071" t="n">
        <v>1</v>
      </c>
      <c r="M2071" t="n">
        <v>0</v>
      </c>
    </row>
    <row r="2072" spans="1:13">
      <c r="A2072" s="1">
        <f>HYPERLINK("http://www.twitter.com/NathanBLawrence/status/983901930853425152", "983901930853425152")</f>
        <v/>
      </c>
      <c r="B2072" s="2" t="n">
        <v>43201.12354166667</v>
      </c>
      <c r="C2072" t="n">
        <v>0</v>
      </c>
      <c r="D2072" t="n">
        <v>1</v>
      </c>
      <c r="E2072" t="s">
        <v>2076</v>
      </c>
      <c r="F2072" t="s"/>
      <c r="G2072" t="s"/>
      <c r="H2072" t="s"/>
      <c r="I2072" t="s"/>
      <c r="J2072" t="n">
        <v>0.1513</v>
      </c>
      <c r="K2072" t="n">
        <v>0</v>
      </c>
      <c r="L2072" t="n">
        <v>0.891</v>
      </c>
      <c r="M2072" t="n">
        <v>0.109</v>
      </c>
    </row>
    <row r="2073" spans="1:13">
      <c r="A2073" s="1">
        <f>HYPERLINK("http://www.twitter.com/NathanBLawrence/status/983900490516791296", "983900490516791296")</f>
        <v/>
      </c>
      <c r="B2073" s="2" t="n">
        <v>43201.11957175926</v>
      </c>
      <c r="C2073" t="n">
        <v>1</v>
      </c>
      <c r="D2073" t="n">
        <v>1</v>
      </c>
      <c r="E2073" t="s">
        <v>2077</v>
      </c>
      <c r="F2073" t="s"/>
      <c r="G2073" t="s"/>
      <c r="H2073" t="s"/>
      <c r="I2073" t="s"/>
      <c r="J2073" t="n">
        <v>0.1513</v>
      </c>
      <c r="K2073" t="n">
        <v>0</v>
      </c>
      <c r="L2073" t="n">
        <v>0.874</v>
      </c>
      <c r="M2073" t="n">
        <v>0.126</v>
      </c>
    </row>
    <row r="2074" spans="1:13">
      <c r="A2074" s="1">
        <f>HYPERLINK("http://www.twitter.com/NathanBLawrence/status/983899713555632128", "983899713555632128")</f>
        <v/>
      </c>
      <c r="B2074" s="2" t="n">
        <v>43201.11743055555</v>
      </c>
      <c r="C2074" t="n">
        <v>0</v>
      </c>
      <c r="D2074" t="n">
        <v>0</v>
      </c>
      <c r="E2074" t="s">
        <v>2078</v>
      </c>
      <c r="F2074" t="s"/>
      <c r="G2074" t="s"/>
      <c r="H2074" t="s"/>
      <c r="I2074" t="s"/>
      <c r="J2074" t="n">
        <v>-0.296</v>
      </c>
      <c r="K2074" t="n">
        <v>0.099</v>
      </c>
      <c r="L2074" t="n">
        <v>0.901</v>
      </c>
      <c r="M2074" t="n">
        <v>0</v>
      </c>
    </row>
    <row r="2075" spans="1:13">
      <c r="A2075" s="1">
        <f>HYPERLINK("http://www.twitter.com/NathanBLawrence/status/983899437595586560", "983899437595586560")</f>
        <v/>
      </c>
      <c r="B2075" s="2" t="n">
        <v>43201.11666666667</v>
      </c>
      <c r="C2075" t="n">
        <v>0</v>
      </c>
      <c r="D2075" t="n">
        <v>1</v>
      </c>
      <c r="E2075" t="s">
        <v>2079</v>
      </c>
      <c r="F2075" t="s"/>
      <c r="G2075" t="s"/>
      <c r="H2075" t="s"/>
      <c r="I2075" t="s"/>
      <c r="J2075" t="n">
        <v>0</v>
      </c>
      <c r="K2075" t="n">
        <v>0</v>
      </c>
      <c r="L2075" t="n">
        <v>1</v>
      </c>
      <c r="M2075" t="n">
        <v>0</v>
      </c>
    </row>
    <row r="2076" spans="1:13">
      <c r="A2076" s="1">
        <f>HYPERLINK("http://www.twitter.com/NathanBLawrence/status/983899393295310848", "983899393295310848")</f>
        <v/>
      </c>
      <c r="B2076" s="2" t="n">
        <v>43201.11653935185</v>
      </c>
      <c r="C2076" t="n">
        <v>0</v>
      </c>
      <c r="D2076" t="n">
        <v>1</v>
      </c>
      <c r="E2076" t="s">
        <v>2080</v>
      </c>
      <c r="F2076" t="s"/>
      <c r="G2076" t="s"/>
      <c r="H2076" t="s"/>
      <c r="I2076" t="s"/>
      <c r="J2076" t="n">
        <v>0</v>
      </c>
      <c r="K2076" t="n">
        <v>0</v>
      </c>
      <c r="L2076" t="n">
        <v>1</v>
      </c>
      <c r="M2076" t="n">
        <v>0</v>
      </c>
    </row>
    <row r="2077" spans="1:13">
      <c r="A2077" s="1">
        <f>HYPERLINK("http://www.twitter.com/NathanBLawrence/status/983898636135403520", "983898636135403520")</f>
        <v/>
      </c>
      <c r="B2077" s="2" t="n">
        <v>43201.11445601852</v>
      </c>
      <c r="C2077" t="n">
        <v>0</v>
      </c>
      <c r="D2077" t="n">
        <v>0</v>
      </c>
      <c r="E2077" t="s">
        <v>2081</v>
      </c>
      <c r="F2077" t="s"/>
      <c r="G2077" t="s"/>
      <c r="H2077" t="s"/>
      <c r="I2077" t="s"/>
      <c r="J2077" t="n">
        <v>0</v>
      </c>
      <c r="K2077" t="n">
        <v>0</v>
      </c>
      <c r="L2077" t="n">
        <v>1</v>
      </c>
      <c r="M2077" t="n">
        <v>0</v>
      </c>
    </row>
    <row r="2078" spans="1:13">
      <c r="A2078" s="1">
        <f>HYPERLINK("http://www.twitter.com/NathanBLawrence/status/983898172618625024", "983898172618625024")</f>
        <v/>
      </c>
      <c r="B2078" s="2" t="n">
        <v>43201.1131712963</v>
      </c>
      <c r="C2078" t="n">
        <v>1</v>
      </c>
      <c r="D2078" t="n">
        <v>0</v>
      </c>
      <c r="E2078" t="s">
        <v>2082</v>
      </c>
      <c r="F2078" t="s"/>
      <c r="G2078" t="s"/>
      <c r="H2078" t="s"/>
      <c r="I2078" t="s"/>
      <c r="J2078" t="n">
        <v>0.5334</v>
      </c>
      <c r="K2078" t="n">
        <v>0</v>
      </c>
      <c r="L2078" t="n">
        <v>0.744</v>
      </c>
      <c r="M2078" t="n">
        <v>0.256</v>
      </c>
    </row>
    <row r="2079" spans="1:13">
      <c r="A2079" s="1">
        <f>HYPERLINK("http://www.twitter.com/NathanBLawrence/status/983897857127305217", "983897857127305217")</f>
        <v/>
      </c>
      <c r="B2079" s="2" t="n">
        <v>43201.11230324074</v>
      </c>
      <c r="C2079" t="n">
        <v>0</v>
      </c>
      <c r="D2079" t="n">
        <v>1</v>
      </c>
      <c r="E2079" t="s">
        <v>2083</v>
      </c>
      <c r="F2079" t="s"/>
      <c r="G2079" t="s"/>
      <c r="H2079" t="s"/>
      <c r="I2079" t="s"/>
      <c r="J2079" t="n">
        <v>0</v>
      </c>
      <c r="K2079" t="n">
        <v>0</v>
      </c>
      <c r="L2079" t="n">
        <v>1</v>
      </c>
      <c r="M2079" t="n">
        <v>0</v>
      </c>
    </row>
    <row r="2080" spans="1:13">
      <c r="A2080" s="1">
        <f>HYPERLINK("http://www.twitter.com/NathanBLawrence/status/983892273984364544", "983892273984364544")</f>
        <v/>
      </c>
      <c r="B2080" s="2" t="n">
        <v>43201.09689814815</v>
      </c>
      <c r="C2080" t="n">
        <v>2</v>
      </c>
      <c r="D2080" t="n">
        <v>0</v>
      </c>
      <c r="E2080" t="s">
        <v>2084</v>
      </c>
      <c r="F2080" t="s"/>
      <c r="G2080" t="s"/>
      <c r="H2080" t="s"/>
      <c r="I2080" t="s"/>
      <c r="J2080" t="n">
        <v>-0.4767</v>
      </c>
      <c r="K2080" t="n">
        <v>0.205</v>
      </c>
      <c r="L2080" t="n">
        <v>0.795</v>
      </c>
      <c r="M2080" t="n">
        <v>0</v>
      </c>
    </row>
    <row r="2081" spans="1:13">
      <c r="A2081" s="1">
        <f>HYPERLINK("http://www.twitter.com/NathanBLawrence/status/983892035668148224", "983892035668148224")</f>
        <v/>
      </c>
      <c r="B2081" s="2" t="n">
        <v>43201.09623842593</v>
      </c>
      <c r="C2081" t="n">
        <v>0</v>
      </c>
      <c r="D2081" t="n">
        <v>1</v>
      </c>
      <c r="E2081" t="s">
        <v>2085</v>
      </c>
      <c r="F2081" t="s"/>
      <c r="G2081" t="s"/>
      <c r="H2081" t="s"/>
      <c r="I2081" t="s"/>
      <c r="J2081" t="n">
        <v>0</v>
      </c>
      <c r="K2081" t="n">
        <v>0</v>
      </c>
      <c r="L2081" t="n">
        <v>1</v>
      </c>
      <c r="M2081" t="n">
        <v>0</v>
      </c>
    </row>
    <row r="2082" spans="1:13">
      <c r="A2082" s="1">
        <f>HYPERLINK("http://www.twitter.com/NathanBLawrence/status/983888073363787776", "983888073363787776")</f>
        <v/>
      </c>
      <c r="B2082" s="2" t="n">
        <v>43201.0853125</v>
      </c>
      <c r="C2082" t="n">
        <v>1</v>
      </c>
      <c r="D2082" t="n">
        <v>0</v>
      </c>
      <c r="E2082" t="s">
        <v>2086</v>
      </c>
      <c r="F2082" t="s"/>
      <c r="G2082" t="s"/>
      <c r="H2082" t="s"/>
      <c r="I2082" t="s"/>
      <c r="J2082" t="n">
        <v>-0.6124000000000001</v>
      </c>
      <c r="K2082" t="n">
        <v>0.167</v>
      </c>
      <c r="L2082" t="n">
        <v>0.833</v>
      </c>
      <c r="M2082" t="n">
        <v>0</v>
      </c>
    </row>
    <row r="2083" spans="1:13">
      <c r="A2083" s="1">
        <f>HYPERLINK("http://www.twitter.com/NathanBLawrence/status/983887680063893505", "983887680063893505")</f>
        <v/>
      </c>
      <c r="B2083" s="2" t="n">
        <v>43201.08422453704</v>
      </c>
      <c r="C2083" t="n">
        <v>0</v>
      </c>
      <c r="D2083" t="n">
        <v>1</v>
      </c>
      <c r="E2083" t="s">
        <v>2087</v>
      </c>
      <c r="F2083" t="s"/>
      <c r="G2083" t="s"/>
      <c r="H2083" t="s"/>
      <c r="I2083" t="s"/>
      <c r="J2083" t="n">
        <v>0</v>
      </c>
      <c r="K2083" t="n">
        <v>0</v>
      </c>
      <c r="L2083" t="n">
        <v>1</v>
      </c>
      <c r="M2083" t="n">
        <v>0</v>
      </c>
    </row>
    <row r="2084" spans="1:13">
      <c r="A2084" s="1">
        <f>HYPERLINK("http://www.twitter.com/NathanBLawrence/status/983887620311801858", "983887620311801858")</f>
        <v/>
      </c>
      <c r="B2084" s="2" t="n">
        <v>43201.0840625</v>
      </c>
      <c r="C2084" t="n">
        <v>0</v>
      </c>
      <c r="D2084" t="n">
        <v>1</v>
      </c>
      <c r="E2084" t="s">
        <v>2088</v>
      </c>
      <c r="F2084" t="s"/>
      <c r="G2084" t="s"/>
      <c r="H2084" t="s"/>
      <c r="I2084" t="s"/>
      <c r="J2084" t="n">
        <v>0.5106000000000001</v>
      </c>
      <c r="K2084" t="n">
        <v>0</v>
      </c>
      <c r="L2084" t="n">
        <v>0.837</v>
      </c>
      <c r="M2084" t="n">
        <v>0.163</v>
      </c>
    </row>
    <row r="2085" spans="1:13">
      <c r="A2085" s="1">
        <f>HYPERLINK("http://www.twitter.com/NathanBLawrence/status/983887451050708992", "983887451050708992")</f>
        <v/>
      </c>
      <c r="B2085" s="2" t="n">
        <v>43201.08358796296</v>
      </c>
      <c r="C2085" t="n">
        <v>0</v>
      </c>
      <c r="D2085" t="n">
        <v>1</v>
      </c>
      <c r="E2085" t="s">
        <v>2089</v>
      </c>
      <c r="F2085" t="s"/>
      <c r="G2085" t="s"/>
      <c r="H2085" t="s"/>
      <c r="I2085" t="s"/>
      <c r="J2085" t="n">
        <v>-0.5423</v>
      </c>
      <c r="K2085" t="n">
        <v>0.115</v>
      </c>
      <c r="L2085" t="n">
        <v>0.885</v>
      </c>
      <c r="M2085" t="n">
        <v>0</v>
      </c>
    </row>
    <row r="2086" spans="1:13">
      <c r="A2086" s="1">
        <f>HYPERLINK("http://www.twitter.com/NathanBLawrence/status/983885846351839234", "983885846351839234")</f>
        <v/>
      </c>
      <c r="B2086" s="2" t="n">
        <v>43201.07916666667</v>
      </c>
      <c r="C2086" t="n">
        <v>0</v>
      </c>
      <c r="D2086" t="n">
        <v>1</v>
      </c>
      <c r="E2086" t="s">
        <v>2090</v>
      </c>
      <c r="F2086" t="s"/>
      <c r="G2086" t="s"/>
      <c r="H2086" t="s"/>
      <c r="I2086" t="s"/>
      <c r="J2086" t="n">
        <v>-0.126</v>
      </c>
      <c r="K2086" t="n">
        <v>0.096</v>
      </c>
      <c r="L2086" t="n">
        <v>0.904</v>
      </c>
      <c r="M2086" t="n">
        <v>0</v>
      </c>
    </row>
    <row r="2087" spans="1:13">
      <c r="A2087" s="1">
        <f>HYPERLINK("http://www.twitter.com/NathanBLawrence/status/983885811962740737", "983885811962740737")</f>
        <v/>
      </c>
      <c r="B2087" s="2" t="n">
        <v>43201.0790625</v>
      </c>
      <c r="C2087" t="n">
        <v>1</v>
      </c>
      <c r="D2087" t="n">
        <v>1</v>
      </c>
      <c r="E2087" t="s">
        <v>2091</v>
      </c>
      <c r="F2087" t="s"/>
      <c r="G2087" t="s"/>
      <c r="H2087" t="s"/>
      <c r="I2087" t="s"/>
      <c r="J2087" t="n">
        <v>-0.126</v>
      </c>
      <c r="K2087" t="n">
        <v>0.111</v>
      </c>
      <c r="L2087" t="n">
        <v>0.889</v>
      </c>
      <c r="M2087" t="n">
        <v>0</v>
      </c>
    </row>
    <row r="2088" spans="1:13">
      <c r="A2088" s="1">
        <f>HYPERLINK("http://www.twitter.com/NathanBLawrence/status/983885523969347584", "983885523969347584")</f>
        <v/>
      </c>
      <c r="B2088" s="2" t="n">
        <v>43201.07827546296</v>
      </c>
      <c r="C2088" t="n">
        <v>0</v>
      </c>
      <c r="D2088" t="n">
        <v>0</v>
      </c>
      <c r="E2088" t="s">
        <v>2092</v>
      </c>
      <c r="F2088" t="s"/>
      <c r="G2088" t="s"/>
      <c r="H2088" t="s"/>
      <c r="I2088" t="s"/>
      <c r="J2088" t="n">
        <v>0.6369</v>
      </c>
      <c r="K2088" t="n">
        <v>0</v>
      </c>
      <c r="L2088" t="n">
        <v>0.873</v>
      </c>
      <c r="M2088" t="n">
        <v>0.127</v>
      </c>
    </row>
    <row r="2089" spans="1:13">
      <c r="A2089" s="1">
        <f>HYPERLINK("http://www.twitter.com/NathanBLawrence/status/983884865564282880", "983884865564282880")</f>
        <v/>
      </c>
      <c r="B2089" s="2" t="n">
        <v>43201.07645833334</v>
      </c>
      <c r="C2089" t="n">
        <v>0</v>
      </c>
      <c r="D2089" t="n">
        <v>0</v>
      </c>
      <c r="E2089" t="s">
        <v>2093</v>
      </c>
      <c r="F2089" t="s"/>
      <c r="G2089" t="s"/>
      <c r="H2089" t="s"/>
      <c r="I2089" t="s"/>
      <c r="J2089" t="n">
        <v>0</v>
      </c>
      <c r="K2089" t="n">
        <v>0</v>
      </c>
      <c r="L2089" t="n">
        <v>1</v>
      </c>
      <c r="M2089" t="n">
        <v>0</v>
      </c>
    </row>
    <row r="2090" spans="1:13">
      <c r="A2090" s="1">
        <f>HYPERLINK("http://www.twitter.com/NathanBLawrence/status/983884418858266624", "983884418858266624")</f>
        <v/>
      </c>
      <c r="B2090" s="2" t="n">
        <v>43201.0752199074</v>
      </c>
      <c r="C2090" t="n">
        <v>0</v>
      </c>
      <c r="D2090" t="n">
        <v>1</v>
      </c>
      <c r="E2090" t="s">
        <v>2094</v>
      </c>
      <c r="F2090" t="s"/>
      <c r="G2090" t="s"/>
      <c r="H2090" t="s"/>
      <c r="I2090" t="s"/>
      <c r="J2090" t="n">
        <v>0.4404</v>
      </c>
      <c r="K2090" t="n">
        <v>0</v>
      </c>
      <c r="L2090" t="n">
        <v>0.861</v>
      </c>
      <c r="M2090" t="n">
        <v>0.139</v>
      </c>
    </row>
    <row r="2091" spans="1:13">
      <c r="A2091" s="1">
        <f>HYPERLINK("http://www.twitter.com/NathanBLawrence/status/983884396649439233", "983884396649439233")</f>
        <v/>
      </c>
      <c r="B2091" s="2" t="n">
        <v>43201.07516203704</v>
      </c>
      <c r="C2091" t="n">
        <v>1</v>
      </c>
      <c r="D2091" t="n">
        <v>1</v>
      </c>
      <c r="E2091" t="s">
        <v>2095</v>
      </c>
      <c r="F2091" t="s"/>
      <c r="G2091" t="s"/>
      <c r="H2091" t="s"/>
      <c r="I2091" t="s"/>
      <c r="J2091" t="n">
        <v>-0.2263</v>
      </c>
      <c r="K2091" t="n">
        <v>0.147</v>
      </c>
      <c r="L2091" t="n">
        <v>0.765</v>
      </c>
      <c r="M2091" t="n">
        <v>0.089</v>
      </c>
    </row>
    <row r="2092" spans="1:13">
      <c r="A2092" s="1">
        <f>HYPERLINK("http://www.twitter.com/NathanBLawrence/status/983884082844192768", "983884082844192768")</f>
        <v/>
      </c>
      <c r="B2092" s="2" t="n">
        <v>43201.07429398148</v>
      </c>
      <c r="C2092" t="n">
        <v>0</v>
      </c>
      <c r="D2092" t="n">
        <v>1</v>
      </c>
      <c r="E2092" t="s">
        <v>2096</v>
      </c>
      <c r="F2092" t="s"/>
      <c r="G2092" t="s"/>
      <c r="H2092" t="s"/>
      <c r="I2092" t="s"/>
      <c r="J2092" t="n">
        <v>0.6249</v>
      </c>
      <c r="K2092" t="n">
        <v>0</v>
      </c>
      <c r="L2092" t="n">
        <v>0.843</v>
      </c>
      <c r="M2092" t="n">
        <v>0.157</v>
      </c>
    </row>
    <row r="2093" spans="1:13">
      <c r="A2093" s="1">
        <f>HYPERLINK("http://www.twitter.com/NathanBLawrence/status/983884025197682688", "983884025197682688")</f>
        <v/>
      </c>
      <c r="B2093" s="2" t="n">
        <v>43201.07413194444</v>
      </c>
      <c r="C2093" t="n">
        <v>1</v>
      </c>
      <c r="D2093" t="n">
        <v>1</v>
      </c>
      <c r="E2093" t="s">
        <v>2097</v>
      </c>
      <c r="F2093" t="s"/>
      <c r="G2093" t="s"/>
      <c r="H2093" t="s"/>
      <c r="I2093" t="s"/>
      <c r="J2093" t="n">
        <v>0.6249</v>
      </c>
      <c r="K2093" t="n">
        <v>0</v>
      </c>
      <c r="L2093" t="n">
        <v>0.859</v>
      </c>
      <c r="M2093" t="n">
        <v>0.141</v>
      </c>
    </row>
    <row r="2094" spans="1:13">
      <c r="A2094" s="1">
        <f>HYPERLINK("http://www.twitter.com/NathanBLawrence/status/983883746742030336", "983883746742030336")</f>
        <v/>
      </c>
      <c r="B2094" s="2" t="n">
        <v>43201.07336805556</v>
      </c>
      <c r="C2094" t="n">
        <v>0</v>
      </c>
      <c r="D2094" t="n">
        <v>1</v>
      </c>
      <c r="E2094" t="s">
        <v>2098</v>
      </c>
      <c r="F2094" t="s"/>
      <c r="G2094" t="s"/>
      <c r="H2094" t="s"/>
      <c r="I2094" t="s"/>
      <c r="J2094" t="n">
        <v>-0.2382</v>
      </c>
      <c r="K2094" t="n">
        <v>0.089</v>
      </c>
      <c r="L2094" t="n">
        <v>0.911</v>
      </c>
      <c r="M2094" t="n">
        <v>0</v>
      </c>
    </row>
    <row r="2095" spans="1:13">
      <c r="A2095" s="1">
        <f>HYPERLINK("http://www.twitter.com/NathanBLawrence/status/983883045815177216", "983883045815177216")</f>
        <v/>
      </c>
      <c r="B2095" s="2" t="n">
        <v>43201.07143518519</v>
      </c>
      <c r="C2095" t="n">
        <v>0</v>
      </c>
      <c r="D2095" t="n">
        <v>0</v>
      </c>
      <c r="E2095" t="s">
        <v>2099</v>
      </c>
      <c r="F2095" t="s"/>
      <c r="G2095" t="s"/>
      <c r="H2095" t="s"/>
      <c r="I2095" t="s"/>
      <c r="J2095" t="n">
        <v>0.6239</v>
      </c>
      <c r="K2095" t="n">
        <v>0</v>
      </c>
      <c r="L2095" t="n">
        <v>0.595</v>
      </c>
      <c r="M2095" t="n">
        <v>0.405</v>
      </c>
    </row>
    <row r="2096" spans="1:13">
      <c r="A2096" s="1">
        <f>HYPERLINK("http://www.twitter.com/NathanBLawrence/status/983879791018377216", "983879791018377216")</f>
        <v/>
      </c>
      <c r="B2096" s="2" t="n">
        <v>43201.0624537037</v>
      </c>
      <c r="C2096" t="n">
        <v>0</v>
      </c>
      <c r="D2096" t="n">
        <v>4</v>
      </c>
      <c r="E2096" t="s">
        <v>2100</v>
      </c>
      <c r="F2096" t="s"/>
      <c r="G2096" t="s"/>
      <c r="H2096" t="s"/>
      <c r="I2096" t="s"/>
      <c r="J2096" t="n">
        <v>0.5719</v>
      </c>
      <c r="K2096" t="n">
        <v>0</v>
      </c>
      <c r="L2096" t="n">
        <v>0.619</v>
      </c>
      <c r="M2096" t="n">
        <v>0.381</v>
      </c>
    </row>
    <row r="2097" spans="1:13">
      <c r="A2097" s="1">
        <f>HYPERLINK("http://www.twitter.com/NathanBLawrence/status/983877190063476737", "983877190063476737")</f>
        <v/>
      </c>
      <c r="B2097" s="2" t="n">
        <v>43201.05527777778</v>
      </c>
      <c r="C2097" t="n">
        <v>0</v>
      </c>
      <c r="D2097" t="n">
        <v>1</v>
      </c>
      <c r="E2097" t="s">
        <v>2101</v>
      </c>
      <c r="F2097" t="s"/>
      <c r="G2097" t="s"/>
      <c r="H2097" t="s"/>
      <c r="I2097" t="s"/>
      <c r="J2097" t="n">
        <v>-0.296</v>
      </c>
      <c r="K2097" t="n">
        <v>0.095</v>
      </c>
      <c r="L2097" t="n">
        <v>0.905</v>
      </c>
      <c r="M2097" t="n">
        <v>0</v>
      </c>
    </row>
    <row r="2098" spans="1:13">
      <c r="A2098" s="1">
        <f>HYPERLINK("http://www.twitter.com/NathanBLawrence/status/983877162083274752", "983877162083274752")</f>
        <v/>
      </c>
      <c r="B2098" s="2" t="n">
        <v>43201.05519675926</v>
      </c>
      <c r="C2098" t="n">
        <v>0</v>
      </c>
      <c r="D2098" t="n">
        <v>6</v>
      </c>
      <c r="E2098" t="s">
        <v>2102</v>
      </c>
      <c r="F2098" t="s"/>
      <c r="G2098" t="s"/>
      <c r="H2098" t="s"/>
      <c r="I2098" t="s"/>
      <c r="J2098" t="n">
        <v>0</v>
      </c>
      <c r="K2098" t="n">
        <v>0</v>
      </c>
      <c r="L2098" t="n">
        <v>1</v>
      </c>
      <c r="M2098" t="n">
        <v>0</v>
      </c>
    </row>
    <row r="2099" spans="1:13">
      <c r="A2099" s="1">
        <f>HYPERLINK("http://www.twitter.com/NathanBLawrence/status/983877134753173504", "983877134753173504")</f>
        <v/>
      </c>
      <c r="B2099" s="2" t="n">
        <v>43201.05512731482</v>
      </c>
      <c r="C2099" t="n">
        <v>4</v>
      </c>
      <c r="D2099" t="n">
        <v>1</v>
      </c>
      <c r="E2099" t="s">
        <v>2103</v>
      </c>
      <c r="F2099" t="s"/>
      <c r="G2099" t="s"/>
      <c r="H2099" t="s"/>
      <c r="I2099" t="s"/>
      <c r="J2099" t="n">
        <v>-0.6369</v>
      </c>
      <c r="K2099" t="n">
        <v>0.118</v>
      </c>
      <c r="L2099" t="n">
        <v>0.882</v>
      </c>
      <c r="M2099" t="n">
        <v>0</v>
      </c>
    </row>
    <row r="2100" spans="1:13">
      <c r="A2100" s="1">
        <f>HYPERLINK("http://www.twitter.com/NathanBLawrence/status/983875770400624641", "983875770400624641")</f>
        <v/>
      </c>
      <c r="B2100" s="2" t="n">
        <v>43201.05135416667</v>
      </c>
      <c r="C2100" t="n">
        <v>0</v>
      </c>
      <c r="D2100" t="n">
        <v>1</v>
      </c>
      <c r="E2100" t="s">
        <v>2104</v>
      </c>
      <c r="F2100" t="s"/>
      <c r="G2100" t="s"/>
      <c r="H2100" t="s"/>
      <c r="I2100" t="s"/>
      <c r="J2100" t="n">
        <v>-0.6369</v>
      </c>
      <c r="K2100" t="n">
        <v>0.198</v>
      </c>
      <c r="L2100" t="n">
        <v>0.802</v>
      </c>
      <c r="M2100" t="n">
        <v>0</v>
      </c>
    </row>
    <row r="2101" spans="1:13">
      <c r="A2101" s="1">
        <f>HYPERLINK("http://www.twitter.com/NathanBLawrence/status/983875738540695552", "983875738540695552")</f>
        <v/>
      </c>
      <c r="B2101" s="2" t="n">
        <v>43201.05127314815</v>
      </c>
      <c r="C2101" t="n">
        <v>0</v>
      </c>
      <c r="D2101" t="n">
        <v>1</v>
      </c>
      <c r="E2101" t="s">
        <v>2105</v>
      </c>
      <c r="F2101" t="s"/>
      <c r="G2101" t="s"/>
      <c r="H2101" t="s"/>
      <c r="I2101" t="s"/>
      <c r="J2101" t="n">
        <v>-0.7717000000000001</v>
      </c>
      <c r="K2101" t="n">
        <v>0.18</v>
      </c>
      <c r="L2101" t="n">
        <v>0.82</v>
      </c>
      <c r="M2101" t="n">
        <v>0</v>
      </c>
    </row>
    <row r="2102" spans="1:13">
      <c r="A2102" s="1">
        <f>HYPERLINK("http://www.twitter.com/NathanBLawrence/status/983870072656719872", "983870072656719872")</f>
        <v/>
      </c>
      <c r="B2102" s="2" t="n">
        <v>43201.03563657407</v>
      </c>
      <c r="C2102" t="n">
        <v>0</v>
      </c>
      <c r="D2102" t="n">
        <v>1</v>
      </c>
      <c r="E2102" t="s">
        <v>2106</v>
      </c>
      <c r="F2102" t="s"/>
      <c r="G2102" t="s"/>
      <c r="H2102" t="s"/>
      <c r="I2102" t="s"/>
      <c r="J2102" t="n">
        <v>0</v>
      </c>
      <c r="K2102" t="n">
        <v>0</v>
      </c>
      <c r="L2102" t="n">
        <v>1</v>
      </c>
      <c r="M2102" t="n">
        <v>0</v>
      </c>
    </row>
    <row r="2103" spans="1:13">
      <c r="A2103" s="1">
        <f>HYPERLINK("http://www.twitter.com/NathanBLawrence/status/983869616047968257", "983869616047968257")</f>
        <v/>
      </c>
      <c r="B2103" s="2" t="n">
        <v>43201.034375</v>
      </c>
      <c r="C2103" t="n">
        <v>0</v>
      </c>
      <c r="D2103" t="n">
        <v>9</v>
      </c>
      <c r="E2103" t="s">
        <v>2107</v>
      </c>
      <c r="F2103">
        <f>HYPERLINK("http://pbs.twimg.com/media/Dadnqr6UwAIJdIq.jpg", "http://pbs.twimg.com/media/Dadnqr6UwAIJdIq.jpg")</f>
        <v/>
      </c>
      <c r="G2103" t="s"/>
      <c r="H2103" t="s"/>
      <c r="I2103" t="s"/>
      <c r="J2103" t="n">
        <v>0.7506</v>
      </c>
      <c r="K2103" t="n">
        <v>0</v>
      </c>
      <c r="L2103" t="n">
        <v>0.632</v>
      </c>
      <c r="M2103" t="n">
        <v>0.368</v>
      </c>
    </row>
    <row r="2104" spans="1:13">
      <c r="A2104" s="1">
        <f>HYPERLINK("http://www.twitter.com/NathanBLawrence/status/983866670103089152", "983866670103089152")</f>
        <v/>
      </c>
      <c r="B2104" s="2" t="n">
        <v>43201.02625</v>
      </c>
      <c r="C2104" t="n">
        <v>0</v>
      </c>
      <c r="D2104" t="n">
        <v>11</v>
      </c>
      <c r="E2104" t="s">
        <v>2108</v>
      </c>
      <c r="F2104" t="s"/>
      <c r="G2104" t="s"/>
      <c r="H2104" t="s"/>
      <c r="I2104" t="s"/>
      <c r="J2104" t="n">
        <v>0</v>
      </c>
      <c r="K2104" t="n">
        <v>0</v>
      </c>
      <c r="L2104" t="n">
        <v>1</v>
      </c>
      <c r="M2104" t="n">
        <v>0</v>
      </c>
    </row>
    <row r="2105" spans="1:13">
      <c r="A2105" s="1">
        <f>HYPERLINK("http://www.twitter.com/NathanBLawrence/status/983866317836029955", "983866317836029955")</f>
        <v/>
      </c>
      <c r="B2105" s="2" t="n">
        <v>43201.02527777778</v>
      </c>
      <c r="C2105" t="n">
        <v>3</v>
      </c>
      <c r="D2105" t="n">
        <v>3</v>
      </c>
      <c r="E2105" t="s">
        <v>2109</v>
      </c>
      <c r="F2105" t="s"/>
      <c r="G2105" t="s"/>
      <c r="H2105" t="s"/>
      <c r="I2105" t="s"/>
      <c r="J2105" t="n">
        <v>0</v>
      </c>
      <c r="K2105" t="n">
        <v>0</v>
      </c>
      <c r="L2105" t="n">
        <v>1</v>
      </c>
      <c r="M2105" t="n">
        <v>0</v>
      </c>
    </row>
    <row r="2106" spans="1:13">
      <c r="A2106" s="1">
        <f>HYPERLINK("http://www.twitter.com/NathanBLawrence/status/983865758567534592", "983865758567534592")</f>
        <v/>
      </c>
      <c r="B2106" s="2" t="n">
        <v>43201.02372685185</v>
      </c>
      <c r="C2106" t="n">
        <v>0</v>
      </c>
      <c r="D2106" t="n">
        <v>7</v>
      </c>
      <c r="E2106" t="s">
        <v>2110</v>
      </c>
      <c r="F2106">
        <f>HYPERLINK("http://pbs.twimg.com/media/Dadjkb_WkAAHzGX.jpg", "http://pbs.twimg.com/media/Dadjkb_WkAAHzGX.jpg")</f>
        <v/>
      </c>
      <c r="G2106" t="s"/>
      <c r="H2106" t="s"/>
      <c r="I2106" t="s"/>
      <c r="J2106" t="n">
        <v>0</v>
      </c>
      <c r="K2106" t="n">
        <v>0</v>
      </c>
      <c r="L2106" t="n">
        <v>1</v>
      </c>
      <c r="M2106" t="n">
        <v>0</v>
      </c>
    </row>
    <row r="2107" spans="1:13">
      <c r="A2107" s="1">
        <f>HYPERLINK("http://www.twitter.com/NathanBLawrence/status/983865362193289216", "983865362193289216")</f>
        <v/>
      </c>
      <c r="B2107" s="2" t="n">
        <v>43201.02263888889</v>
      </c>
      <c r="C2107" t="n">
        <v>5</v>
      </c>
      <c r="D2107" t="n">
        <v>7</v>
      </c>
      <c r="E2107" t="s">
        <v>2111</v>
      </c>
      <c r="F2107">
        <f>HYPERLINK("http://pbs.twimg.com/media/Dadjkb_WkAAHzGX.jpg", "http://pbs.twimg.com/media/Dadjkb_WkAAHzGX.jpg")</f>
        <v/>
      </c>
      <c r="G2107" t="s"/>
      <c r="H2107" t="s"/>
      <c r="I2107" t="s"/>
      <c r="J2107" t="n">
        <v>0</v>
      </c>
      <c r="K2107" t="n">
        <v>0</v>
      </c>
      <c r="L2107" t="n">
        <v>1</v>
      </c>
      <c r="M2107" t="n">
        <v>0</v>
      </c>
    </row>
    <row r="2108" spans="1:13">
      <c r="A2108" s="1">
        <f>HYPERLINK("http://www.twitter.com/NathanBLawrence/status/983850527426580480", "983850527426580480")</f>
        <v/>
      </c>
      <c r="B2108" s="2" t="n">
        <v>43200.98170138889</v>
      </c>
      <c r="C2108" t="n">
        <v>0</v>
      </c>
      <c r="D2108" t="n">
        <v>2</v>
      </c>
      <c r="E2108" t="s">
        <v>2112</v>
      </c>
      <c r="F2108">
        <f>HYPERLINK("http://pbs.twimg.com/media/DadVdHTXcAA2UZF.jpg", "http://pbs.twimg.com/media/DadVdHTXcAA2UZF.jpg")</f>
        <v/>
      </c>
      <c r="G2108" t="s"/>
      <c r="H2108" t="s"/>
      <c r="I2108" t="s"/>
      <c r="J2108" t="n">
        <v>-0.5266999999999999</v>
      </c>
      <c r="K2108" t="n">
        <v>0.188</v>
      </c>
      <c r="L2108" t="n">
        <v>0.8120000000000001</v>
      </c>
      <c r="M2108" t="n">
        <v>0</v>
      </c>
    </row>
    <row r="2109" spans="1:13">
      <c r="A2109" s="1">
        <f>HYPERLINK("http://www.twitter.com/NathanBLawrence/status/983849370469756928", "983849370469756928")</f>
        <v/>
      </c>
      <c r="B2109" s="2" t="n">
        <v>43200.97850694445</v>
      </c>
      <c r="C2109" t="n">
        <v>0</v>
      </c>
      <c r="D2109" t="n">
        <v>2</v>
      </c>
      <c r="E2109" t="s">
        <v>2113</v>
      </c>
      <c r="F2109">
        <f>HYPERLINK("http://pbs.twimg.com/media/DadVdHTXcAA2UZF.jpg", "http://pbs.twimg.com/media/DadVdHTXcAA2UZF.jpg")</f>
        <v/>
      </c>
      <c r="G2109" t="s"/>
      <c r="H2109" t="s"/>
      <c r="I2109" t="s"/>
      <c r="J2109" t="n">
        <v>-0.7717000000000001</v>
      </c>
      <c r="K2109" t="n">
        <v>0.235</v>
      </c>
      <c r="L2109" t="n">
        <v>0.765</v>
      </c>
      <c r="M2109" t="n">
        <v>0</v>
      </c>
    </row>
    <row r="2110" spans="1:13">
      <c r="A2110" s="1">
        <f>HYPERLINK("http://www.twitter.com/NathanBLawrence/status/983847962739728384", "983847962739728384")</f>
        <v/>
      </c>
      <c r="B2110" s="2" t="n">
        <v>43200.97461805555</v>
      </c>
      <c r="C2110" t="n">
        <v>0</v>
      </c>
      <c r="D2110" t="n">
        <v>2</v>
      </c>
      <c r="E2110" t="s">
        <v>2114</v>
      </c>
      <c r="F2110">
        <f>HYPERLINK("http://pbs.twimg.com/media/DaboEV2U8AA6WOQ.jpg", "http://pbs.twimg.com/media/DaboEV2U8AA6WOQ.jpg")</f>
        <v/>
      </c>
      <c r="G2110" t="s"/>
      <c r="H2110" t="s"/>
      <c r="I2110" t="s"/>
      <c r="J2110" t="n">
        <v>0.6467000000000001</v>
      </c>
      <c r="K2110" t="n">
        <v>0</v>
      </c>
      <c r="L2110" t="n">
        <v>0.766</v>
      </c>
      <c r="M2110" t="n">
        <v>0.234</v>
      </c>
    </row>
    <row r="2111" spans="1:13">
      <c r="A2111" s="1">
        <f>HYPERLINK("http://www.twitter.com/NathanBLawrence/status/983842347892002816", "983842347892002816")</f>
        <v/>
      </c>
      <c r="B2111" s="2" t="n">
        <v>43200.95913194444</v>
      </c>
      <c r="C2111" t="n">
        <v>0</v>
      </c>
      <c r="D2111" t="n">
        <v>2</v>
      </c>
      <c r="E2111" t="s">
        <v>2115</v>
      </c>
      <c r="F2111" t="s"/>
      <c r="G2111" t="s"/>
      <c r="H2111" t="s"/>
      <c r="I2111" t="s"/>
      <c r="J2111" t="n">
        <v>0</v>
      </c>
      <c r="K2111" t="n">
        <v>0</v>
      </c>
      <c r="L2111" t="n">
        <v>1</v>
      </c>
      <c r="M2111" t="n">
        <v>0</v>
      </c>
    </row>
    <row r="2112" spans="1:13">
      <c r="A2112" s="1">
        <f>HYPERLINK("http://www.twitter.com/NathanBLawrence/status/983841327606587393", "983841327606587393")</f>
        <v/>
      </c>
      <c r="B2112" s="2" t="n">
        <v>43200.95631944444</v>
      </c>
      <c r="C2112" t="n">
        <v>0</v>
      </c>
      <c r="D2112" t="n">
        <v>0</v>
      </c>
      <c r="E2112" t="s">
        <v>2116</v>
      </c>
      <c r="F2112" t="s"/>
      <c r="G2112" t="s"/>
      <c r="H2112" t="s"/>
      <c r="I2112" t="s"/>
      <c r="J2112" t="n">
        <v>0.802</v>
      </c>
      <c r="K2112" t="n">
        <v>0</v>
      </c>
      <c r="L2112" t="n">
        <v>0.294</v>
      </c>
      <c r="M2112" t="n">
        <v>0.706</v>
      </c>
    </row>
    <row r="2113" spans="1:13">
      <c r="A2113" s="1">
        <f>HYPERLINK("http://www.twitter.com/NathanBLawrence/status/983836212879339522", "983836212879339522")</f>
        <v/>
      </c>
      <c r="B2113" s="2" t="n">
        <v>43200.94219907407</v>
      </c>
      <c r="C2113" t="n">
        <v>0</v>
      </c>
      <c r="D2113" t="n">
        <v>0</v>
      </c>
      <c r="E2113" t="s">
        <v>2117</v>
      </c>
      <c r="F2113" t="s"/>
      <c r="G2113" t="s"/>
      <c r="H2113" t="s"/>
      <c r="I2113" t="s"/>
      <c r="J2113" t="n">
        <v>0.4574</v>
      </c>
      <c r="K2113" t="n">
        <v>0</v>
      </c>
      <c r="L2113" t="n">
        <v>0.875</v>
      </c>
      <c r="M2113" t="n">
        <v>0.125</v>
      </c>
    </row>
    <row r="2114" spans="1:13">
      <c r="A2114" s="1">
        <f>HYPERLINK("http://www.twitter.com/NathanBLawrence/status/983835958499053569", "983835958499053569")</f>
        <v/>
      </c>
      <c r="B2114" s="2" t="n">
        <v>43200.94149305556</v>
      </c>
      <c r="C2114" t="n">
        <v>1</v>
      </c>
      <c r="D2114" t="n">
        <v>0</v>
      </c>
      <c r="E2114" t="s">
        <v>2118</v>
      </c>
      <c r="F2114" t="s"/>
      <c r="G2114" t="s"/>
      <c r="H2114" t="s"/>
      <c r="I2114" t="s"/>
      <c r="J2114" t="n">
        <v>-0.2755</v>
      </c>
      <c r="K2114" t="n">
        <v>0.08799999999999999</v>
      </c>
      <c r="L2114" t="n">
        <v>0.912</v>
      </c>
      <c r="M2114" t="n">
        <v>0</v>
      </c>
    </row>
    <row r="2115" spans="1:13">
      <c r="A2115" s="1">
        <f>HYPERLINK("http://www.twitter.com/NathanBLawrence/status/983826129025986561", "983826129025986561")</f>
        <v/>
      </c>
      <c r="B2115" s="2" t="n">
        <v>43200.914375</v>
      </c>
      <c r="C2115" t="n">
        <v>2</v>
      </c>
      <c r="D2115" t="n">
        <v>2</v>
      </c>
      <c r="E2115" t="s">
        <v>2119</v>
      </c>
      <c r="F2115" t="s"/>
      <c r="G2115" t="s"/>
      <c r="H2115" t="s"/>
      <c r="I2115" t="s"/>
      <c r="J2115" t="n">
        <v>-0.8070000000000001</v>
      </c>
      <c r="K2115" t="n">
        <v>0.3</v>
      </c>
      <c r="L2115" t="n">
        <v>0.7</v>
      </c>
      <c r="M2115" t="n">
        <v>0</v>
      </c>
    </row>
    <row r="2116" spans="1:13">
      <c r="A2116" s="1">
        <f>HYPERLINK("http://www.twitter.com/NathanBLawrence/status/983821842497593345", "983821842497593345")</f>
        <v/>
      </c>
      <c r="B2116" s="2" t="n">
        <v>43200.9025462963</v>
      </c>
      <c r="C2116" t="n">
        <v>0</v>
      </c>
      <c r="D2116" t="n">
        <v>9</v>
      </c>
      <c r="E2116" t="s">
        <v>2120</v>
      </c>
      <c r="F2116">
        <f>HYPERLINK("http://pbs.twimg.com/media/Dac8YAsU0AAm1lz.jpg", "http://pbs.twimg.com/media/Dac8YAsU0AAm1lz.jpg")</f>
        <v/>
      </c>
      <c r="G2116" t="s"/>
      <c r="H2116" t="s"/>
      <c r="I2116" t="s"/>
      <c r="J2116" t="n">
        <v>-0.7003</v>
      </c>
      <c r="K2116" t="n">
        <v>0.195</v>
      </c>
      <c r="L2116" t="n">
        <v>0.805</v>
      </c>
      <c r="M2116" t="n">
        <v>0</v>
      </c>
    </row>
    <row r="2117" spans="1:13">
      <c r="A2117" s="1">
        <f>HYPERLINK("http://www.twitter.com/NathanBLawrence/status/983819988275482624", "983819988275482624")</f>
        <v/>
      </c>
      <c r="B2117" s="2" t="n">
        <v>43200.89743055555</v>
      </c>
      <c r="C2117" t="n">
        <v>0</v>
      </c>
      <c r="D2117" t="n">
        <v>6</v>
      </c>
      <c r="E2117" t="s">
        <v>2121</v>
      </c>
      <c r="F2117">
        <f>HYPERLINK("http://pbs.twimg.com/media/Dac6YzCWAAA1pXk.jpg", "http://pbs.twimg.com/media/Dac6YzCWAAA1pXk.jpg")</f>
        <v/>
      </c>
      <c r="G2117" t="s"/>
      <c r="H2117" t="s"/>
      <c r="I2117" t="s"/>
      <c r="J2117" t="n">
        <v>-0.7003</v>
      </c>
      <c r="K2117" t="n">
        <v>0.201</v>
      </c>
      <c r="L2117" t="n">
        <v>0.799</v>
      </c>
      <c r="M2117" t="n">
        <v>0</v>
      </c>
    </row>
    <row r="2118" spans="1:13">
      <c r="A2118" s="1">
        <f>HYPERLINK("http://www.twitter.com/NathanBLawrence/status/983802062512279552", "983802062512279552")</f>
        <v/>
      </c>
      <c r="B2118" s="2" t="n">
        <v>43200.84796296297</v>
      </c>
      <c r="C2118" t="n">
        <v>0</v>
      </c>
      <c r="D2118" t="n">
        <v>14</v>
      </c>
      <c r="E2118" t="s">
        <v>2122</v>
      </c>
      <c r="F2118">
        <f>HYPERLINK("http://pbs.twimg.com/media/Daca9pAXcAA72xD.jpg", "http://pbs.twimg.com/media/Daca9pAXcAA72xD.jpg")</f>
        <v/>
      </c>
      <c r="G2118">
        <f>HYPERLINK("http://pbs.twimg.com/media/Daca_biXkAAOHYK.jpg", "http://pbs.twimg.com/media/Daca_biXkAAOHYK.jpg")</f>
        <v/>
      </c>
      <c r="H2118">
        <f>HYPERLINK("http://pbs.twimg.com/media/DacbBDQWsAAkEKx.jpg", "http://pbs.twimg.com/media/DacbBDQWsAAkEKx.jpg")</f>
        <v/>
      </c>
      <c r="I2118">
        <f>HYPERLINK("http://pbs.twimg.com/media/DacbCkZX0AYiCh_.jpg", "http://pbs.twimg.com/media/DacbCkZX0AYiCh_.jpg")</f>
        <v/>
      </c>
      <c r="J2118" t="n">
        <v>0.5411</v>
      </c>
      <c r="K2118" t="n">
        <v>0</v>
      </c>
      <c r="L2118" t="n">
        <v>0.759</v>
      </c>
      <c r="M2118" t="n">
        <v>0.241</v>
      </c>
    </row>
    <row r="2119" spans="1:13">
      <c r="A2119" s="1">
        <f>HYPERLINK("http://www.twitter.com/NathanBLawrence/status/983801885743304704", "983801885743304704")</f>
        <v/>
      </c>
      <c r="B2119" s="2" t="n">
        <v>43200.84747685185</v>
      </c>
      <c r="C2119" t="n">
        <v>0</v>
      </c>
      <c r="D2119" t="n">
        <v>2</v>
      </c>
      <c r="E2119" t="s">
        <v>2123</v>
      </c>
      <c r="F2119" t="s"/>
      <c r="G2119" t="s"/>
      <c r="H2119" t="s"/>
      <c r="I2119" t="s"/>
      <c r="J2119" t="n">
        <v>0.2057</v>
      </c>
      <c r="K2119" t="n">
        <v>0</v>
      </c>
      <c r="L2119" t="n">
        <v>0.908</v>
      </c>
      <c r="M2119" t="n">
        <v>0.092</v>
      </c>
    </row>
    <row r="2120" spans="1:13">
      <c r="A2120" s="1">
        <f>HYPERLINK("http://www.twitter.com/NathanBLawrence/status/983801849936523264", "983801849936523264")</f>
        <v/>
      </c>
      <c r="B2120" s="2" t="n">
        <v>43200.84737268519</v>
      </c>
      <c r="C2120" t="n">
        <v>0</v>
      </c>
      <c r="D2120" t="n">
        <v>10</v>
      </c>
      <c r="E2120" t="s">
        <v>2124</v>
      </c>
      <c r="F2120" t="s"/>
      <c r="G2120" t="s"/>
      <c r="H2120" t="s"/>
      <c r="I2120" t="s"/>
      <c r="J2120" t="n">
        <v>0.296</v>
      </c>
      <c r="K2120" t="n">
        <v>0</v>
      </c>
      <c r="L2120" t="n">
        <v>0.879</v>
      </c>
      <c r="M2120" t="n">
        <v>0.121</v>
      </c>
    </row>
    <row r="2121" spans="1:13">
      <c r="A2121" s="1">
        <f>HYPERLINK("http://www.twitter.com/NathanBLawrence/status/983797790030598147", "983797790030598147")</f>
        <v/>
      </c>
      <c r="B2121" s="2" t="n">
        <v>43200.83616898148</v>
      </c>
      <c r="C2121" t="n">
        <v>1</v>
      </c>
      <c r="D2121" t="n">
        <v>0</v>
      </c>
      <c r="E2121" t="s">
        <v>2125</v>
      </c>
      <c r="F2121" t="s"/>
      <c r="G2121" t="s"/>
      <c r="H2121" t="s"/>
      <c r="I2121" t="s"/>
      <c r="J2121" t="n">
        <v>-0.3736</v>
      </c>
      <c r="K2121" t="n">
        <v>0.299</v>
      </c>
      <c r="L2121" t="n">
        <v>0.701</v>
      </c>
      <c r="M2121" t="n">
        <v>0</v>
      </c>
    </row>
    <row r="2122" spans="1:13">
      <c r="A2122" s="1">
        <f>HYPERLINK("http://www.twitter.com/NathanBLawrence/status/983797468964978688", "983797468964978688")</f>
        <v/>
      </c>
      <c r="B2122" s="2" t="n">
        <v>43200.83528935185</v>
      </c>
      <c r="C2122" t="n">
        <v>0</v>
      </c>
      <c r="D2122" t="n">
        <v>9</v>
      </c>
      <c r="E2122" t="s">
        <v>2126</v>
      </c>
      <c r="F2122">
        <f>HYPERLINK("http://pbs.twimg.com/media/DaIyZ5aWAAASe11.jpg", "http://pbs.twimg.com/media/DaIyZ5aWAAASe11.jpg")</f>
        <v/>
      </c>
      <c r="G2122" t="s"/>
      <c r="H2122" t="s"/>
      <c r="I2122" t="s"/>
      <c r="J2122" t="n">
        <v>0</v>
      </c>
      <c r="K2122" t="n">
        <v>0</v>
      </c>
      <c r="L2122" t="n">
        <v>1</v>
      </c>
      <c r="M2122" t="n">
        <v>0</v>
      </c>
    </row>
    <row r="2123" spans="1:13">
      <c r="A2123" s="1">
        <f>HYPERLINK("http://www.twitter.com/NathanBLawrence/status/983797447917998080", "983797447917998080")</f>
        <v/>
      </c>
      <c r="B2123" s="2" t="n">
        <v>43200.83523148148</v>
      </c>
      <c r="C2123" t="n">
        <v>0</v>
      </c>
      <c r="D2123" t="n">
        <v>3</v>
      </c>
      <c r="E2123" t="s">
        <v>2127</v>
      </c>
      <c r="F2123">
        <f>HYPERLINK("http://pbs.twimg.com/media/DaIyfc3XkAAgzBi.jpg", "http://pbs.twimg.com/media/DaIyfc3XkAAgzBi.jpg")</f>
        <v/>
      </c>
      <c r="G2123" t="s"/>
      <c r="H2123" t="s"/>
      <c r="I2123" t="s"/>
      <c r="J2123" t="n">
        <v>0</v>
      </c>
      <c r="K2123" t="n">
        <v>0</v>
      </c>
      <c r="L2123" t="n">
        <v>1</v>
      </c>
      <c r="M2123" t="n">
        <v>0</v>
      </c>
    </row>
    <row r="2124" spans="1:13">
      <c r="A2124" s="1">
        <f>HYPERLINK("http://www.twitter.com/NathanBLawrence/status/983797431237308421", "983797431237308421")</f>
        <v/>
      </c>
      <c r="B2124" s="2" t="n">
        <v>43200.83518518518</v>
      </c>
      <c r="C2124" t="n">
        <v>0</v>
      </c>
      <c r="D2124" t="n">
        <v>2</v>
      </c>
      <c r="E2124" t="s">
        <v>2128</v>
      </c>
      <c r="F2124">
        <f>HYPERLINK("http://pbs.twimg.com/media/DaIyipGXUAA4s1s.jpg", "http://pbs.twimg.com/media/DaIyipGXUAA4s1s.jpg")</f>
        <v/>
      </c>
      <c r="G2124" t="s"/>
      <c r="H2124" t="s"/>
      <c r="I2124" t="s"/>
      <c r="J2124" t="n">
        <v>0</v>
      </c>
      <c r="K2124" t="n">
        <v>0</v>
      </c>
      <c r="L2124" t="n">
        <v>1</v>
      </c>
      <c r="M2124" t="n">
        <v>0</v>
      </c>
    </row>
    <row r="2125" spans="1:13">
      <c r="A2125" s="1">
        <f>HYPERLINK("http://www.twitter.com/NathanBLawrence/status/983797416682930176", "983797416682930176")</f>
        <v/>
      </c>
      <c r="B2125" s="2" t="n">
        <v>43200.83513888889</v>
      </c>
      <c r="C2125" t="n">
        <v>0</v>
      </c>
      <c r="D2125" t="n">
        <v>1</v>
      </c>
      <c r="E2125" t="s">
        <v>2129</v>
      </c>
      <c r="F2125">
        <f>HYPERLINK("http://pbs.twimg.com/media/DaIymaRW4AAAW0e.jpg", "http://pbs.twimg.com/media/DaIymaRW4AAAW0e.jpg")</f>
        <v/>
      </c>
      <c r="G2125" t="s"/>
      <c r="H2125" t="s"/>
      <c r="I2125" t="s"/>
      <c r="J2125" t="n">
        <v>0</v>
      </c>
      <c r="K2125" t="n">
        <v>0</v>
      </c>
      <c r="L2125" t="n">
        <v>1</v>
      </c>
      <c r="M2125" t="n">
        <v>0</v>
      </c>
    </row>
    <row r="2126" spans="1:13">
      <c r="A2126" s="1">
        <f>HYPERLINK("http://www.twitter.com/NathanBLawrence/status/983797389118115840", "983797389118115840")</f>
        <v/>
      </c>
      <c r="B2126" s="2" t="n">
        <v>43200.83506944445</v>
      </c>
      <c r="C2126" t="n">
        <v>0</v>
      </c>
      <c r="D2126" t="n">
        <v>1</v>
      </c>
      <c r="E2126" t="s">
        <v>2130</v>
      </c>
      <c r="F2126">
        <f>HYPERLINK("http://pbs.twimg.com/media/DaIysV-XUAAXDz8.jpg", "http://pbs.twimg.com/media/DaIysV-XUAAXDz8.jpg")</f>
        <v/>
      </c>
      <c r="G2126" t="s"/>
      <c r="H2126" t="s"/>
      <c r="I2126" t="s"/>
      <c r="J2126" t="n">
        <v>0</v>
      </c>
      <c r="K2126" t="n">
        <v>0</v>
      </c>
      <c r="L2126" t="n">
        <v>1</v>
      </c>
      <c r="M2126" t="n">
        <v>0</v>
      </c>
    </row>
    <row r="2127" spans="1:13">
      <c r="A2127" s="1">
        <f>HYPERLINK("http://www.twitter.com/NathanBLawrence/status/983797372462555137", "983797372462555137")</f>
        <v/>
      </c>
      <c r="B2127" s="2" t="n">
        <v>43200.83502314815</v>
      </c>
      <c r="C2127" t="n">
        <v>0</v>
      </c>
      <c r="D2127" t="n">
        <v>1</v>
      </c>
      <c r="E2127" t="s">
        <v>2131</v>
      </c>
      <c r="F2127">
        <f>HYPERLINK("http://pbs.twimg.com/media/DaIyw04WsAEgl8X.jpg", "http://pbs.twimg.com/media/DaIyw04WsAEgl8X.jpg")</f>
        <v/>
      </c>
      <c r="G2127" t="s"/>
      <c r="H2127" t="s"/>
      <c r="I2127" t="s"/>
      <c r="J2127" t="n">
        <v>0</v>
      </c>
      <c r="K2127" t="n">
        <v>0</v>
      </c>
      <c r="L2127" t="n">
        <v>1</v>
      </c>
      <c r="M2127" t="n">
        <v>0</v>
      </c>
    </row>
    <row r="2128" spans="1:13">
      <c r="A2128" s="1">
        <f>HYPERLINK("http://www.twitter.com/NathanBLawrence/status/983797319807184901", "983797319807184901")</f>
        <v/>
      </c>
      <c r="B2128" s="2" t="n">
        <v>43200.83487268518</v>
      </c>
      <c r="C2128" t="n">
        <v>0</v>
      </c>
      <c r="D2128" t="n">
        <v>6</v>
      </c>
      <c r="E2128" t="s">
        <v>2132</v>
      </c>
      <c r="F2128">
        <f>HYPERLINK("http://pbs.twimg.com/media/DaLpq6HX4AASSWy.jpg", "http://pbs.twimg.com/media/DaLpq6HX4AASSWy.jpg")</f>
        <v/>
      </c>
      <c r="G2128" t="s"/>
      <c r="H2128" t="s"/>
      <c r="I2128" t="s"/>
      <c r="J2128" t="n">
        <v>-0.3612</v>
      </c>
      <c r="K2128" t="n">
        <v>0.234</v>
      </c>
      <c r="L2128" t="n">
        <v>0.638</v>
      </c>
      <c r="M2128" t="n">
        <v>0.128</v>
      </c>
    </row>
    <row r="2129" spans="1:13">
      <c r="A2129" s="1">
        <f>HYPERLINK("http://www.twitter.com/NathanBLawrence/status/983797196431790081", "983797196431790081")</f>
        <v/>
      </c>
      <c r="B2129" s="2" t="n">
        <v>43200.83453703704</v>
      </c>
      <c r="C2129" t="n">
        <v>0</v>
      </c>
      <c r="D2129" t="n">
        <v>2</v>
      </c>
      <c r="E2129" t="s">
        <v>2133</v>
      </c>
      <c r="F2129">
        <f>HYPERLINK("http://pbs.twimg.com/media/DaTFmsCXUAAQbzP.jpg", "http://pbs.twimg.com/media/DaTFmsCXUAAQbzP.jpg")</f>
        <v/>
      </c>
      <c r="G2129" t="s"/>
      <c r="H2129" t="s"/>
      <c r="I2129" t="s"/>
      <c r="J2129" t="n">
        <v>-0.5859</v>
      </c>
      <c r="K2129" t="n">
        <v>0.167</v>
      </c>
      <c r="L2129" t="n">
        <v>0.833</v>
      </c>
      <c r="M2129" t="n">
        <v>0</v>
      </c>
    </row>
    <row r="2130" spans="1:13">
      <c r="A2130" s="1">
        <f>HYPERLINK("http://www.twitter.com/NathanBLawrence/status/983797177691660290", "983797177691660290")</f>
        <v/>
      </c>
      <c r="B2130" s="2" t="n">
        <v>43200.83447916667</v>
      </c>
      <c r="C2130" t="n">
        <v>0</v>
      </c>
      <c r="D2130" t="n">
        <v>1</v>
      </c>
      <c r="E2130" t="s">
        <v>2134</v>
      </c>
      <c r="F2130">
        <f>HYPERLINK("http://pbs.twimg.com/media/DaTHHrdW4AAfgYu.jpg", "http://pbs.twimg.com/media/DaTHHrdW4AAfgYu.jpg")</f>
        <v/>
      </c>
      <c r="G2130" t="s"/>
      <c r="H2130" t="s"/>
      <c r="I2130" t="s"/>
      <c r="J2130" t="n">
        <v>0</v>
      </c>
      <c r="K2130" t="n">
        <v>0</v>
      </c>
      <c r="L2130" t="n">
        <v>1</v>
      </c>
      <c r="M2130" t="n">
        <v>0</v>
      </c>
    </row>
    <row r="2131" spans="1:13">
      <c r="A2131" s="1">
        <f>HYPERLINK("http://www.twitter.com/NathanBLawrence/status/983795198290472960", "983795198290472960")</f>
        <v/>
      </c>
      <c r="B2131" s="2" t="n">
        <v>43200.8290162037</v>
      </c>
      <c r="C2131" t="n">
        <v>0</v>
      </c>
      <c r="D2131" t="n">
        <v>1</v>
      </c>
      <c r="E2131" t="s">
        <v>2135</v>
      </c>
      <c r="F2131" t="s"/>
      <c r="G2131" t="s"/>
      <c r="H2131" t="s"/>
      <c r="I2131" t="s"/>
      <c r="J2131" t="n">
        <v>0</v>
      </c>
      <c r="K2131" t="n">
        <v>0</v>
      </c>
      <c r="L2131" t="n">
        <v>1</v>
      </c>
      <c r="M2131" t="n">
        <v>0</v>
      </c>
    </row>
    <row r="2132" spans="1:13">
      <c r="A2132" s="1">
        <f>HYPERLINK("http://www.twitter.com/NathanBLawrence/status/983794753794920450", "983794753794920450")</f>
        <v/>
      </c>
      <c r="B2132" s="2" t="n">
        <v>43200.82778935185</v>
      </c>
      <c r="C2132" t="n">
        <v>0</v>
      </c>
      <c r="D2132" t="n">
        <v>0</v>
      </c>
      <c r="E2132" t="s">
        <v>2136</v>
      </c>
      <c r="F2132" t="s"/>
      <c r="G2132" t="s"/>
      <c r="H2132" t="s"/>
      <c r="I2132" t="s"/>
      <c r="J2132" t="n">
        <v>-0.4767</v>
      </c>
      <c r="K2132" t="n">
        <v>0.205</v>
      </c>
      <c r="L2132" t="n">
        <v>0.795</v>
      </c>
      <c r="M2132" t="n">
        <v>0</v>
      </c>
    </row>
    <row r="2133" spans="1:13">
      <c r="A2133" s="1">
        <f>HYPERLINK("http://www.twitter.com/NathanBLawrence/status/983794529793970176", "983794529793970176")</f>
        <v/>
      </c>
      <c r="B2133" s="2" t="n">
        <v>43200.82717592592</v>
      </c>
      <c r="C2133" t="n">
        <v>1</v>
      </c>
      <c r="D2133" t="n">
        <v>1</v>
      </c>
      <c r="E2133" t="s">
        <v>2137</v>
      </c>
      <c r="F2133" t="s"/>
      <c r="G2133" t="s"/>
      <c r="H2133" t="s"/>
      <c r="I2133" t="s"/>
      <c r="J2133" t="n">
        <v>-0.296</v>
      </c>
      <c r="K2133" t="n">
        <v>0.049</v>
      </c>
      <c r="L2133" t="n">
        <v>0.951</v>
      </c>
      <c r="M2133" t="n">
        <v>0</v>
      </c>
    </row>
    <row r="2134" spans="1:13">
      <c r="A2134" s="1">
        <f>HYPERLINK("http://www.twitter.com/NathanBLawrence/status/983793992004497408", "983793992004497408")</f>
        <v/>
      </c>
      <c r="B2134" s="2" t="n">
        <v>43200.82569444444</v>
      </c>
      <c r="C2134" t="n">
        <v>0</v>
      </c>
      <c r="D2134" t="n">
        <v>0</v>
      </c>
      <c r="E2134" t="s">
        <v>2138</v>
      </c>
      <c r="F2134" t="s"/>
      <c r="G2134" t="s"/>
      <c r="H2134" t="s"/>
      <c r="I2134" t="s"/>
      <c r="J2134" t="n">
        <v>0</v>
      </c>
      <c r="K2134" t="n">
        <v>0</v>
      </c>
      <c r="L2134" t="n">
        <v>1</v>
      </c>
      <c r="M2134" t="n">
        <v>0</v>
      </c>
    </row>
    <row r="2135" spans="1:13">
      <c r="A2135" s="1">
        <f>HYPERLINK("http://www.twitter.com/NathanBLawrence/status/983793022063099905", "983793022063099905")</f>
        <v/>
      </c>
      <c r="B2135" s="2" t="n">
        <v>43200.82302083333</v>
      </c>
      <c r="C2135" t="n">
        <v>1</v>
      </c>
      <c r="D2135" t="n">
        <v>0</v>
      </c>
      <c r="E2135" t="s">
        <v>2139</v>
      </c>
      <c r="F2135" t="s"/>
      <c r="G2135" t="s"/>
      <c r="H2135" t="s"/>
      <c r="I2135" t="s"/>
      <c r="J2135" t="n">
        <v>0</v>
      </c>
      <c r="K2135" t="n">
        <v>0</v>
      </c>
      <c r="L2135" t="n">
        <v>1</v>
      </c>
      <c r="M2135" t="n">
        <v>0</v>
      </c>
    </row>
    <row r="2136" spans="1:13">
      <c r="A2136" s="1">
        <f>HYPERLINK("http://www.twitter.com/NathanBLawrence/status/983786482560315394", "983786482560315394")</f>
        <v/>
      </c>
      <c r="B2136" s="2" t="n">
        <v>43200.80496527778</v>
      </c>
      <c r="C2136" t="n">
        <v>0</v>
      </c>
      <c r="D2136" t="n">
        <v>4</v>
      </c>
      <c r="E2136" t="s">
        <v>2140</v>
      </c>
      <c r="F2136">
        <f>HYPERLINK("http://pbs.twimg.com/media/DacbGADX0AAS28S.jpg", "http://pbs.twimg.com/media/DacbGADX0AAS28S.jpg")</f>
        <v/>
      </c>
      <c r="G2136">
        <f>HYPERLINK("http://pbs.twimg.com/media/DacbHe9WsAAB-pl.jpg", "http://pbs.twimg.com/media/DacbHe9WsAAB-pl.jpg")</f>
        <v/>
      </c>
      <c r="H2136">
        <f>HYPERLINK("http://pbs.twimg.com/media/DacbI-zX0AEkBsB.jpg", "http://pbs.twimg.com/media/DacbI-zX0AEkBsB.jpg")</f>
        <v/>
      </c>
      <c r="I2136" t="s"/>
      <c r="J2136" t="n">
        <v>0</v>
      </c>
      <c r="K2136" t="n">
        <v>0</v>
      </c>
      <c r="L2136" t="n">
        <v>1</v>
      </c>
      <c r="M2136" t="n">
        <v>0</v>
      </c>
    </row>
    <row r="2137" spans="1:13">
      <c r="A2137" s="1">
        <f>HYPERLINK("http://www.twitter.com/NathanBLawrence/status/983785487482720258", "983785487482720258")</f>
        <v/>
      </c>
      <c r="B2137" s="2" t="n">
        <v>43200.80222222222</v>
      </c>
      <c r="C2137" t="n">
        <v>8</v>
      </c>
      <c r="D2137" t="n">
        <v>4</v>
      </c>
      <c r="E2137" t="s">
        <v>2141</v>
      </c>
      <c r="F2137">
        <f>HYPERLINK("http://pbs.twimg.com/media/DacbGADX0AAS28S.jpg", "http://pbs.twimg.com/media/DacbGADX0AAS28S.jpg")</f>
        <v/>
      </c>
      <c r="G2137">
        <f>HYPERLINK("http://pbs.twimg.com/media/DacbHe9WsAAB-pl.jpg", "http://pbs.twimg.com/media/DacbHe9WsAAB-pl.jpg")</f>
        <v/>
      </c>
      <c r="H2137">
        <f>HYPERLINK("http://pbs.twimg.com/media/DacbI-zX0AEkBsB.jpg", "http://pbs.twimg.com/media/DacbI-zX0AEkBsB.jpg")</f>
        <v/>
      </c>
      <c r="I2137" t="s"/>
      <c r="J2137" t="n">
        <v>0</v>
      </c>
      <c r="K2137" t="n">
        <v>0</v>
      </c>
      <c r="L2137" t="n">
        <v>1</v>
      </c>
      <c r="M2137" t="n">
        <v>0</v>
      </c>
    </row>
    <row r="2138" spans="1:13">
      <c r="A2138" s="1">
        <f>HYPERLINK("http://www.twitter.com/NathanBLawrence/status/983785484160815105", "983785484160815105")</f>
        <v/>
      </c>
      <c r="B2138" s="2" t="n">
        <v>43200.80221064815</v>
      </c>
      <c r="C2138" t="n">
        <v>16</v>
      </c>
      <c r="D2138" t="n">
        <v>14</v>
      </c>
      <c r="E2138" t="s">
        <v>2142</v>
      </c>
      <c r="F2138">
        <f>HYPERLINK("http://pbs.twimg.com/media/Daca9pAXcAA72xD.jpg", "http://pbs.twimg.com/media/Daca9pAXcAA72xD.jpg")</f>
        <v/>
      </c>
      <c r="G2138">
        <f>HYPERLINK("http://pbs.twimg.com/media/Daca_biXkAAOHYK.jpg", "http://pbs.twimg.com/media/Daca_biXkAAOHYK.jpg")</f>
        <v/>
      </c>
      <c r="H2138">
        <f>HYPERLINK("http://pbs.twimg.com/media/DacbBDQWsAAkEKx.jpg", "http://pbs.twimg.com/media/DacbBDQWsAAkEKx.jpg")</f>
        <v/>
      </c>
      <c r="I2138">
        <f>HYPERLINK("http://pbs.twimg.com/media/DacbCkZX0AYiCh_.jpg", "http://pbs.twimg.com/media/DacbCkZX0AYiCh_.jpg")</f>
        <v/>
      </c>
      <c r="J2138" t="n">
        <v>0.5411</v>
      </c>
      <c r="K2138" t="n">
        <v>0</v>
      </c>
      <c r="L2138" t="n">
        <v>0.72</v>
      </c>
      <c r="M2138" t="n">
        <v>0.28</v>
      </c>
    </row>
    <row r="2139" spans="1:13">
      <c r="A2139" s="1">
        <f>HYPERLINK("http://www.twitter.com/NathanBLawrence/status/983782064049844224", "983782064049844224")</f>
        <v/>
      </c>
      <c r="B2139" s="2" t="n">
        <v>43200.79277777778</v>
      </c>
      <c r="C2139" t="n">
        <v>6</v>
      </c>
      <c r="D2139" t="n">
        <v>3</v>
      </c>
      <c r="E2139" t="s">
        <v>2143</v>
      </c>
      <c r="F2139" t="s"/>
      <c r="G2139" t="s"/>
      <c r="H2139" t="s"/>
      <c r="I2139" t="s"/>
      <c r="J2139" t="n">
        <v>0.9336</v>
      </c>
      <c r="K2139" t="n">
        <v>0.064</v>
      </c>
      <c r="L2139" t="n">
        <v>0.549</v>
      </c>
      <c r="M2139" t="n">
        <v>0.387</v>
      </c>
    </row>
    <row r="2140" spans="1:13">
      <c r="A2140" s="1">
        <f>HYPERLINK("http://www.twitter.com/NathanBLawrence/status/983765537091145729", "983765537091145729")</f>
        <v/>
      </c>
      <c r="B2140" s="2" t="n">
        <v>43200.74717592593</v>
      </c>
      <c r="C2140" t="n">
        <v>0</v>
      </c>
      <c r="D2140" t="n">
        <v>1</v>
      </c>
      <c r="E2140" t="s">
        <v>2144</v>
      </c>
      <c r="F2140" t="s"/>
      <c r="G2140" t="s"/>
      <c r="H2140" t="s"/>
      <c r="I2140" t="s"/>
      <c r="J2140" t="n">
        <v>-0.296</v>
      </c>
      <c r="K2140" t="n">
        <v>0.155</v>
      </c>
      <c r="L2140" t="n">
        <v>0.845</v>
      </c>
      <c r="M2140" t="n">
        <v>0</v>
      </c>
    </row>
    <row r="2141" spans="1:13">
      <c r="A2141" s="1">
        <f>HYPERLINK("http://www.twitter.com/NathanBLawrence/status/983758957373263872", "983758957373263872")</f>
        <v/>
      </c>
      <c r="B2141" s="2" t="n">
        <v>43200.7290162037</v>
      </c>
      <c r="C2141" t="n">
        <v>1</v>
      </c>
      <c r="D2141" t="n">
        <v>0</v>
      </c>
      <c r="E2141" t="s">
        <v>2145</v>
      </c>
      <c r="F2141" t="s"/>
      <c r="G2141" t="s"/>
      <c r="H2141" t="s"/>
      <c r="I2141" t="s"/>
      <c r="J2141" t="n">
        <v>0</v>
      </c>
      <c r="K2141" t="n">
        <v>0</v>
      </c>
      <c r="L2141" t="n">
        <v>1</v>
      </c>
      <c r="M2141" t="n">
        <v>0</v>
      </c>
    </row>
    <row r="2142" spans="1:13">
      <c r="A2142" s="1">
        <f>HYPERLINK("http://www.twitter.com/NathanBLawrence/status/983757188920471552", "983757188920471552")</f>
        <v/>
      </c>
      <c r="B2142" s="2" t="n">
        <v>43200.72413194444</v>
      </c>
      <c r="C2142" t="n">
        <v>1</v>
      </c>
      <c r="D2142" t="n">
        <v>0</v>
      </c>
      <c r="E2142" t="s">
        <v>2146</v>
      </c>
      <c r="F2142" t="s"/>
      <c r="G2142" t="s"/>
      <c r="H2142" t="s"/>
      <c r="I2142" t="s"/>
      <c r="J2142" t="n">
        <v>0</v>
      </c>
      <c r="K2142" t="n">
        <v>0</v>
      </c>
      <c r="L2142" t="n">
        <v>1</v>
      </c>
      <c r="M2142" t="n">
        <v>0</v>
      </c>
    </row>
    <row r="2143" spans="1:13">
      <c r="A2143" s="1">
        <f>HYPERLINK("http://www.twitter.com/NathanBLawrence/status/983755045496901632", "983755045496901632")</f>
        <v/>
      </c>
      <c r="B2143" s="2" t="n">
        <v>43200.71821759259</v>
      </c>
      <c r="C2143" t="n">
        <v>2</v>
      </c>
      <c r="D2143" t="n">
        <v>0</v>
      </c>
      <c r="E2143" t="s">
        <v>2147</v>
      </c>
      <c r="F2143" t="s"/>
      <c r="G2143" t="s"/>
      <c r="H2143" t="s"/>
      <c r="I2143" t="s"/>
      <c r="J2143" t="n">
        <v>-0.0516</v>
      </c>
      <c r="K2143" t="n">
        <v>0.07000000000000001</v>
      </c>
      <c r="L2143" t="n">
        <v>0.868</v>
      </c>
      <c r="M2143" t="n">
        <v>0.062</v>
      </c>
    </row>
    <row r="2144" spans="1:13">
      <c r="A2144" s="1">
        <f>HYPERLINK("http://www.twitter.com/NathanBLawrence/status/983754150805729280", "983754150805729280")</f>
        <v/>
      </c>
      <c r="B2144" s="2" t="n">
        <v>43200.71575231481</v>
      </c>
      <c r="C2144" t="n">
        <v>0</v>
      </c>
      <c r="D2144" t="n">
        <v>0</v>
      </c>
      <c r="E2144" t="s">
        <v>2148</v>
      </c>
      <c r="F2144" t="s"/>
      <c r="G2144" t="s"/>
      <c r="H2144" t="s"/>
      <c r="I2144" t="s"/>
      <c r="J2144" t="n">
        <v>0</v>
      </c>
      <c r="K2144" t="n">
        <v>0</v>
      </c>
      <c r="L2144" t="n">
        <v>1</v>
      </c>
      <c r="M2144" t="n">
        <v>0</v>
      </c>
    </row>
    <row r="2145" spans="1:13">
      <c r="A2145" s="1">
        <f>HYPERLINK("http://www.twitter.com/NathanBLawrence/status/983753891920711685", "983753891920711685")</f>
        <v/>
      </c>
      <c r="B2145" s="2" t="n">
        <v>43200.71503472222</v>
      </c>
      <c r="C2145" t="n">
        <v>0</v>
      </c>
      <c r="D2145" t="n">
        <v>0</v>
      </c>
      <c r="E2145" t="s">
        <v>2149</v>
      </c>
      <c r="F2145" t="s"/>
      <c r="G2145" t="s"/>
      <c r="H2145" t="s"/>
      <c r="I2145" t="s"/>
      <c r="J2145" t="n">
        <v>0</v>
      </c>
      <c r="K2145" t="n">
        <v>0</v>
      </c>
      <c r="L2145" t="n">
        <v>1</v>
      </c>
      <c r="M2145" t="n">
        <v>0</v>
      </c>
    </row>
    <row r="2146" spans="1:13">
      <c r="A2146" s="1">
        <f>HYPERLINK("http://www.twitter.com/NathanBLawrence/status/983752993316143104", "983752993316143104")</f>
        <v/>
      </c>
      <c r="B2146" s="2" t="n">
        <v>43200.71255787037</v>
      </c>
      <c r="C2146" t="n">
        <v>1</v>
      </c>
      <c r="D2146" t="n">
        <v>0</v>
      </c>
      <c r="E2146" t="s">
        <v>2150</v>
      </c>
      <c r="F2146" t="s"/>
      <c r="G2146" t="s"/>
      <c r="H2146" t="s"/>
      <c r="I2146" t="s"/>
      <c r="J2146" t="n">
        <v>0.4574</v>
      </c>
      <c r="K2146" t="n">
        <v>0</v>
      </c>
      <c r="L2146" t="n">
        <v>0.87</v>
      </c>
      <c r="M2146" t="n">
        <v>0.13</v>
      </c>
    </row>
    <row r="2147" spans="1:13">
      <c r="A2147" s="1">
        <f>HYPERLINK("http://www.twitter.com/NathanBLawrence/status/983748845610979329", "983748845610979329")</f>
        <v/>
      </c>
      <c r="B2147" s="2" t="n">
        <v>43200.70111111111</v>
      </c>
      <c r="C2147" t="n">
        <v>3</v>
      </c>
      <c r="D2147" t="n">
        <v>2</v>
      </c>
      <c r="E2147" t="s">
        <v>2151</v>
      </c>
      <c r="F2147" t="s"/>
      <c r="G2147" t="s"/>
      <c r="H2147" t="s"/>
      <c r="I2147" t="s"/>
      <c r="J2147" t="n">
        <v>0.147</v>
      </c>
      <c r="K2147" t="n">
        <v>0.064</v>
      </c>
      <c r="L2147" t="n">
        <v>0.858</v>
      </c>
      <c r="M2147" t="n">
        <v>0.078</v>
      </c>
    </row>
    <row r="2148" spans="1:13">
      <c r="A2148" s="1">
        <f>HYPERLINK("http://www.twitter.com/NathanBLawrence/status/983747330334773248", "983747330334773248")</f>
        <v/>
      </c>
      <c r="B2148" s="2" t="n">
        <v>43200.69693287037</v>
      </c>
      <c r="C2148" t="n">
        <v>1</v>
      </c>
      <c r="D2148" t="n">
        <v>0</v>
      </c>
      <c r="E2148" t="s">
        <v>2152</v>
      </c>
      <c r="F2148" t="s"/>
      <c r="G2148" t="s"/>
      <c r="H2148" t="s"/>
      <c r="I2148" t="s"/>
      <c r="J2148" t="n">
        <v>0.1267</v>
      </c>
      <c r="K2148" t="n">
        <v>0.107</v>
      </c>
      <c r="L2148" t="n">
        <v>0.802</v>
      </c>
      <c r="M2148" t="n">
        <v>0.091</v>
      </c>
    </row>
    <row r="2149" spans="1:13">
      <c r="A2149" s="1">
        <f>HYPERLINK("http://www.twitter.com/NathanBLawrence/status/983746872329342976", "983746872329342976")</f>
        <v/>
      </c>
      <c r="B2149" s="2" t="n">
        <v>43200.69567129629</v>
      </c>
      <c r="C2149" t="n">
        <v>2</v>
      </c>
      <c r="D2149" t="n">
        <v>1</v>
      </c>
      <c r="E2149" t="s">
        <v>2153</v>
      </c>
      <c r="F2149" t="s"/>
      <c r="G2149" t="s"/>
      <c r="H2149" t="s"/>
      <c r="I2149" t="s"/>
      <c r="J2149" t="n">
        <v>0</v>
      </c>
      <c r="K2149" t="n">
        <v>0</v>
      </c>
      <c r="L2149" t="n">
        <v>1</v>
      </c>
      <c r="M2149" t="n">
        <v>0</v>
      </c>
    </row>
    <row r="2150" spans="1:13">
      <c r="A2150" s="1">
        <f>HYPERLINK("http://www.twitter.com/NathanBLawrence/status/983743178565214208", "983743178565214208")</f>
        <v/>
      </c>
      <c r="B2150" s="2" t="n">
        <v>43200.68547453704</v>
      </c>
      <c r="C2150" t="n">
        <v>0</v>
      </c>
      <c r="D2150" t="n">
        <v>0</v>
      </c>
      <c r="E2150" t="s">
        <v>2154</v>
      </c>
      <c r="F2150" t="s"/>
      <c r="G2150" t="s"/>
      <c r="H2150" t="s"/>
      <c r="I2150" t="s"/>
      <c r="J2150" t="n">
        <v>0.296</v>
      </c>
      <c r="K2150" t="n">
        <v>0</v>
      </c>
      <c r="L2150" t="n">
        <v>0.784</v>
      </c>
      <c r="M2150" t="n">
        <v>0.216</v>
      </c>
    </row>
    <row r="2151" spans="1:13">
      <c r="A2151" s="1">
        <f>HYPERLINK("http://www.twitter.com/NathanBLawrence/status/983742385283895299", "983742385283895299")</f>
        <v/>
      </c>
      <c r="B2151" s="2" t="n">
        <v>43200.68328703703</v>
      </c>
      <c r="C2151" t="n">
        <v>0</v>
      </c>
      <c r="D2151" t="n">
        <v>0</v>
      </c>
      <c r="E2151" t="s">
        <v>2155</v>
      </c>
      <c r="F2151" t="s"/>
      <c r="G2151" t="s"/>
      <c r="H2151" t="s"/>
      <c r="I2151" t="s"/>
      <c r="J2151" t="n">
        <v>0</v>
      </c>
      <c r="K2151" t="n">
        <v>0</v>
      </c>
      <c r="L2151" t="n">
        <v>1</v>
      </c>
      <c r="M2151" t="n">
        <v>0</v>
      </c>
    </row>
    <row r="2152" spans="1:13">
      <c r="A2152" s="1">
        <f>HYPERLINK("http://www.twitter.com/NathanBLawrence/status/983742221747982336", "983742221747982336")</f>
        <v/>
      </c>
      <c r="B2152" s="2" t="n">
        <v>43200.68283564815</v>
      </c>
      <c r="C2152" t="n">
        <v>0</v>
      </c>
      <c r="D2152" t="n">
        <v>0</v>
      </c>
      <c r="E2152" t="s">
        <v>2156</v>
      </c>
      <c r="F2152">
        <f>HYPERLINK("http://pbs.twimg.com/media/Dab0UwHX4AAPz1x.jpg", "http://pbs.twimg.com/media/Dab0UwHX4AAPz1x.jpg")</f>
        <v/>
      </c>
      <c r="G2152" t="s"/>
      <c r="H2152" t="s"/>
      <c r="I2152" t="s"/>
      <c r="J2152" t="n">
        <v>0</v>
      </c>
      <c r="K2152" t="n">
        <v>0</v>
      </c>
      <c r="L2152" t="n">
        <v>1</v>
      </c>
      <c r="M2152" t="n">
        <v>0</v>
      </c>
    </row>
    <row r="2153" spans="1:13">
      <c r="A2153" s="1">
        <f>HYPERLINK("http://www.twitter.com/NathanBLawrence/status/983741378122350594", "983741378122350594")</f>
        <v/>
      </c>
      <c r="B2153" s="2" t="n">
        <v>43200.68050925926</v>
      </c>
      <c r="C2153" t="n">
        <v>0</v>
      </c>
      <c r="D2153" t="n">
        <v>0</v>
      </c>
      <c r="E2153" t="s">
        <v>2157</v>
      </c>
      <c r="F2153" t="s"/>
      <c r="G2153" t="s"/>
      <c r="H2153" t="s"/>
      <c r="I2153" t="s"/>
      <c r="J2153" t="n">
        <v>0</v>
      </c>
      <c r="K2153" t="n">
        <v>0</v>
      </c>
      <c r="L2153" t="n">
        <v>1</v>
      </c>
      <c r="M2153" t="n">
        <v>0</v>
      </c>
    </row>
    <row r="2154" spans="1:13">
      <c r="A2154" s="1">
        <f>HYPERLINK("http://www.twitter.com/NathanBLawrence/status/983740552050102277", "983740552050102277")</f>
        <v/>
      </c>
      <c r="B2154" s="2" t="n">
        <v>43200.67822916667</v>
      </c>
      <c r="C2154" t="n">
        <v>0</v>
      </c>
      <c r="D2154" t="n">
        <v>0</v>
      </c>
      <c r="E2154" t="s">
        <v>2158</v>
      </c>
      <c r="F2154" t="s"/>
      <c r="G2154" t="s"/>
      <c r="H2154" t="s"/>
      <c r="I2154" t="s"/>
      <c r="J2154" t="n">
        <v>0</v>
      </c>
      <c r="K2154" t="n">
        <v>0</v>
      </c>
      <c r="L2154" t="n">
        <v>1</v>
      </c>
      <c r="M2154" t="n">
        <v>0</v>
      </c>
    </row>
    <row r="2155" spans="1:13">
      <c r="A2155" s="1">
        <f>HYPERLINK("http://www.twitter.com/NathanBLawrence/status/983739677088845825", "983739677088845825")</f>
        <v/>
      </c>
      <c r="B2155" s="2" t="n">
        <v>43200.67581018519</v>
      </c>
      <c r="C2155" t="n">
        <v>2</v>
      </c>
      <c r="D2155" t="n">
        <v>2</v>
      </c>
      <c r="E2155" t="s">
        <v>2159</v>
      </c>
      <c r="F2155" t="s"/>
      <c r="G2155" t="s"/>
      <c r="H2155" t="s"/>
      <c r="I2155" t="s"/>
      <c r="J2155" t="n">
        <v>0.5719</v>
      </c>
      <c r="K2155" t="n">
        <v>0</v>
      </c>
      <c r="L2155" t="n">
        <v>0.888</v>
      </c>
      <c r="M2155" t="n">
        <v>0.112</v>
      </c>
    </row>
    <row r="2156" spans="1:13">
      <c r="A2156" s="1">
        <f>HYPERLINK("http://www.twitter.com/NathanBLawrence/status/983737299077943297", "983737299077943297")</f>
        <v/>
      </c>
      <c r="B2156" s="2" t="n">
        <v>43200.66924768518</v>
      </c>
      <c r="C2156" t="n">
        <v>0</v>
      </c>
      <c r="D2156" t="n">
        <v>0</v>
      </c>
      <c r="E2156" t="s">
        <v>2160</v>
      </c>
      <c r="F2156" t="s"/>
      <c r="G2156" t="s"/>
      <c r="H2156" t="s"/>
      <c r="I2156" t="s"/>
      <c r="J2156" t="n">
        <v>0.4019</v>
      </c>
      <c r="K2156" t="n">
        <v>0</v>
      </c>
      <c r="L2156" t="n">
        <v>0.722</v>
      </c>
      <c r="M2156" t="n">
        <v>0.278</v>
      </c>
    </row>
    <row r="2157" spans="1:13">
      <c r="A2157" s="1">
        <f>HYPERLINK("http://www.twitter.com/NathanBLawrence/status/983716262449745920", "983716262449745920")</f>
        <v/>
      </c>
      <c r="B2157" s="2" t="n">
        <v>43200.6112037037</v>
      </c>
      <c r="C2157" t="n">
        <v>0</v>
      </c>
      <c r="D2157" t="n">
        <v>0</v>
      </c>
      <c r="E2157" t="s">
        <v>2161</v>
      </c>
      <c r="F2157" t="s"/>
      <c r="G2157" t="s"/>
      <c r="H2157" t="s"/>
      <c r="I2157" t="s"/>
      <c r="J2157" t="n">
        <v>0</v>
      </c>
      <c r="K2157" t="n">
        <v>0</v>
      </c>
      <c r="L2157" t="n">
        <v>1</v>
      </c>
      <c r="M2157" t="n">
        <v>0</v>
      </c>
    </row>
    <row r="2158" spans="1:13">
      <c r="A2158" s="1">
        <f>HYPERLINK("http://www.twitter.com/NathanBLawrence/status/983713935508561920", "983713935508561920")</f>
        <v/>
      </c>
      <c r="B2158" s="2" t="n">
        <v>43200.6047800926</v>
      </c>
      <c r="C2158" t="n">
        <v>0</v>
      </c>
      <c r="D2158" t="n">
        <v>0</v>
      </c>
      <c r="E2158" t="s">
        <v>2162</v>
      </c>
      <c r="F2158" t="s"/>
      <c r="G2158" t="s"/>
      <c r="H2158" t="s"/>
      <c r="I2158" t="s"/>
      <c r="J2158" t="n">
        <v>0.4019</v>
      </c>
      <c r="K2158" t="n">
        <v>0</v>
      </c>
      <c r="L2158" t="n">
        <v>0.903</v>
      </c>
      <c r="M2158" t="n">
        <v>0.097</v>
      </c>
    </row>
    <row r="2159" spans="1:13">
      <c r="A2159" s="1">
        <f>HYPERLINK("http://www.twitter.com/NathanBLawrence/status/983695923845980160", "983695923845980160")</f>
        <v/>
      </c>
      <c r="B2159" s="2" t="n">
        <v>43200.55508101852</v>
      </c>
      <c r="C2159" t="n">
        <v>2</v>
      </c>
      <c r="D2159" t="n">
        <v>1</v>
      </c>
      <c r="E2159" t="s">
        <v>2163</v>
      </c>
      <c r="F2159" t="s"/>
      <c r="G2159" t="s"/>
      <c r="H2159" t="s"/>
      <c r="I2159" t="s"/>
      <c r="J2159" t="n">
        <v>-0.4809</v>
      </c>
      <c r="K2159" t="n">
        <v>0.125</v>
      </c>
      <c r="L2159" t="n">
        <v>0.8129999999999999</v>
      </c>
      <c r="M2159" t="n">
        <v>0.061</v>
      </c>
    </row>
    <row r="2160" spans="1:13">
      <c r="A2160" s="1">
        <f>HYPERLINK("http://www.twitter.com/NathanBLawrence/status/983695599429091328", "983695599429091328")</f>
        <v/>
      </c>
      <c r="B2160" s="2" t="n">
        <v>43200.55417824074</v>
      </c>
      <c r="C2160" t="n">
        <v>0</v>
      </c>
      <c r="D2160" t="n">
        <v>0</v>
      </c>
      <c r="E2160" t="s">
        <v>2164</v>
      </c>
      <c r="F2160" t="s"/>
      <c r="G2160" t="s"/>
      <c r="H2160" t="s"/>
      <c r="I2160" t="s"/>
      <c r="J2160" t="n">
        <v>-0.1677</v>
      </c>
      <c r="K2160" t="n">
        <v>0.191</v>
      </c>
      <c r="L2160" t="n">
        <v>0.65</v>
      </c>
      <c r="M2160" t="n">
        <v>0.158</v>
      </c>
    </row>
    <row r="2161" spans="1:13">
      <c r="A2161" s="1">
        <f>HYPERLINK("http://www.twitter.com/NathanBLawrence/status/983690060364242944", "983690060364242944")</f>
        <v/>
      </c>
      <c r="B2161" s="2" t="n">
        <v>43200.53890046296</v>
      </c>
      <c r="C2161" t="n">
        <v>0</v>
      </c>
      <c r="D2161" t="n">
        <v>0</v>
      </c>
      <c r="E2161" t="s">
        <v>2165</v>
      </c>
      <c r="F2161" t="s"/>
      <c r="G2161" t="s"/>
      <c r="H2161" t="s"/>
      <c r="I2161" t="s"/>
      <c r="J2161" t="n">
        <v>0</v>
      </c>
      <c r="K2161" t="n">
        <v>0</v>
      </c>
      <c r="L2161" t="n">
        <v>1</v>
      </c>
      <c r="M2161" t="n">
        <v>0</v>
      </c>
    </row>
    <row r="2162" spans="1:13">
      <c r="A2162" s="1">
        <f>HYPERLINK("http://www.twitter.com/NathanBLawrence/status/983686131656126465", "983686131656126465")</f>
        <v/>
      </c>
      <c r="B2162" s="2" t="n">
        <v>43200.52805555556</v>
      </c>
      <c r="C2162" t="n">
        <v>0</v>
      </c>
      <c r="D2162" t="n">
        <v>0</v>
      </c>
      <c r="E2162" t="s">
        <v>2166</v>
      </c>
      <c r="F2162" t="s"/>
      <c r="G2162" t="s"/>
      <c r="H2162" t="s"/>
      <c r="I2162" t="s"/>
      <c r="J2162" t="n">
        <v>0</v>
      </c>
      <c r="K2162" t="n">
        <v>0</v>
      </c>
      <c r="L2162" t="n">
        <v>1</v>
      </c>
      <c r="M2162" t="n">
        <v>0</v>
      </c>
    </row>
    <row r="2163" spans="1:13">
      <c r="A2163" s="1">
        <f>HYPERLINK("http://www.twitter.com/NathanBLawrence/status/983685887484710912", "983685887484710912")</f>
        <v/>
      </c>
      <c r="B2163" s="2" t="n">
        <v>43200.52738425926</v>
      </c>
      <c r="C2163" t="n">
        <v>1</v>
      </c>
      <c r="D2163" t="n">
        <v>0</v>
      </c>
      <c r="E2163" t="s">
        <v>2167</v>
      </c>
      <c r="F2163">
        <f>HYPERLINK("http://pbs.twimg.com/media/DabBB6hW4AE9Adz.jpg", "http://pbs.twimg.com/media/DabBB6hW4AE9Adz.jpg")</f>
        <v/>
      </c>
      <c r="G2163" t="s"/>
      <c r="H2163" t="s"/>
      <c r="I2163" t="s"/>
      <c r="J2163" t="n">
        <v>-0.4019</v>
      </c>
      <c r="K2163" t="n">
        <v>0.119</v>
      </c>
      <c r="L2163" t="n">
        <v>0.881</v>
      </c>
      <c r="M2163" t="n">
        <v>0</v>
      </c>
    </row>
    <row r="2164" spans="1:13">
      <c r="A2164" s="1">
        <f>HYPERLINK("http://www.twitter.com/NathanBLawrence/status/983683164198580224", "983683164198580224")</f>
        <v/>
      </c>
      <c r="B2164" s="2" t="n">
        <v>43200.51986111111</v>
      </c>
      <c r="C2164" t="n">
        <v>23</v>
      </c>
      <c r="D2164" t="n">
        <v>14</v>
      </c>
      <c r="E2164" t="s">
        <v>2168</v>
      </c>
      <c r="F2164">
        <f>HYPERLINK("http://pbs.twimg.com/media/Daa-nolW0AAt2Iz.jpg", "http://pbs.twimg.com/media/Daa-nolW0AAt2Iz.jpg")</f>
        <v/>
      </c>
      <c r="G2164" t="s"/>
      <c r="H2164" t="s"/>
      <c r="I2164" t="s"/>
      <c r="J2164" t="n">
        <v>0.34</v>
      </c>
      <c r="K2164" t="n">
        <v>0</v>
      </c>
      <c r="L2164" t="n">
        <v>0.906</v>
      </c>
      <c r="M2164" t="n">
        <v>0.094</v>
      </c>
    </row>
    <row r="2165" spans="1:13">
      <c r="A2165" s="1">
        <f>HYPERLINK("http://www.twitter.com/NathanBLawrence/status/983678405060321280", "983678405060321280")</f>
        <v/>
      </c>
      <c r="B2165" s="2" t="n">
        <v>43200.50673611111</v>
      </c>
      <c r="C2165" t="n">
        <v>0</v>
      </c>
      <c r="D2165" t="n">
        <v>0</v>
      </c>
      <c r="E2165" t="s">
        <v>2169</v>
      </c>
      <c r="F2165">
        <f>HYPERLINK("http://pbs.twimg.com/media/Daa6N4PW4AAFuw6.jpg", "http://pbs.twimg.com/media/Daa6N4PW4AAFuw6.jpg")</f>
        <v/>
      </c>
      <c r="G2165" t="s"/>
      <c r="H2165" t="s"/>
      <c r="I2165" t="s"/>
      <c r="J2165" t="n">
        <v>0.34</v>
      </c>
      <c r="K2165" t="n">
        <v>0</v>
      </c>
      <c r="L2165" t="n">
        <v>0.924</v>
      </c>
      <c r="M2165" t="n">
        <v>0.076</v>
      </c>
    </row>
    <row r="2166" spans="1:13">
      <c r="A2166" s="1">
        <f>HYPERLINK("http://www.twitter.com/NathanBLawrence/status/983677331893088256", "983677331893088256")</f>
        <v/>
      </c>
      <c r="B2166" s="2" t="n">
        <v>43200.50377314815</v>
      </c>
      <c r="C2166" t="n">
        <v>0</v>
      </c>
      <c r="D2166" t="n">
        <v>0</v>
      </c>
      <c r="E2166" t="s">
        <v>2170</v>
      </c>
      <c r="F2166">
        <f>HYPERLINK("http://pbs.twimg.com/media/Daa5OgBXkAAsgXy.jpg", "http://pbs.twimg.com/media/Daa5OgBXkAAsgXy.jpg")</f>
        <v/>
      </c>
      <c r="G2166" t="s"/>
      <c r="H2166" t="s"/>
      <c r="I2166" t="s"/>
      <c r="J2166" t="n">
        <v>0.34</v>
      </c>
      <c r="K2166" t="n">
        <v>0</v>
      </c>
      <c r="L2166" t="n">
        <v>0.912</v>
      </c>
      <c r="M2166" t="n">
        <v>0.08799999999999999</v>
      </c>
    </row>
    <row r="2167" spans="1:13">
      <c r="A2167" s="1">
        <f>HYPERLINK("http://www.twitter.com/NathanBLawrence/status/983633633880702976", "983633633880702976")</f>
        <v/>
      </c>
      <c r="B2167" s="2" t="n">
        <v>43200.38319444445</v>
      </c>
      <c r="C2167" t="n">
        <v>0</v>
      </c>
      <c r="D2167" t="n">
        <v>2</v>
      </c>
      <c r="E2167" t="s">
        <v>2171</v>
      </c>
      <c r="F2167" t="s"/>
      <c r="G2167" t="s"/>
      <c r="H2167" t="s"/>
      <c r="I2167" t="s"/>
      <c r="J2167" t="n">
        <v>-0.25</v>
      </c>
      <c r="K2167" t="n">
        <v>0.143</v>
      </c>
      <c r="L2167" t="n">
        <v>0.857</v>
      </c>
      <c r="M2167" t="n">
        <v>0</v>
      </c>
    </row>
    <row r="2168" spans="1:13">
      <c r="A2168" s="1">
        <f>HYPERLINK("http://www.twitter.com/NathanBLawrence/status/983551629285838848", "983551629285838848")</f>
        <v/>
      </c>
      <c r="B2168" s="2" t="n">
        <v>43200.15689814815</v>
      </c>
      <c r="C2168" t="n">
        <v>0</v>
      </c>
      <c r="D2168" t="n">
        <v>0</v>
      </c>
      <c r="E2168" t="s">
        <v>2172</v>
      </c>
      <c r="F2168" t="s"/>
      <c r="G2168" t="s"/>
      <c r="H2168" t="s"/>
      <c r="I2168" t="s"/>
      <c r="J2168" t="n">
        <v>0.4019</v>
      </c>
      <c r="K2168" t="n">
        <v>0</v>
      </c>
      <c r="L2168" t="n">
        <v>0.769</v>
      </c>
      <c r="M2168" t="n">
        <v>0.231</v>
      </c>
    </row>
    <row r="2169" spans="1:13">
      <c r="A2169" s="1">
        <f>HYPERLINK("http://www.twitter.com/NathanBLawrence/status/983544625335099393", "983544625335099393")</f>
        <v/>
      </c>
      <c r="B2169" s="2" t="n">
        <v>43200.13756944444</v>
      </c>
      <c r="C2169" t="n">
        <v>2</v>
      </c>
      <c r="D2169" t="n">
        <v>1</v>
      </c>
      <c r="E2169" t="s">
        <v>2173</v>
      </c>
      <c r="F2169" t="s"/>
      <c r="G2169" t="s"/>
      <c r="H2169" t="s"/>
      <c r="I2169" t="s"/>
      <c r="J2169" t="n">
        <v>0.4019</v>
      </c>
      <c r="K2169" t="n">
        <v>0</v>
      </c>
      <c r="L2169" t="n">
        <v>0.6899999999999999</v>
      </c>
      <c r="M2169" t="n">
        <v>0.31</v>
      </c>
    </row>
    <row r="2170" spans="1:13">
      <c r="A2170" s="1">
        <f>HYPERLINK("http://www.twitter.com/NathanBLawrence/status/983544300981096448", "983544300981096448")</f>
        <v/>
      </c>
      <c r="B2170" s="2" t="n">
        <v>43200.13667824074</v>
      </c>
      <c r="C2170" t="n">
        <v>0</v>
      </c>
      <c r="D2170" t="n">
        <v>0</v>
      </c>
      <c r="E2170" t="s">
        <v>2174</v>
      </c>
      <c r="F2170" t="s"/>
      <c r="G2170" t="s"/>
      <c r="H2170" t="s"/>
      <c r="I2170" t="s"/>
      <c r="J2170" t="n">
        <v>0.25</v>
      </c>
      <c r="K2170" t="n">
        <v>0</v>
      </c>
      <c r="L2170" t="n">
        <v>0.8179999999999999</v>
      </c>
      <c r="M2170" t="n">
        <v>0.182</v>
      </c>
    </row>
    <row r="2171" spans="1:13">
      <c r="A2171" s="1">
        <f>HYPERLINK("http://www.twitter.com/NathanBLawrence/status/983539525443047424", "983539525443047424")</f>
        <v/>
      </c>
      <c r="B2171" s="2" t="n">
        <v>43200.12349537037</v>
      </c>
      <c r="C2171" t="n">
        <v>0</v>
      </c>
      <c r="D2171" t="n">
        <v>0</v>
      </c>
      <c r="E2171" t="s">
        <v>2175</v>
      </c>
      <c r="F2171" t="s"/>
      <c r="G2171" t="s"/>
      <c r="H2171" t="s"/>
      <c r="I2171" t="s"/>
      <c r="J2171" t="n">
        <v>0</v>
      </c>
      <c r="K2171" t="n">
        <v>0</v>
      </c>
      <c r="L2171" t="n">
        <v>1</v>
      </c>
      <c r="M2171" t="n">
        <v>0</v>
      </c>
    </row>
    <row r="2172" spans="1:13">
      <c r="A2172" s="1">
        <f>HYPERLINK("http://www.twitter.com/NathanBLawrence/status/983465137867812864", "983465137867812864")</f>
        <v/>
      </c>
      <c r="B2172" s="2" t="n">
        <v>43199.91822916667</v>
      </c>
      <c r="C2172" t="n">
        <v>0</v>
      </c>
      <c r="D2172" t="n">
        <v>0</v>
      </c>
      <c r="E2172" t="s">
        <v>2176</v>
      </c>
      <c r="F2172" t="s"/>
      <c r="G2172" t="s"/>
      <c r="H2172" t="s"/>
      <c r="I2172" t="s"/>
      <c r="J2172" t="n">
        <v>-0.6808</v>
      </c>
      <c r="K2172" t="n">
        <v>0.295</v>
      </c>
      <c r="L2172" t="n">
        <v>0.705</v>
      </c>
      <c r="M2172" t="n">
        <v>0</v>
      </c>
    </row>
    <row r="2173" spans="1:13">
      <c r="A2173" s="1">
        <f>HYPERLINK("http://www.twitter.com/NathanBLawrence/status/983462922730033158", "983462922730033158")</f>
        <v/>
      </c>
      <c r="B2173" s="2" t="n">
        <v>43199.91211805555</v>
      </c>
      <c r="C2173" t="n">
        <v>0</v>
      </c>
      <c r="D2173" t="n">
        <v>0</v>
      </c>
      <c r="E2173" t="s">
        <v>2177</v>
      </c>
      <c r="F2173" t="s"/>
      <c r="G2173" t="s"/>
      <c r="H2173" t="s"/>
      <c r="I2173" t="s"/>
      <c r="J2173" t="n">
        <v>-0.7319</v>
      </c>
      <c r="K2173" t="n">
        <v>0.203</v>
      </c>
      <c r="L2173" t="n">
        <v>0.748</v>
      </c>
      <c r="M2173" t="n">
        <v>0.049</v>
      </c>
    </row>
    <row r="2174" spans="1:13">
      <c r="A2174" s="1">
        <f>HYPERLINK("http://www.twitter.com/NathanBLawrence/status/983462522878676998", "983462522878676998")</f>
        <v/>
      </c>
      <c r="B2174" s="2" t="n">
        <v>43199.91100694444</v>
      </c>
      <c r="C2174" t="n">
        <v>0</v>
      </c>
      <c r="D2174" t="n">
        <v>0</v>
      </c>
      <c r="E2174" t="s">
        <v>2178</v>
      </c>
      <c r="F2174" t="s"/>
      <c r="G2174" t="s"/>
      <c r="H2174" t="s"/>
      <c r="I2174" t="s"/>
      <c r="J2174" t="n">
        <v>0</v>
      </c>
      <c r="K2174" t="n">
        <v>0</v>
      </c>
      <c r="L2174" t="n">
        <v>1</v>
      </c>
      <c r="M2174" t="n">
        <v>0</v>
      </c>
    </row>
    <row r="2175" spans="1:13">
      <c r="A2175" s="1">
        <f>HYPERLINK("http://www.twitter.com/NathanBLawrence/status/983462102689083392", "983462102689083392")</f>
        <v/>
      </c>
      <c r="B2175" s="2" t="n">
        <v>43199.90984953703</v>
      </c>
      <c r="C2175" t="n">
        <v>0</v>
      </c>
      <c r="D2175" t="n">
        <v>0</v>
      </c>
      <c r="E2175" t="s">
        <v>2179</v>
      </c>
      <c r="F2175" t="s"/>
      <c r="G2175" t="s"/>
      <c r="H2175" t="s"/>
      <c r="I2175" t="s"/>
      <c r="J2175" t="n">
        <v>-0.4926</v>
      </c>
      <c r="K2175" t="n">
        <v>0.444</v>
      </c>
      <c r="L2175" t="n">
        <v>0.556</v>
      </c>
      <c r="M2175" t="n">
        <v>0</v>
      </c>
    </row>
    <row r="2176" spans="1:13">
      <c r="A2176" s="1">
        <f>HYPERLINK("http://www.twitter.com/NathanBLawrence/status/983461145766973440", "983461145766973440")</f>
        <v/>
      </c>
      <c r="B2176" s="2" t="n">
        <v>43199.90721064815</v>
      </c>
      <c r="C2176" t="n">
        <v>2</v>
      </c>
      <c r="D2176" t="n">
        <v>1</v>
      </c>
      <c r="E2176" t="s">
        <v>2180</v>
      </c>
      <c r="F2176" t="s"/>
      <c r="G2176" t="s"/>
      <c r="H2176" t="s"/>
      <c r="I2176" t="s"/>
      <c r="J2176" t="n">
        <v>0.6588000000000001</v>
      </c>
      <c r="K2176" t="n">
        <v>0</v>
      </c>
      <c r="L2176" t="n">
        <v>0.477</v>
      </c>
      <c r="M2176" t="n">
        <v>0.523</v>
      </c>
    </row>
    <row r="2177" spans="1:13">
      <c r="A2177" s="1">
        <f>HYPERLINK("http://www.twitter.com/NathanBLawrence/status/983451611472244736", "983451611472244736")</f>
        <v/>
      </c>
      <c r="B2177" s="2" t="n">
        <v>43199.88090277778</v>
      </c>
      <c r="C2177" t="n">
        <v>0</v>
      </c>
      <c r="D2177" t="n">
        <v>0</v>
      </c>
      <c r="E2177" t="s">
        <v>2181</v>
      </c>
      <c r="F2177" t="s"/>
      <c r="G2177" t="s"/>
      <c r="H2177" t="s"/>
      <c r="I2177" t="s"/>
      <c r="J2177" t="n">
        <v>0</v>
      </c>
      <c r="K2177" t="n">
        <v>0</v>
      </c>
      <c r="L2177" t="n">
        <v>1</v>
      </c>
      <c r="M2177" t="n">
        <v>0</v>
      </c>
    </row>
    <row r="2178" spans="1:13">
      <c r="A2178" s="1">
        <f>HYPERLINK("http://www.twitter.com/NathanBLawrence/status/983437375232593920", "983437375232593920")</f>
        <v/>
      </c>
      <c r="B2178" s="2" t="n">
        <v>43199.84162037037</v>
      </c>
      <c r="C2178" t="n">
        <v>0</v>
      </c>
      <c r="D2178" t="n">
        <v>52</v>
      </c>
      <c r="E2178" t="s">
        <v>2182</v>
      </c>
      <c r="F2178" t="s"/>
      <c r="G2178" t="s"/>
      <c r="H2178" t="s"/>
      <c r="I2178" t="s"/>
      <c r="J2178" t="n">
        <v>0</v>
      </c>
      <c r="K2178" t="n">
        <v>0</v>
      </c>
      <c r="L2178" t="n">
        <v>1</v>
      </c>
      <c r="M2178" t="n">
        <v>0</v>
      </c>
    </row>
    <row r="2179" spans="1:13">
      <c r="A2179" s="1">
        <f>HYPERLINK("http://www.twitter.com/NathanBLawrence/status/983436197736394753", "983436197736394753")</f>
        <v/>
      </c>
      <c r="B2179" s="2" t="n">
        <v>43199.83836805556</v>
      </c>
      <c r="C2179" t="n">
        <v>3</v>
      </c>
      <c r="D2179" t="n">
        <v>1</v>
      </c>
      <c r="E2179" t="s">
        <v>2183</v>
      </c>
      <c r="F2179" t="s"/>
      <c r="G2179" t="s"/>
      <c r="H2179" t="s"/>
      <c r="I2179" t="s"/>
      <c r="J2179" t="n">
        <v>-0.5106000000000001</v>
      </c>
      <c r="K2179" t="n">
        <v>0.147</v>
      </c>
      <c r="L2179" t="n">
        <v>0.853</v>
      </c>
      <c r="M2179" t="n">
        <v>0</v>
      </c>
    </row>
    <row r="2180" spans="1:13">
      <c r="A2180" s="1">
        <f>HYPERLINK("http://www.twitter.com/NathanBLawrence/status/983436015896494080", "983436015896494080")</f>
        <v/>
      </c>
      <c r="B2180" s="2" t="n">
        <v>43199.83787037037</v>
      </c>
      <c r="C2180" t="n">
        <v>1</v>
      </c>
      <c r="D2180" t="n">
        <v>1</v>
      </c>
      <c r="E2180" t="s">
        <v>2184</v>
      </c>
      <c r="F2180" t="s"/>
      <c r="G2180" t="s"/>
      <c r="H2180" t="s"/>
      <c r="I2180" t="s"/>
      <c r="J2180" t="n">
        <v>-0.5106000000000001</v>
      </c>
      <c r="K2180" t="n">
        <v>0.158</v>
      </c>
      <c r="L2180" t="n">
        <v>0.842</v>
      </c>
      <c r="M2180" t="n">
        <v>0</v>
      </c>
    </row>
    <row r="2181" spans="1:13">
      <c r="A2181" s="1">
        <f>HYPERLINK("http://www.twitter.com/NathanBLawrence/status/983435644168015872", "983435644168015872")</f>
        <v/>
      </c>
      <c r="B2181" s="2" t="n">
        <v>43199.83684027778</v>
      </c>
      <c r="C2181" t="n">
        <v>1</v>
      </c>
      <c r="D2181" t="n">
        <v>0</v>
      </c>
      <c r="E2181" t="s">
        <v>2185</v>
      </c>
      <c r="F2181" t="s"/>
      <c r="G2181" t="s"/>
      <c r="H2181" t="s"/>
      <c r="I2181" t="s"/>
      <c r="J2181" t="n">
        <v>-0.5106000000000001</v>
      </c>
      <c r="K2181" t="n">
        <v>0.152</v>
      </c>
      <c r="L2181" t="n">
        <v>0.848</v>
      </c>
      <c r="M2181" t="n">
        <v>0</v>
      </c>
    </row>
    <row r="2182" spans="1:13">
      <c r="A2182" s="1">
        <f>HYPERLINK("http://www.twitter.com/NathanBLawrence/status/983434904582148098", "983434904582148098")</f>
        <v/>
      </c>
      <c r="B2182" s="2" t="n">
        <v>43199.83480324074</v>
      </c>
      <c r="C2182" t="n">
        <v>3</v>
      </c>
      <c r="D2182" t="n">
        <v>1</v>
      </c>
      <c r="E2182" t="s">
        <v>2186</v>
      </c>
      <c r="F2182" t="s"/>
      <c r="G2182" t="s"/>
      <c r="H2182" t="s"/>
      <c r="I2182" t="s"/>
      <c r="J2182" t="n">
        <v>0.1045</v>
      </c>
      <c r="K2182" t="n">
        <v>0.064</v>
      </c>
      <c r="L2182" t="n">
        <v>0.861</v>
      </c>
      <c r="M2182" t="n">
        <v>0.075</v>
      </c>
    </row>
    <row r="2183" spans="1:13">
      <c r="A2183" s="1">
        <f>HYPERLINK("http://www.twitter.com/NathanBLawrence/status/983432486981120000", "983432486981120000")</f>
        <v/>
      </c>
      <c r="B2183" s="2" t="n">
        <v>43199.828125</v>
      </c>
      <c r="C2183" t="n">
        <v>0</v>
      </c>
      <c r="D2183" t="n">
        <v>0</v>
      </c>
      <c r="E2183" t="s">
        <v>2187</v>
      </c>
      <c r="F2183" t="s"/>
      <c r="G2183" t="s"/>
      <c r="H2183" t="s"/>
      <c r="I2183" t="s"/>
      <c r="J2183" t="n">
        <v>-0.5266999999999999</v>
      </c>
      <c r="K2183" t="n">
        <v>0.175</v>
      </c>
      <c r="L2183" t="n">
        <v>0.825</v>
      </c>
      <c r="M2183" t="n">
        <v>0</v>
      </c>
    </row>
    <row r="2184" spans="1:13">
      <c r="A2184" s="1">
        <f>HYPERLINK("http://www.twitter.com/NathanBLawrence/status/983431296704794632", "983431296704794632")</f>
        <v/>
      </c>
      <c r="B2184" s="2" t="n">
        <v>43199.82484953704</v>
      </c>
      <c r="C2184" t="n">
        <v>4</v>
      </c>
      <c r="D2184" t="n">
        <v>2</v>
      </c>
      <c r="E2184" t="s">
        <v>2188</v>
      </c>
      <c r="F2184" t="s"/>
      <c r="G2184" t="s"/>
      <c r="H2184" t="s"/>
      <c r="I2184" t="s"/>
      <c r="J2184" t="n">
        <v>-0.4019</v>
      </c>
      <c r="K2184" t="n">
        <v>0.184</v>
      </c>
      <c r="L2184" t="n">
        <v>0.8159999999999999</v>
      </c>
      <c r="M2184" t="n">
        <v>0</v>
      </c>
    </row>
    <row r="2185" spans="1:13">
      <c r="A2185" s="1">
        <f>HYPERLINK("http://www.twitter.com/NathanBLawrence/status/983430741441896448", "983430741441896448")</f>
        <v/>
      </c>
      <c r="B2185" s="2" t="n">
        <v>43199.82331018519</v>
      </c>
      <c r="C2185" t="n">
        <v>1</v>
      </c>
      <c r="D2185" t="n">
        <v>0</v>
      </c>
      <c r="E2185" t="s">
        <v>2189</v>
      </c>
      <c r="F2185" t="s"/>
      <c r="G2185" t="s"/>
      <c r="H2185" t="s"/>
      <c r="I2185" t="s"/>
      <c r="J2185" t="n">
        <v>0</v>
      </c>
      <c r="K2185" t="n">
        <v>0</v>
      </c>
      <c r="L2185" t="n">
        <v>1</v>
      </c>
      <c r="M2185" t="n">
        <v>0</v>
      </c>
    </row>
    <row r="2186" spans="1:13">
      <c r="A2186" s="1">
        <f>HYPERLINK("http://www.twitter.com/NathanBLawrence/status/983430369700728832", "983430369700728832")</f>
        <v/>
      </c>
      <c r="B2186" s="2" t="n">
        <v>43199.82229166666</v>
      </c>
      <c r="C2186" t="n">
        <v>1</v>
      </c>
      <c r="D2186" t="n">
        <v>0</v>
      </c>
      <c r="E2186" t="s">
        <v>2190</v>
      </c>
      <c r="F2186" t="s"/>
      <c r="G2186" t="s"/>
      <c r="H2186" t="s"/>
      <c r="I2186" t="s"/>
      <c r="J2186" t="n">
        <v>0.2732</v>
      </c>
      <c r="K2186" t="n">
        <v>0</v>
      </c>
      <c r="L2186" t="n">
        <v>0.792</v>
      </c>
      <c r="M2186" t="n">
        <v>0.208</v>
      </c>
    </row>
    <row r="2187" spans="1:13">
      <c r="A2187" s="1">
        <f>HYPERLINK("http://www.twitter.com/NathanBLawrence/status/983428675126349824", "983428675126349824")</f>
        <v/>
      </c>
      <c r="B2187" s="2" t="n">
        <v>43199.81761574074</v>
      </c>
      <c r="C2187" t="n">
        <v>0</v>
      </c>
      <c r="D2187" t="n">
        <v>0</v>
      </c>
      <c r="E2187" t="s">
        <v>2191</v>
      </c>
      <c r="F2187" t="s"/>
      <c r="G2187" t="s"/>
      <c r="H2187" t="s"/>
      <c r="I2187" t="s"/>
      <c r="J2187" t="n">
        <v>0.8746</v>
      </c>
      <c r="K2187" t="n">
        <v>0.073</v>
      </c>
      <c r="L2187" t="n">
        <v>0.655</v>
      </c>
      <c r="M2187" t="n">
        <v>0.272</v>
      </c>
    </row>
    <row r="2188" spans="1:13">
      <c r="A2188" s="1">
        <f>HYPERLINK("http://www.twitter.com/NathanBLawrence/status/983428197156048897", "983428197156048897")</f>
        <v/>
      </c>
      <c r="B2188" s="2" t="n">
        <v>43199.8162962963</v>
      </c>
      <c r="C2188" t="n">
        <v>0</v>
      </c>
      <c r="D2188" t="n">
        <v>1</v>
      </c>
      <c r="E2188" t="s">
        <v>2192</v>
      </c>
      <c r="F2188" t="s"/>
      <c r="G2188" t="s"/>
      <c r="H2188" t="s"/>
      <c r="I2188" t="s"/>
      <c r="J2188" t="n">
        <v>-0.4926</v>
      </c>
      <c r="K2188" t="n">
        <v>0.39</v>
      </c>
      <c r="L2188" t="n">
        <v>0.61</v>
      </c>
      <c r="M2188" t="n">
        <v>0</v>
      </c>
    </row>
    <row r="2189" spans="1:13">
      <c r="A2189" s="1">
        <f>HYPERLINK("http://www.twitter.com/NathanBLawrence/status/983427912195018753", "983427912195018753")</f>
        <v/>
      </c>
      <c r="B2189" s="2" t="n">
        <v>43199.81550925926</v>
      </c>
      <c r="C2189" t="n">
        <v>2</v>
      </c>
      <c r="D2189" t="n">
        <v>0</v>
      </c>
      <c r="E2189" t="s">
        <v>2193</v>
      </c>
      <c r="F2189" t="s"/>
      <c r="G2189" t="s"/>
      <c r="H2189" t="s"/>
      <c r="I2189" t="s"/>
      <c r="J2189" t="n">
        <v>-0.5266999999999999</v>
      </c>
      <c r="K2189" t="n">
        <v>0.109</v>
      </c>
      <c r="L2189" t="n">
        <v>0.891</v>
      </c>
      <c r="M2189" t="n">
        <v>0</v>
      </c>
    </row>
    <row r="2190" spans="1:13">
      <c r="A2190" s="1">
        <f>HYPERLINK("http://www.twitter.com/NathanBLawrence/status/983427604794486785", "983427604794486785")</f>
        <v/>
      </c>
      <c r="B2190" s="2" t="n">
        <v>43199.81465277778</v>
      </c>
      <c r="C2190" t="n">
        <v>2</v>
      </c>
      <c r="D2190" t="n">
        <v>0</v>
      </c>
      <c r="E2190" t="s">
        <v>2194</v>
      </c>
      <c r="F2190" t="s"/>
      <c r="G2190" t="s"/>
      <c r="H2190" t="s"/>
      <c r="I2190" t="s"/>
      <c r="J2190" t="n">
        <v>0.3182</v>
      </c>
      <c r="K2190" t="n">
        <v>0.105</v>
      </c>
      <c r="L2190" t="n">
        <v>0.763</v>
      </c>
      <c r="M2190" t="n">
        <v>0.132</v>
      </c>
    </row>
    <row r="2191" spans="1:13">
      <c r="A2191" s="1">
        <f>HYPERLINK("http://www.twitter.com/NathanBLawrence/status/983426358637486083", "983426358637486083")</f>
        <v/>
      </c>
      <c r="B2191" s="2" t="n">
        <v>43199.81121527778</v>
      </c>
      <c r="C2191" t="n">
        <v>1</v>
      </c>
      <c r="D2191" t="n">
        <v>1</v>
      </c>
      <c r="E2191" t="s">
        <v>2195</v>
      </c>
      <c r="F2191" t="s"/>
      <c r="G2191" t="s"/>
      <c r="H2191" t="s"/>
      <c r="I2191" t="s"/>
      <c r="J2191" t="n">
        <v>-0.4926</v>
      </c>
      <c r="K2191" t="n">
        <v>0.516</v>
      </c>
      <c r="L2191" t="n">
        <v>0.484</v>
      </c>
      <c r="M2191" t="n">
        <v>0</v>
      </c>
    </row>
    <row r="2192" spans="1:13">
      <c r="A2192" s="1">
        <f>HYPERLINK("http://www.twitter.com/NathanBLawrence/status/983421818617942016", "983421818617942016")</f>
        <v/>
      </c>
      <c r="B2192" s="2" t="n">
        <v>43199.79869212963</v>
      </c>
      <c r="C2192" t="n">
        <v>3</v>
      </c>
      <c r="D2192" t="n">
        <v>2</v>
      </c>
      <c r="E2192" t="s">
        <v>2196</v>
      </c>
      <c r="F2192" t="s"/>
      <c r="G2192" t="s"/>
      <c r="H2192" t="s"/>
      <c r="I2192" t="s"/>
      <c r="J2192" t="n">
        <v>-0.7177</v>
      </c>
      <c r="K2192" t="n">
        <v>0.193</v>
      </c>
      <c r="L2192" t="n">
        <v>0.8070000000000001</v>
      </c>
      <c r="M2192" t="n">
        <v>0</v>
      </c>
    </row>
    <row r="2193" spans="1:13">
      <c r="A2193" s="1">
        <f>HYPERLINK("http://www.twitter.com/NathanBLawrence/status/983420777654571009", "983420777654571009")</f>
        <v/>
      </c>
      <c r="B2193" s="2" t="n">
        <v>43199.79582175926</v>
      </c>
      <c r="C2193" t="n">
        <v>0</v>
      </c>
      <c r="D2193" t="n">
        <v>5</v>
      </c>
      <c r="E2193" t="s">
        <v>2197</v>
      </c>
      <c r="F2193" t="s"/>
      <c r="G2193" t="s"/>
      <c r="H2193" t="s"/>
      <c r="I2193" t="s"/>
      <c r="J2193" t="n">
        <v>0</v>
      </c>
      <c r="K2193" t="n">
        <v>0</v>
      </c>
      <c r="L2193" t="n">
        <v>1</v>
      </c>
      <c r="M2193" t="n">
        <v>0</v>
      </c>
    </row>
    <row r="2194" spans="1:13">
      <c r="A2194" s="1">
        <f>HYPERLINK("http://www.twitter.com/NathanBLawrence/status/983414174360522762", "983414174360522762")</f>
        <v/>
      </c>
      <c r="B2194" s="2" t="n">
        <v>43199.7775925926</v>
      </c>
      <c r="C2194" t="n">
        <v>1</v>
      </c>
      <c r="D2194" t="n">
        <v>0</v>
      </c>
      <c r="E2194" t="s">
        <v>2198</v>
      </c>
      <c r="F2194" t="s"/>
      <c r="G2194" t="s"/>
      <c r="H2194" t="s"/>
      <c r="I2194" t="s"/>
      <c r="J2194" t="n">
        <v>0.6899999999999999</v>
      </c>
      <c r="K2194" t="n">
        <v>0</v>
      </c>
      <c r="L2194" t="n">
        <v>0.738</v>
      </c>
      <c r="M2194" t="n">
        <v>0.262</v>
      </c>
    </row>
    <row r="2195" spans="1:13">
      <c r="A2195" s="1">
        <f>HYPERLINK("http://www.twitter.com/NathanBLawrence/status/983413662428823552", "983413662428823552")</f>
        <v/>
      </c>
      <c r="B2195" s="2" t="n">
        <v>43199.77618055556</v>
      </c>
      <c r="C2195" t="n">
        <v>4</v>
      </c>
      <c r="D2195" t="n">
        <v>0</v>
      </c>
      <c r="E2195" t="s">
        <v>2199</v>
      </c>
      <c r="F2195" t="s"/>
      <c r="G2195" t="s"/>
      <c r="H2195" t="s"/>
      <c r="I2195" t="s"/>
      <c r="J2195" t="n">
        <v>-0.7178</v>
      </c>
      <c r="K2195" t="n">
        <v>0.209</v>
      </c>
      <c r="L2195" t="n">
        <v>0.742</v>
      </c>
      <c r="M2195" t="n">
        <v>0.048</v>
      </c>
    </row>
    <row r="2196" spans="1:13">
      <c r="A2196" s="1">
        <f>HYPERLINK("http://www.twitter.com/NathanBLawrence/status/983411393843138560", "983411393843138560")</f>
        <v/>
      </c>
      <c r="B2196" s="2" t="n">
        <v>43199.76991898148</v>
      </c>
      <c r="C2196" t="n">
        <v>9</v>
      </c>
      <c r="D2196" t="n">
        <v>6</v>
      </c>
      <c r="E2196" t="s">
        <v>2200</v>
      </c>
      <c r="F2196">
        <f>HYPERLINK("http://pbs.twimg.com/media/DaXHKWMXUAAp-Fi.jpg", "http://pbs.twimg.com/media/DaXHKWMXUAAp-Fi.jpg")</f>
        <v/>
      </c>
      <c r="G2196" t="s"/>
      <c r="H2196" t="s"/>
      <c r="I2196" t="s"/>
      <c r="J2196" t="n">
        <v>0</v>
      </c>
      <c r="K2196" t="n">
        <v>0</v>
      </c>
      <c r="L2196" t="n">
        <v>1</v>
      </c>
      <c r="M2196" t="n">
        <v>0</v>
      </c>
    </row>
    <row r="2197" spans="1:13">
      <c r="A2197" s="1">
        <f>HYPERLINK("http://www.twitter.com/NathanBLawrence/status/983409904147890177", "983409904147890177")</f>
        <v/>
      </c>
      <c r="B2197" s="2" t="n">
        <v>43199.76581018518</v>
      </c>
      <c r="C2197" t="n">
        <v>1</v>
      </c>
      <c r="D2197" t="n">
        <v>0</v>
      </c>
      <c r="E2197" t="s">
        <v>2201</v>
      </c>
      <c r="F2197" t="s"/>
      <c r="G2197" t="s"/>
      <c r="H2197" t="s"/>
      <c r="I2197" t="s"/>
      <c r="J2197" t="n">
        <v>0.3595</v>
      </c>
      <c r="K2197" t="n">
        <v>0.128</v>
      </c>
      <c r="L2197" t="n">
        <v>0.639</v>
      </c>
      <c r="M2197" t="n">
        <v>0.234</v>
      </c>
    </row>
    <row r="2198" spans="1:13">
      <c r="A2198" s="1">
        <f>HYPERLINK("http://www.twitter.com/NathanBLawrence/status/983409690032865280", "983409690032865280")</f>
        <v/>
      </c>
      <c r="B2198" s="2" t="n">
        <v>43199.76521990741</v>
      </c>
      <c r="C2198" t="n">
        <v>4</v>
      </c>
      <c r="D2198" t="n">
        <v>2</v>
      </c>
      <c r="E2198" t="s">
        <v>2202</v>
      </c>
      <c r="F2198" t="s"/>
      <c r="G2198" t="s"/>
      <c r="H2198" t="s"/>
      <c r="I2198" t="s"/>
      <c r="J2198" t="n">
        <v>-0.5848</v>
      </c>
      <c r="K2198" t="n">
        <v>0.137</v>
      </c>
      <c r="L2198" t="n">
        <v>0.769</v>
      </c>
      <c r="M2198" t="n">
        <v>0.094</v>
      </c>
    </row>
    <row r="2199" spans="1:13">
      <c r="A2199" s="1">
        <f>HYPERLINK("http://www.twitter.com/NathanBLawrence/status/983405646262530050", "983405646262530050")</f>
        <v/>
      </c>
      <c r="B2199" s="2" t="n">
        <v>43199.7540625</v>
      </c>
      <c r="C2199" t="n">
        <v>0</v>
      </c>
      <c r="D2199" t="n">
        <v>0</v>
      </c>
      <c r="E2199" t="s">
        <v>2203</v>
      </c>
      <c r="F2199" t="s"/>
      <c r="G2199" t="s"/>
      <c r="H2199" t="s"/>
      <c r="I2199" t="s"/>
      <c r="J2199" t="n">
        <v>0</v>
      </c>
      <c r="K2199" t="n">
        <v>0.157</v>
      </c>
      <c r="L2199" t="n">
        <v>0.6860000000000001</v>
      </c>
      <c r="M2199" t="n">
        <v>0.157</v>
      </c>
    </row>
    <row r="2200" spans="1:13">
      <c r="A2200" s="1">
        <f>HYPERLINK("http://www.twitter.com/NathanBLawrence/status/983404960338595840", "983404960338595840")</f>
        <v/>
      </c>
      <c r="B2200" s="2" t="n">
        <v>43199.75216435185</v>
      </c>
      <c r="C2200" t="n">
        <v>1</v>
      </c>
      <c r="D2200" t="n">
        <v>0</v>
      </c>
      <c r="E2200" t="s">
        <v>2204</v>
      </c>
      <c r="F2200" t="s"/>
      <c r="G2200" t="s"/>
      <c r="H2200" t="s"/>
      <c r="I2200" t="s"/>
      <c r="J2200" t="n">
        <v>0</v>
      </c>
      <c r="K2200" t="n">
        <v>0</v>
      </c>
      <c r="L2200" t="n">
        <v>1</v>
      </c>
      <c r="M2200" t="n">
        <v>0</v>
      </c>
    </row>
    <row r="2201" spans="1:13">
      <c r="A2201" s="1">
        <f>HYPERLINK("http://www.twitter.com/NathanBLawrence/status/983403891688640512", "983403891688640512")</f>
        <v/>
      </c>
      <c r="B2201" s="2" t="n">
        <v>43199.74922453704</v>
      </c>
      <c r="C2201" t="n">
        <v>4</v>
      </c>
      <c r="D2201" t="n">
        <v>2</v>
      </c>
      <c r="E2201" t="s">
        <v>2205</v>
      </c>
      <c r="F2201" t="s"/>
      <c r="G2201" t="s"/>
      <c r="H2201" t="s"/>
      <c r="I2201" t="s"/>
      <c r="J2201" t="n">
        <v>-0.623</v>
      </c>
      <c r="K2201" t="n">
        <v>0.312</v>
      </c>
      <c r="L2201" t="n">
        <v>0.6879999999999999</v>
      </c>
      <c r="M2201" t="n">
        <v>0</v>
      </c>
    </row>
    <row r="2202" spans="1:13">
      <c r="A2202" s="1">
        <f>HYPERLINK("http://www.twitter.com/NathanBLawrence/status/983403111246127104", "983403111246127104")</f>
        <v/>
      </c>
      <c r="B2202" s="2" t="n">
        <v>43199.74707175926</v>
      </c>
      <c r="C2202" t="n">
        <v>2</v>
      </c>
      <c r="D2202" t="n">
        <v>0</v>
      </c>
      <c r="E2202" t="s">
        <v>2206</v>
      </c>
      <c r="F2202" t="s"/>
      <c r="G2202" t="s"/>
      <c r="H2202" t="s"/>
      <c r="I2202" t="s"/>
      <c r="J2202" t="n">
        <v>0.5216</v>
      </c>
      <c r="K2202" t="n">
        <v>0</v>
      </c>
      <c r="L2202" t="n">
        <v>0.9379999999999999</v>
      </c>
      <c r="M2202" t="n">
        <v>0.062</v>
      </c>
    </row>
    <row r="2203" spans="1:13">
      <c r="A2203" s="1">
        <f>HYPERLINK("http://www.twitter.com/NathanBLawrence/status/983401659886907397", "983401659886907397")</f>
        <v/>
      </c>
      <c r="B2203" s="2" t="n">
        <v>43199.74306712963</v>
      </c>
      <c r="C2203" t="n">
        <v>0</v>
      </c>
      <c r="D2203" t="n">
        <v>0</v>
      </c>
      <c r="E2203" t="s">
        <v>2207</v>
      </c>
      <c r="F2203" t="s"/>
      <c r="G2203" t="s"/>
      <c r="H2203" t="s"/>
      <c r="I2203" t="s"/>
      <c r="J2203" t="n">
        <v>0</v>
      </c>
      <c r="K2203" t="n">
        <v>0</v>
      </c>
      <c r="L2203" t="n">
        <v>1</v>
      </c>
      <c r="M2203" t="n">
        <v>0</v>
      </c>
    </row>
    <row r="2204" spans="1:13">
      <c r="A2204" s="1">
        <f>HYPERLINK("http://www.twitter.com/NathanBLawrence/status/983400310206058502", "983400310206058502")</f>
        <v/>
      </c>
      <c r="B2204" s="2" t="n">
        <v>43199.73934027777</v>
      </c>
      <c r="C2204" t="n">
        <v>1</v>
      </c>
      <c r="D2204" t="n">
        <v>0</v>
      </c>
      <c r="E2204" t="s">
        <v>2208</v>
      </c>
      <c r="F2204" t="s"/>
      <c r="G2204" t="s"/>
      <c r="H2204" t="s"/>
      <c r="I2204" t="s"/>
      <c r="J2204" t="n">
        <v>0.926</v>
      </c>
      <c r="K2204" t="n">
        <v>0</v>
      </c>
      <c r="L2204" t="n">
        <v>0.779</v>
      </c>
      <c r="M2204" t="n">
        <v>0.221</v>
      </c>
    </row>
    <row r="2205" spans="1:13">
      <c r="A2205" s="1">
        <f>HYPERLINK("http://www.twitter.com/NathanBLawrence/status/983399029831880704", "983399029831880704")</f>
        <v/>
      </c>
      <c r="B2205" s="2" t="n">
        <v>43199.73581018519</v>
      </c>
      <c r="C2205" t="n">
        <v>1</v>
      </c>
      <c r="D2205" t="n">
        <v>0</v>
      </c>
      <c r="E2205" t="s">
        <v>2209</v>
      </c>
      <c r="F2205" t="s"/>
      <c r="G2205" t="s"/>
      <c r="H2205" t="s"/>
      <c r="I2205" t="s"/>
      <c r="J2205" t="n">
        <v>-0.2903</v>
      </c>
      <c r="K2205" t="n">
        <v>0.057</v>
      </c>
      <c r="L2205" t="n">
        <v>0.915</v>
      </c>
      <c r="M2205" t="n">
        <v>0.028</v>
      </c>
    </row>
    <row r="2206" spans="1:13">
      <c r="A2206" s="1">
        <f>HYPERLINK("http://www.twitter.com/NathanBLawrence/status/983397066465533953", "983397066465533953")</f>
        <v/>
      </c>
      <c r="B2206" s="2" t="n">
        <v>43199.73038194444</v>
      </c>
      <c r="C2206" t="n">
        <v>2</v>
      </c>
      <c r="D2206" t="n">
        <v>0</v>
      </c>
      <c r="E2206" t="s">
        <v>2210</v>
      </c>
      <c r="F2206" t="s"/>
      <c r="G2206" t="s"/>
      <c r="H2206" t="s"/>
      <c r="I2206" t="s"/>
      <c r="J2206" t="n">
        <v>-0.4019</v>
      </c>
      <c r="K2206" t="n">
        <v>0.09</v>
      </c>
      <c r="L2206" t="n">
        <v>0.858</v>
      </c>
      <c r="M2206" t="n">
        <v>0.051</v>
      </c>
    </row>
    <row r="2207" spans="1:13">
      <c r="A2207" s="1">
        <f>HYPERLINK("http://www.twitter.com/NathanBLawrence/status/983390357865074688", "983390357865074688")</f>
        <v/>
      </c>
      <c r="B2207" s="2" t="n">
        <v>43199.711875</v>
      </c>
      <c r="C2207" t="n">
        <v>1</v>
      </c>
      <c r="D2207" t="n">
        <v>1</v>
      </c>
      <c r="E2207" t="s">
        <v>2211</v>
      </c>
      <c r="F2207" t="s"/>
      <c r="G2207" t="s"/>
      <c r="H2207" t="s"/>
      <c r="I2207" t="s"/>
      <c r="J2207" t="n">
        <v>-0.784</v>
      </c>
      <c r="K2207" t="n">
        <v>0.535</v>
      </c>
      <c r="L2207" t="n">
        <v>0.465</v>
      </c>
      <c r="M2207" t="n">
        <v>0</v>
      </c>
    </row>
    <row r="2208" spans="1:13">
      <c r="A2208" s="1">
        <f>HYPERLINK("http://www.twitter.com/NathanBLawrence/status/983386230896422912", "983386230896422912")</f>
        <v/>
      </c>
      <c r="B2208" s="2" t="n">
        <v>43199.70048611111</v>
      </c>
      <c r="C2208" t="n">
        <v>0</v>
      </c>
      <c r="D2208" t="n">
        <v>0</v>
      </c>
      <c r="E2208" t="s">
        <v>2212</v>
      </c>
      <c r="F2208" t="s"/>
      <c r="G2208" t="s"/>
      <c r="H2208" t="s"/>
      <c r="I2208" t="s"/>
      <c r="J2208" t="n">
        <v>0</v>
      </c>
      <c r="K2208" t="n">
        <v>0</v>
      </c>
      <c r="L2208" t="n">
        <v>1</v>
      </c>
      <c r="M2208" t="n">
        <v>0</v>
      </c>
    </row>
    <row r="2209" spans="1:13">
      <c r="A2209" s="1">
        <f>HYPERLINK("http://www.twitter.com/NathanBLawrence/status/983383521346621441", "983383521346621441")</f>
        <v/>
      </c>
      <c r="B2209" s="2" t="n">
        <v>43199.69300925926</v>
      </c>
      <c r="C2209" t="n">
        <v>0</v>
      </c>
      <c r="D2209" t="n">
        <v>18</v>
      </c>
      <c r="E2209" t="s">
        <v>2213</v>
      </c>
      <c r="F2209" t="s"/>
      <c r="G2209" t="s"/>
      <c r="H2209" t="s"/>
      <c r="I2209" t="s"/>
      <c r="J2209" t="n">
        <v>0</v>
      </c>
      <c r="K2209" t="n">
        <v>0</v>
      </c>
      <c r="L2209" t="n">
        <v>1</v>
      </c>
      <c r="M2209" t="n">
        <v>0</v>
      </c>
    </row>
    <row r="2210" spans="1:13">
      <c r="A2210" s="1">
        <f>HYPERLINK("http://www.twitter.com/NathanBLawrence/status/983381790751633408", "983381790751633408")</f>
        <v/>
      </c>
      <c r="B2210" s="2" t="n">
        <v>43199.68822916667</v>
      </c>
      <c r="C2210" t="n">
        <v>0</v>
      </c>
      <c r="D2210" t="n">
        <v>0</v>
      </c>
      <c r="E2210" t="s">
        <v>2214</v>
      </c>
      <c r="F2210" t="s"/>
      <c r="G2210" t="s"/>
      <c r="H2210" t="s"/>
      <c r="I2210" t="s"/>
      <c r="J2210" t="n">
        <v>0</v>
      </c>
      <c r="K2210" t="n">
        <v>0</v>
      </c>
      <c r="L2210" t="n">
        <v>1</v>
      </c>
      <c r="M2210" t="n">
        <v>0</v>
      </c>
    </row>
    <row r="2211" spans="1:13">
      <c r="A2211" s="1">
        <f>HYPERLINK("http://www.twitter.com/NathanBLawrence/status/983379191772123137", "983379191772123137")</f>
        <v/>
      </c>
      <c r="B2211" s="2" t="n">
        <v>43199.68106481482</v>
      </c>
      <c r="C2211" t="n">
        <v>0</v>
      </c>
      <c r="D2211" t="n">
        <v>0</v>
      </c>
      <c r="E2211" t="s">
        <v>2215</v>
      </c>
      <c r="F2211" t="s"/>
      <c r="G2211" t="s"/>
      <c r="H2211" t="s"/>
      <c r="I2211" t="s"/>
      <c r="J2211" t="n">
        <v>-0.8176</v>
      </c>
      <c r="K2211" t="n">
        <v>0.282</v>
      </c>
      <c r="L2211" t="n">
        <v>0.647</v>
      </c>
      <c r="M2211" t="n">
        <v>0.07099999999999999</v>
      </c>
    </row>
    <row r="2212" spans="1:13">
      <c r="A2212" s="1">
        <f>HYPERLINK("http://www.twitter.com/NathanBLawrence/status/983378209801719808", "983378209801719808")</f>
        <v/>
      </c>
      <c r="B2212" s="2" t="n">
        <v>43199.67835648148</v>
      </c>
      <c r="C2212" t="n">
        <v>2</v>
      </c>
      <c r="D2212" t="n">
        <v>2</v>
      </c>
      <c r="E2212" t="s">
        <v>2216</v>
      </c>
      <c r="F2212" t="s"/>
      <c r="G2212" t="s"/>
      <c r="H2212" t="s"/>
      <c r="I2212" t="s"/>
      <c r="J2212" t="n">
        <v>0.5483</v>
      </c>
      <c r="K2212" t="n">
        <v>0.103</v>
      </c>
      <c r="L2212" t="n">
        <v>0.698</v>
      </c>
      <c r="M2212" t="n">
        <v>0.198</v>
      </c>
    </row>
    <row r="2213" spans="1:13">
      <c r="A2213" s="1">
        <f>HYPERLINK("http://www.twitter.com/NathanBLawrence/status/983378207792562176", "983378207792562176")</f>
        <v/>
      </c>
      <c r="B2213" s="2" t="n">
        <v>43199.67834490741</v>
      </c>
      <c r="C2213" t="n">
        <v>2</v>
      </c>
      <c r="D2213" t="n">
        <v>2</v>
      </c>
      <c r="E2213" t="s">
        <v>2217</v>
      </c>
      <c r="F2213" t="s"/>
      <c r="G2213" t="s"/>
      <c r="H2213" t="s"/>
      <c r="I2213" t="s"/>
      <c r="J2213" t="n">
        <v>-0.8577</v>
      </c>
      <c r="K2213" t="n">
        <v>0.218</v>
      </c>
      <c r="L2213" t="n">
        <v>0.782</v>
      </c>
      <c r="M2213" t="n">
        <v>0</v>
      </c>
    </row>
    <row r="2214" spans="1:13">
      <c r="A2214" s="1">
        <f>HYPERLINK("http://www.twitter.com/NathanBLawrence/status/983378206488133632", "983378206488133632")</f>
        <v/>
      </c>
      <c r="B2214" s="2" t="n">
        <v>43199.67834490741</v>
      </c>
      <c r="C2214" t="n">
        <v>2</v>
      </c>
      <c r="D2214" t="n">
        <v>2</v>
      </c>
      <c r="E2214" t="s">
        <v>2218</v>
      </c>
      <c r="F2214" t="s"/>
      <c r="G2214" t="s"/>
      <c r="H2214" t="s"/>
      <c r="I2214" t="s"/>
      <c r="J2214" t="n">
        <v>-0.7184</v>
      </c>
      <c r="K2214" t="n">
        <v>0.171</v>
      </c>
      <c r="L2214" t="n">
        <v>0.829</v>
      </c>
      <c r="M2214" t="n">
        <v>0</v>
      </c>
    </row>
    <row r="2215" spans="1:13">
      <c r="A2215" s="1">
        <f>HYPERLINK("http://www.twitter.com/NathanBLawrence/status/983371452475953153", "983371452475953153")</f>
        <v/>
      </c>
      <c r="B2215" s="2" t="n">
        <v>43199.65971064815</v>
      </c>
      <c r="C2215" t="n">
        <v>0</v>
      </c>
      <c r="D2215" t="n">
        <v>5</v>
      </c>
      <c r="E2215" t="s">
        <v>2219</v>
      </c>
      <c r="F2215">
        <f>HYPERLINK("http://pbs.twimg.com/media/DaWdbR3V4Ac1-TU.jpg", "http://pbs.twimg.com/media/DaWdbR3V4Ac1-TU.jpg")</f>
        <v/>
      </c>
      <c r="G2215" t="s"/>
      <c r="H2215" t="s"/>
      <c r="I2215" t="s"/>
      <c r="J2215" t="n">
        <v>0.296</v>
      </c>
      <c r="K2215" t="n">
        <v>0</v>
      </c>
      <c r="L2215" t="n">
        <v>0.901</v>
      </c>
      <c r="M2215" t="n">
        <v>0.099</v>
      </c>
    </row>
    <row r="2216" spans="1:13">
      <c r="A2216" s="1">
        <f>HYPERLINK("http://www.twitter.com/NathanBLawrence/status/983363051654008832", "983363051654008832")</f>
        <v/>
      </c>
      <c r="B2216" s="2" t="n">
        <v>43199.63652777778</v>
      </c>
      <c r="C2216" t="n">
        <v>3</v>
      </c>
      <c r="D2216" t="n">
        <v>1</v>
      </c>
      <c r="E2216" t="s">
        <v>2220</v>
      </c>
      <c r="F2216" t="s"/>
      <c r="G2216" t="s"/>
      <c r="H2216" t="s"/>
      <c r="I2216" t="s"/>
      <c r="J2216" t="n">
        <v>0.25</v>
      </c>
      <c r="K2216" t="n">
        <v>0</v>
      </c>
      <c r="L2216" t="n">
        <v>0.953</v>
      </c>
      <c r="M2216" t="n">
        <v>0.047</v>
      </c>
    </row>
    <row r="2217" spans="1:13">
      <c r="A2217" s="1">
        <f>HYPERLINK("http://www.twitter.com/NathanBLawrence/status/983362083650719745", "983362083650719745")</f>
        <v/>
      </c>
      <c r="B2217" s="2" t="n">
        <v>43199.63385416667</v>
      </c>
      <c r="C2217" t="n">
        <v>0</v>
      </c>
      <c r="D2217" t="n">
        <v>0</v>
      </c>
      <c r="E2217" t="s">
        <v>2221</v>
      </c>
      <c r="F2217" t="s"/>
      <c r="G2217" t="s"/>
      <c r="H2217" t="s"/>
      <c r="I2217" t="s"/>
      <c r="J2217" t="n">
        <v>-0.6369</v>
      </c>
      <c r="K2217" t="n">
        <v>0.257</v>
      </c>
      <c r="L2217" t="n">
        <v>0.743</v>
      </c>
      <c r="M2217" t="n">
        <v>0</v>
      </c>
    </row>
    <row r="2218" spans="1:13">
      <c r="A2218" s="1">
        <f>HYPERLINK("http://www.twitter.com/NathanBLawrence/status/983359227241615361", "983359227241615361")</f>
        <v/>
      </c>
      <c r="B2218" s="2" t="n">
        <v>43199.62597222222</v>
      </c>
      <c r="C2218" t="n">
        <v>2</v>
      </c>
      <c r="D2218" t="n">
        <v>0</v>
      </c>
      <c r="E2218" t="s">
        <v>2222</v>
      </c>
      <c r="F2218" t="s"/>
      <c r="G2218" t="s"/>
      <c r="H2218" t="s"/>
      <c r="I2218" t="s"/>
      <c r="J2218" t="n">
        <v>0.3164</v>
      </c>
      <c r="K2218" t="n">
        <v>0</v>
      </c>
      <c r="L2218" t="n">
        <v>0.875</v>
      </c>
      <c r="M2218" t="n">
        <v>0.125</v>
      </c>
    </row>
    <row r="2219" spans="1:13">
      <c r="A2219" s="1">
        <f>HYPERLINK("http://www.twitter.com/NathanBLawrence/status/983359032533618688", "983359032533618688")</f>
        <v/>
      </c>
      <c r="B2219" s="2" t="n">
        <v>43199.62542824074</v>
      </c>
      <c r="C2219" t="n">
        <v>2</v>
      </c>
      <c r="D2219" t="n">
        <v>1</v>
      </c>
      <c r="E2219" t="s">
        <v>2223</v>
      </c>
      <c r="F2219" t="s"/>
      <c r="G2219" t="s"/>
      <c r="H2219" t="s"/>
      <c r="I2219" t="s"/>
      <c r="J2219" t="n">
        <v>0</v>
      </c>
      <c r="K2219" t="n">
        <v>0</v>
      </c>
      <c r="L2219" t="n">
        <v>1</v>
      </c>
      <c r="M2219" t="n">
        <v>0</v>
      </c>
    </row>
    <row r="2220" spans="1:13">
      <c r="A2220" s="1">
        <f>HYPERLINK("http://www.twitter.com/NathanBLawrence/status/983358885435269120", "983358885435269120")</f>
        <v/>
      </c>
      <c r="B2220" s="2" t="n">
        <v>43199.62502314815</v>
      </c>
      <c r="C2220" t="n">
        <v>2</v>
      </c>
      <c r="D2220" t="n">
        <v>1</v>
      </c>
      <c r="E2220" t="s">
        <v>2224</v>
      </c>
      <c r="F2220" t="s"/>
      <c r="G2220" t="s"/>
      <c r="H2220" t="s"/>
      <c r="I2220" t="s"/>
      <c r="J2220" t="n">
        <v>0.1139</v>
      </c>
      <c r="K2220" t="n">
        <v>0</v>
      </c>
      <c r="L2220" t="n">
        <v>0.9379999999999999</v>
      </c>
      <c r="M2220" t="n">
        <v>0.062</v>
      </c>
    </row>
    <row r="2221" spans="1:13">
      <c r="A2221" s="1">
        <f>HYPERLINK("http://www.twitter.com/NathanBLawrence/status/983358567779655681", "983358567779655681")</f>
        <v/>
      </c>
      <c r="B2221" s="2" t="n">
        <v>43199.62415509259</v>
      </c>
      <c r="C2221" t="n">
        <v>1</v>
      </c>
      <c r="D2221" t="n">
        <v>1</v>
      </c>
      <c r="E2221" t="s">
        <v>2225</v>
      </c>
      <c r="F2221" t="s"/>
      <c r="G2221" t="s"/>
      <c r="H2221" t="s"/>
      <c r="I2221" t="s"/>
      <c r="J2221" t="n">
        <v>0.0772</v>
      </c>
      <c r="K2221" t="n">
        <v>0.05</v>
      </c>
      <c r="L2221" t="n">
        <v>0.893</v>
      </c>
      <c r="M2221" t="n">
        <v>0.057</v>
      </c>
    </row>
    <row r="2222" spans="1:13">
      <c r="A2222" s="1">
        <f>HYPERLINK("http://www.twitter.com/NathanBLawrence/status/983357696001871872", "983357696001871872")</f>
        <v/>
      </c>
      <c r="B2222" s="2" t="n">
        <v>43199.62174768518</v>
      </c>
      <c r="C2222" t="n">
        <v>0</v>
      </c>
      <c r="D2222" t="n">
        <v>0</v>
      </c>
      <c r="E2222" t="s">
        <v>2226</v>
      </c>
      <c r="F2222" t="s"/>
      <c r="G2222" t="s"/>
      <c r="H2222" t="s"/>
      <c r="I2222" t="s"/>
      <c r="J2222" t="n">
        <v>-0.296</v>
      </c>
      <c r="K2222" t="n">
        <v>0.155</v>
      </c>
      <c r="L2222" t="n">
        <v>0.845</v>
      </c>
      <c r="M2222" t="n">
        <v>0</v>
      </c>
    </row>
    <row r="2223" spans="1:13">
      <c r="A2223" s="1">
        <f>HYPERLINK("http://www.twitter.com/NathanBLawrence/status/983357570801946624", "983357570801946624")</f>
        <v/>
      </c>
      <c r="B2223" s="2" t="n">
        <v>43199.62140046297</v>
      </c>
      <c r="C2223" t="n">
        <v>0</v>
      </c>
      <c r="D2223" t="n">
        <v>0</v>
      </c>
      <c r="E2223" t="s">
        <v>2227</v>
      </c>
      <c r="F2223" t="s"/>
      <c r="G2223" t="s"/>
      <c r="H2223" t="s"/>
      <c r="I2223" t="s"/>
      <c r="J2223" t="n">
        <v>0.7783</v>
      </c>
      <c r="K2223" t="n">
        <v>0</v>
      </c>
      <c r="L2223" t="n">
        <v>0.83</v>
      </c>
      <c r="M2223" t="n">
        <v>0.17</v>
      </c>
    </row>
    <row r="2224" spans="1:13">
      <c r="A2224" s="1">
        <f>HYPERLINK("http://www.twitter.com/NathanBLawrence/status/983356928943419393", "983356928943419393")</f>
        <v/>
      </c>
      <c r="B2224" s="2" t="n">
        <v>43199.61962962963</v>
      </c>
      <c r="C2224" t="n">
        <v>2</v>
      </c>
      <c r="D2224" t="n">
        <v>1</v>
      </c>
      <c r="E2224" t="s">
        <v>2228</v>
      </c>
      <c r="F2224">
        <f>HYPERLINK("http://pbs.twimg.com/media/DaWVk7PWkAE_uIx.jpg", "http://pbs.twimg.com/media/DaWVk7PWkAE_uIx.jpg")</f>
        <v/>
      </c>
      <c r="G2224" t="s"/>
      <c r="H2224" t="s"/>
      <c r="I2224" t="s"/>
      <c r="J2224" t="n">
        <v>0</v>
      </c>
      <c r="K2224" t="n">
        <v>0</v>
      </c>
      <c r="L2224" t="n">
        <v>1</v>
      </c>
      <c r="M2224" t="n">
        <v>0</v>
      </c>
    </row>
    <row r="2225" spans="1:13">
      <c r="A2225" s="1">
        <f>HYPERLINK("http://www.twitter.com/NathanBLawrence/status/983356386884116480", "983356386884116480")</f>
        <v/>
      </c>
      <c r="B2225" s="2" t="n">
        <v>43199.61813657408</v>
      </c>
      <c r="C2225" t="n">
        <v>0</v>
      </c>
      <c r="D2225" t="n">
        <v>2</v>
      </c>
      <c r="E2225" t="s">
        <v>2229</v>
      </c>
      <c r="F2225" t="s"/>
      <c r="G2225" t="s"/>
      <c r="H2225" t="s"/>
      <c r="I2225" t="s"/>
      <c r="J2225" t="n">
        <v>-0.3612</v>
      </c>
      <c r="K2225" t="n">
        <v>0.102</v>
      </c>
      <c r="L2225" t="n">
        <v>0.898</v>
      </c>
      <c r="M2225" t="n">
        <v>0</v>
      </c>
    </row>
    <row r="2226" spans="1:13">
      <c r="A2226" s="1">
        <f>HYPERLINK("http://www.twitter.com/NathanBLawrence/status/983354952398458880", "983354952398458880")</f>
        <v/>
      </c>
      <c r="B2226" s="2" t="n">
        <v>43199.61417824074</v>
      </c>
      <c r="C2226" t="n">
        <v>0</v>
      </c>
      <c r="D2226" t="n">
        <v>0</v>
      </c>
      <c r="E2226" t="s">
        <v>2230</v>
      </c>
      <c r="F2226" t="s"/>
      <c r="G2226" t="s"/>
      <c r="H2226" t="s"/>
      <c r="I2226" t="s"/>
      <c r="J2226" t="n">
        <v>0.4754</v>
      </c>
      <c r="K2226" t="n">
        <v>0</v>
      </c>
      <c r="L2226" t="n">
        <v>0.819</v>
      </c>
      <c r="M2226" t="n">
        <v>0.181</v>
      </c>
    </row>
    <row r="2227" spans="1:13">
      <c r="A2227" s="1">
        <f>HYPERLINK("http://www.twitter.com/NathanBLawrence/status/983354772404269056", "983354772404269056")</f>
        <v/>
      </c>
      <c r="B2227" s="2" t="n">
        <v>43199.61368055556</v>
      </c>
      <c r="C2227" t="n">
        <v>0</v>
      </c>
      <c r="D2227" t="n">
        <v>0</v>
      </c>
      <c r="E2227" t="s">
        <v>2231</v>
      </c>
      <c r="F2227">
        <f>HYPERLINK("http://pbs.twimg.com/media/DaWT7TXWAAI-0EA.jpg", "http://pbs.twimg.com/media/DaWT7TXWAAI-0EA.jpg")</f>
        <v/>
      </c>
      <c r="G2227" t="s"/>
      <c r="H2227" t="s"/>
      <c r="I2227" t="s"/>
      <c r="J2227" t="n">
        <v>0</v>
      </c>
      <c r="K2227" t="n">
        <v>0</v>
      </c>
      <c r="L2227" t="n">
        <v>1</v>
      </c>
      <c r="M2227" t="n">
        <v>0</v>
      </c>
    </row>
    <row r="2228" spans="1:13">
      <c r="A2228" s="1">
        <f>HYPERLINK("http://www.twitter.com/NathanBLawrence/status/983353426745745408", "983353426745745408")</f>
        <v/>
      </c>
      <c r="B2228" s="2" t="n">
        <v>43199.60996527778</v>
      </c>
      <c r="C2228" t="n">
        <v>4</v>
      </c>
      <c r="D2228" t="n">
        <v>1</v>
      </c>
      <c r="E2228" t="s">
        <v>2232</v>
      </c>
      <c r="F2228">
        <f>HYPERLINK("http://pbs.twimg.com/media/DaWSuUzWAAANmEt.jpg", "http://pbs.twimg.com/media/DaWSuUzWAAANmEt.jpg")</f>
        <v/>
      </c>
      <c r="G2228" t="s"/>
      <c r="H2228" t="s"/>
      <c r="I2228" t="s"/>
      <c r="J2228" t="n">
        <v>0.5994</v>
      </c>
      <c r="K2228" t="n">
        <v>0.054</v>
      </c>
      <c r="L2228" t="n">
        <v>0.793</v>
      </c>
      <c r="M2228" t="n">
        <v>0.153</v>
      </c>
    </row>
    <row r="2229" spans="1:13">
      <c r="A2229" s="1">
        <f>HYPERLINK("http://www.twitter.com/NathanBLawrence/status/983350927242428416", "983350927242428416")</f>
        <v/>
      </c>
      <c r="B2229" s="2" t="n">
        <v>43199.60306712963</v>
      </c>
      <c r="C2229" t="n">
        <v>2</v>
      </c>
      <c r="D2229" t="n">
        <v>0</v>
      </c>
      <c r="E2229" t="s">
        <v>2233</v>
      </c>
      <c r="F2229" t="s"/>
      <c r="G2229" t="s"/>
      <c r="H2229" t="s"/>
      <c r="I2229" t="s"/>
      <c r="J2229" t="n">
        <v>-0.296</v>
      </c>
      <c r="K2229" t="n">
        <v>0.167</v>
      </c>
      <c r="L2229" t="n">
        <v>0.702</v>
      </c>
      <c r="M2229" t="n">
        <v>0.132</v>
      </c>
    </row>
    <row r="2230" spans="1:13">
      <c r="A2230" s="1">
        <f>HYPERLINK("http://www.twitter.com/NathanBLawrence/status/983350481073463296", "983350481073463296")</f>
        <v/>
      </c>
      <c r="B2230" s="2" t="n">
        <v>43199.60184027778</v>
      </c>
      <c r="C2230" t="n">
        <v>3</v>
      </c>
      <c r="D2230" t="n">
        <v>1</v>
      </c>
      <c r="E2230" t="s">
        <v>2234</v>
      </c>
      <c r="F2230" t="s"/>
      <c r="G2230" t="s"/>
      <c r="H2230" t="s"/>
      <c r="I2230" t="s"/>
      <c r="J2230" t="n">
        <v>-0.8393</v>
      </c>
      <c r="K2230" t="n">
        <v>0.183</v>
      </c>
      <c r="L2230" t="n">
        <v>0.8169999999999999</v>
      </c>
      <c r="M2230" t="n">
        <v>0</v>
      </c>
    </row>
    <row r="2231" spans="1:13">
      <c r="A2231" s="1">
        <f>HYPERLINK("http://www.twitter.com/NathanBLawrence/status/983349613947170816", "983349613947170816")</f>
        <v/>
      </c>
      <c r="B2231" s="2" t="n">
        <v>43199.59944444444</v>
      </c>
      <c r="C2231" t="n">
        <v>6</v>
      </c>
      <c r="D2231" t="n">
        <v>3</v>
      </c>
      <c r="E2231" t="s">
        <v>2235</v>
      </c>
      <c r="F2231" t="s"/>
      <c r="G2231" t="s"/>
      <c r="H2231" t="s"/>
      <c r="I2231" t="s"/>
      <c r="J2231" t="n">
        <v>0</v>
      </c>
      <c r="K2231" t="n">
        <v>0</v>
      </c>
      <c r="L2231" t="n">
        <v>1</v>
      </c>
      <c r="M2231" t="n">
        <v>0</v>
      </c>
    </row>
    <row r="2232" spans="1:13">
      <c r="A2232" s="1">
        <f>HYPERLINK("http://www.twitter.com/NathanBLawrence/status/983348728198131712", "983348728198131712")</f>
        <v/>
      </c>
      <c r="B2232" s="2" t="n">
        <v>43199.59700231482</v>
      </c>
      <c r="C2232" t="n">
        <v>0</v>
      </c>
      <c r="D2232" t="n">
        <v>0</v>
      </c>
      <c r="E2232" t="s">
        <v>2236</v>
      </c>
      <c r="F2232">
        <f>HYPERLINK("http://pbs.twimg.com/media/DaWOBG1WAAAZLAa.jpg", "http://pbs.twimg.com/media/DaWOBG1WAAAZLAa.jpg")</f>
        <v/>
      </c>
      <c r="G2232" t="s"/>
      <c r="H2232" t="s"/>
      <c r="I2232" t="s"/>
      <c r="J2232" t="n">
        <v>0</v>
      </c>
      <c r="K2232" t="n">
        <v>0</v>
      </c>
      <c r="L2232" t="n">
        <v>1</v>
      </c>
      <c r="M2232" t="n">
        <v>0</v>
      </c>
    </row>
    <row r="2233" spans="1:13">
      <c r="A2233" s="1">
        <f>HYPERLINK("http://www.twitter.com/NathanBLawrence/status/983343805922447361", "983343805922447361")</f>
        <v/>
      </c>
      <c r="B2233" s="2" t="n">
        <v>43199.58341435185</v>
      </c>
      <c r="C2233" t="n">
        <v>9</v>
      </c>
      <c r="D2233" t="n">
        <v>4</v>
      </c>
      <c r="E2233" t="s">
        <v>2237</v>
      </c>
      <c r="F2233" t="s"/>
      <c r="G2233" t="s"/>
      <c r="H2233" t="s"/>
      <c r="I2233" t="s"/>
      <c r="J2233" t="n">
        <v>-0.6124000000000001</v>
      </c>
      <c r="K2233" t="n">
        <v>0.171</v>
      </c>
      <c r="L2233" t="n">
        <v>0.728</v>
      </c>
      <c r="M2233" t="n">
        <v>0.101</v>
      </c>
    </row>
    <row r="2234" spans="1:13">
      <c r="A2234" s="1">
        <f>HYPERLINK("http://www.twitter.com/NathanBLawrence/status/983340902654578688", "983340902654578688")</f>
        <v/>
      </c>
      <c r="B2234" s="2" t="n">
        <v>43199.57540509259</v>
      </c>
      <c r="C2234" t="n">
        <v>0</v>
      </c>
      <c r="D2234" t="n">
        <v>4</v>
      </c>
      <c r="E2234" t="s">
        <v>2238</v>
      </c>
      <c r="F2234" t="s"/>
      <c r="G2234" t="s"/>
      <c r="H2234" t="s"/>
      <c r="I2234" t="s"/>
      <c r="J2234" t="n">
        <v>0</v>
      </c>
      <c r="K2234" t="n">
        <v>0</v>
      </c>
      <c r="L2234" t="n">
        <v>1</v>
      </c>
      <c r="M2234" t="n">
        <v>0</v>
      </c>
    </row>
    <row r="2235" spans="1:13">
      <c r="A2235" s="1">
        <f>HYPERLINK("http://www.twitter.com/NathanBLawrence/status/983340480770527232", "983340480770527232")</f>
        <v/>
      </c>
      <c r="B2235" s="2" t="n">
        <v>43199.57423611111</v>
      </c>
      <c r="C2235" t="n">
        <v>0</v>
      </c>
      <c r="D2235" t="n">
        <v>0</v>
      </c>
      <c r="E2235" t="s">
        <v>2239</v>
      </c>
      <c r="F2235" t="s"/>
      <c r="G2235" t="s"/>
      <c r="H2235" t="s"/>
      <c r="I2235" t="s"/>
      <c r="J2235" t="n">
        <v>0</v>
      </c>
      <c r="K2235" t="n">
        <v>0</v>
      </c>
      <c r="L2235" t="n">
        <v>1</v>
      </c>
      <c r="M2235" t="n">
        <v>0</v>
      </c>
    </row>
    <row r="2236" spans="1:13">
      <c r="A2236" s="1">
        <f>HYPERLINK("http://www.twitter.com/NathanBLawrence/status/983333121385955328", "983333121385955328")</f>
        <v/>
      </c>
      <c r="B2236" s="2" t="n">
        <v>43199.55393518518</v>
      </c>
      <c r="C2236" t="n">
        <v>1</v>
      </c>
      <c r="D2236" t="n">
        <v>0</v>
      </c>
      <c r="E2236" t="s">
        <v>2240</v>
      </c>
      <c r="F2236" t="s"/>
      <c r="G2236" t="s"/>
      <c r="H2236" t="s"/>
      <c r="I2236" t="s"/>
      <c r="J2236" t="n">
        <v>0.4019</v>
      </c>
      <c r="K2236" t="n">
        <v>0</v>
      </c>
      <c r="L2236" t="n">
        <v>0.909</v>
      </c>
      <c r="M2236" t="n">
        <v>0.091</v>
      </c>
    </row>
    <row r="2237" spans="1:13">
      <c r="A2237" s="1">
        <f>HYPERLINK("http://www.twitter.com/NathanBLawrence/status/983332185796210689", "983332185796210689")</f>
        <v/>
      </c>
      <c r="B2237" s="2" t="n">
        <v>43199.55135416667</v>
      </c>
      <c r="C2237" t="n">
        <v>1</v>
      </c>
      <c r="D2237" t="n">
        <v>0</v>
      </c>
      <c r="E2237" t="s">
        <v>2241</v>
      </c>
      <c r="F2237" t="s"/>
      <c r="G2237" t="s"/>
      <c r="H2237" t="s"/>
      <c r="I2237" t="s"/>
      <c r="J2237" t="n">
        <v>-0.7178</v>
      </c>
      <c r="K2237" t="n">
        <v>0.242</v>
      </c>
      <c r="L2237" t="n">
        <v>0.679</v>
      </c>
      <c r="M2237" t="n">
        <v>0.079</v>
      </c>
    </row>
    <row r="2238" spans="1:13">
      <c r="A2238" s="1">
        <f>HYPERLINK("http://www.twitter.com/NathanBLawrence/status/983331926412005377", "983331926412005377")</f>
        <v/>
      </c>
      <c r="B2238" s="2" t="n">
        <v>43199.55063657407</v>
      </c>
      <c r="C2238" t="n">
        <v>0</v>
      </c>
      <c r="D2238" t="n">
        <v>0</v>
      </c>
      <c r="E2238" t="s">
        <v>2242</v>
      </c>
      <c r="F2238" t="s"/>
      <c r="G2238" t="s"/>
      <c r="H2238" t="s"/>
      <c r="I2238" t="s"/>
      <c r="J2238" t="n">
        <v>-0.6369</v>
      </c>
      <c r="K2238" t="n">
        <v>0.191</v>
      </c>
      <c r="L2238" t="n">
        <v>0.767</v>
      </c>
      <c r="M2238" t="n">
        <v>0.042</v>
      </c>
    </row>
    <row r="2239" spans="1:13">
      <c r="A2239" s="1">
        <f>HYPERLINK("http://www.twitter.com/NathanBLawrence/status/983327645638283264", "983327645638283264")</f>
        <v/>
      </c>
      <c r="B2239" s="2" t="n">
        <v>43199.53881944445</v>
      </c>
      <c r="C2239" t="n">
        <v>1</v>
      </c>
      <c r="D2239" t="n">
        <v>1</v>
      </c>
      <c r="E2239" t="s">
        <v>2243</v>
      </c>
      <c r="F2239">
        <f>HYPERLINK("http://pbs.twimg.com/media/DaV7RhsWkAAgvcw.jpg", "http://pbs.twimg.com/media/DaV7RhsWkAAgvcw.jpg")</f>
        <v/>
      </c>
      <c r="G2239" t="s"/>
      <c r="H2239" t="s"/>
      <c r="I2239" t="s"/>
      <c r="J2239" t="n">
        <v>0</v>
      </c>
      <c r="K2239" t="n">
        <v>0</v>
      </c>
      <c r="L2239" t="n">
        <v>1</v>
      </c>
      <c r="M2239" t="n">
        <v>0</v>
      </c>
    </row>
    <row r="2240" spans="1:13">
      <c r="A2240" s="1">
        <f>HYPERLINK("http://www.twitter.com/NathanBLawrence/status/983325886589095936", "983325886589095936")</f>
        <v/>
      </c>
      <c r="B2240" s="2" t="n">
        <v>43199.53396990741</v>
      </c>
      <c r="C2240" t="n">
        <v>2</v>
      </c>
      <c r="D2240" t="n">
        <v>0</v>
      </c>
      <c r="E2240" t="s">
        <v>2244</v>
      </c>
      <c r="F2240" t="s"/>
      <c r="G2240" t="s"/>
      <c r="H2240" t="s"/>
      <c r="I2240" t="s"/>
      <c r="J2240" t="n">
        <v>0</v>
      </c>
      <c r="K2240" t="n">
        <v>0</v>
      </c>
      <c r="L2240" t="n">
        <v>1</v>
      </c>
      <c r="M2240" t="n">
        <v>0</v>
      </c>
    </row>
    <row r="2241" spans="1:13">
      <c r="A2241" s="1">
        <f>HYPERLINK("http://www.twitter.com/NathanBLawrence/status/983324153007759362", "983324153007759362")</f>
        <v/>
      </c>
      <c r="B2241" s="2" t="n">
        <v>43199.52918981481</v>
      </c>
      <c r="C2241" t="n">
        <v>2</v>
      </c>
      <c r="D2241" t="n">
        <v>0</v>
      </c>
      <c r="E2241" t="s">
        <v>2245</v>
      </c>
      <c r="F2241" t="s"/>
      <c r="G2241" t="s"/>
      <c r="H2241" t="s"/>
      <c r="I2241" t="s"/>
      <c r="J2241" t="n">
        <v>-0.25</v>
      </c>
      <c r="K2241" t="n">
        <v>0.074</v>
      </c>
      <c r="L2241" t="n">
        <v>0.926</v>
      </c>
      <c r="M2241" t="n">
        <v>0</v>
      </c>
    </row>
    <row r="2242" spans="1:13">
      <c r="A2242" s="1">
        <f>HYPERLINK("http://www.twitter.com/NathanBLawrence/status/983323724878315521", "983323724878315521")</f>
        <v/>
      </c>
      <c r="B2242" s="2" t="n">
        <v>43199.52799768518</v>
      </c>
      <c r="C2242" t="n">
        <v>3</v>
      </c>
      <c r="D2242" t="n">
        <v>2</v>
      </c>
      <c r="E2242" t="s">
        <v>2246</v>
      </c>
      <c r="F2242" t="s"/>
      <c r="G2242" t="s"/>
      <c r="H2242" t="s"/>
      <c r="I2242" t="s"/>
      <c r="J2242" t="n">
        <v>0</v>
      </c>
      <c r="K2242" t="n">
        <v>0</v>
      </c>
      <c r="L2242" t="n">
        <v>1</v>
      </c>
      <c r="M2242" t="n">
        <v>0</v>
      </c>
    </row>
    <row r="2243" spans="1:13">
      <c r="A2243" s="1">
        <f>HYPERLINK("http://www.twitter.com/NathanBLawrence/status/983322862567219201", "983322862567219201")</f>
        <v/>
      </c>
      <c r="B2243" s="2" t="n">
        <v>43199.525625</v>
      </c>
      <c r="C2243" t="n">
        <v>0</v>
      </c>
      <c r="D2243" t="n">
        <v>6</v>
      </c>
      <c r="E2243" t="s">
        <v>2247</v>
      </c>
      <c r="F2243" t="s"/>
      <c r="G2243" t="s"/>
      <c r="H2243" t="s"/>
      <c r="I2243" t="s"/>
      <c r="J2243" t="n">
        <v>0</v>
      </c>
      <c r="K2243" t="n">
        <v>0</v>
      </c>
      <c r="L2243" t="n">
        <v>1</v>
      </c>
      <c r="M2243" t="n">
        <v>0</v>
      </c>
    </row>
    <row r="2244" spans="1:13">
      <c r="A2244" s="1">
        <f>HYPERLINK("http://www.twitter.com/NathanBLawrence/status/983322464246747138", "983322464246747138")</f>
        <v/>
      </c>
      <c r="B2244" s="2" t="n">
        <v>43199.52452546296</v>
      </c>
      <c r="C2244" t="n">
        <v>0</v>
      </c>
      <c r="D2244" t="n">
        <v>0</v>
      </c>
      <c r="E2244" t="s">
        <v>2248</v>
      </c>
      <c r="F2244" t="s"/>
      <c r="G2244" t="s"/>
      <c r="H2244" t="s"/>
      <c r="I2244" t="s"/>
      <c r="J2244" t="n">
        <v>0.4588</v>
      </c>
      <c r="K2244" t="n">
        <v>0</v>
      </c>
      <c r="L2244" t="n">
        <v>0.75</v>
      </c>
      <c r="M2244" t="n">
        <v>0.25</v>
      </c>
    </row>
    <row r="2245" spans="1:13">
      <c r="A2245" s="1">
        <f>HYPERLINK("http://www.twitter.com/NathanBLawrence/status/983317774528319488", "983317774528319488")</f>
        <v/>
      </c>
      <c r="B2245" s="2" t="n">
        <v>43199.51158564815</v>
      </c>
      <c r="C2245" t="n">
        <v>1</v>
      </c>
      <c r="D2245" t="n">
        <v>0</v>
      </c>
      <c r="E2245" t="s">
        <v>2249</v>
      </c>
      <c r="F2245">
        <f>HYPERLINK("http://pbs.twimg.com/media/DaVxT_EWkAEZIWz.jpg", "http://pbs.twimg.com/media/DaVxT_EWkAEZIWz.jpg")</f>
        <v/>
      </c>
      <c r="G2245">
        <f>HYPERLINK("http://pbs.twimg.com/media/DaVxbRkX4AA-5Uc.jpg", "http://pbs.twimg.com/media/DaVxbRkX4AA-5Uc.jpg")</f>
        <v/>
      </c>
      <c r="H2245">
        <f>HYPERLINK("http://pbs.twimg.com/media/DaVxcPTW0AAICDC.jpg", "http://pbs.twimg.com/media/DaVxcPTW0AAICDC.jpg")</f>
        <v/>
      </c>
      <c r="I2245">
        <f>HYPERLINK("http://pbs.twimg.com/media/DaVxdwhXkAAsliz.jpg", "http://pbs.twimg.com/media/DaVxdwhXkAAsliz.jpg")</f>
        <v/>
      </c>
      <c r="J2245" t="n">
        <v>0.4215</v>
      </c>
      <c r="K2245" t="n">
        <v>0</v>
      </c>
      <c r="L2245" t="n">
        <v>0.881</v>
      </c>
      <c r="M2245" t="n">
        <v>0.119</v>
      </c>
    </row>
    <row r="2246" spans="1:13">
      <c r="A2246" s="1">
        <f>HYPERLINK("http://www.twitter.com/NathanBLawrence/status/983182832825716736", "983182832825716736")</f>
        <v/>
      </c>
      <c r="B2246" s="2" t="n">
        <v>43199.13921296296</v>
      </c>
      <c r="C2246" t="n">
        <v>1</v>
      </c>
      <c r="D2246" t="n">
        <v>1</v>
      </c>
      <c r="E2246" t="s">
        <v>2250</v>
      </c>
      <c r="F2246">
        <f>HYPERLINK("http://pbs.twimg.com/media/DaT2UwTX4AA1J_U.jpg", "http://pbs.twimg.com/media/DaT2UwTX4AA1J_U.jpg")</f>
        <v/>
      </c>
      <c r="G2246" t="s"/>
      <c r="H2246" t="s"/>
      <c r="I2246" t="s"/>
      <c r="J2246" t="n">
        <v>0</v>
      </c>
      <c r="K2246" t="n">
        <v>0</v>
      </c>
      <c r="L2246" t="n">
        <v>1</v>
      </c>
      <c r="M2246" t="n">
        <v>0</v>
      </c>
    </row>
    <row r="2247" spans="1:13">
      <c r="A2247" s="1">
        <f>HYPERLINK("http://www.twitter.com/NathanBLawrence/status/983130478520750080", "983130478520750080")</f>
        <v/>
      </c>
      <c r="B2247" s="2" t="n">
        <v>43198.99474537037</v>
      </c>
      <c r="C2247" t="n">
        <v>0</v>
      </c>
      <c r="D2247" t="n">
        <v>5</v>
      </c>
      <c r="E2247" t="s">
        <v>2251</v>
      </c>
      <c r="F2247" t="s"/>
      <c r="G2247" t="s"/>
      <c r="H2247" t="s"/>
      <c r="I2247" t="s"/>
      <c r="J2247" t="n">
        <v>-0.296</v>
      </c>
      <c r="K2247" t="n">
        <v>0.145</v>
      </c>
      <c r="L2247" t="n">
        <v>0.855</v>
      </c>
      <c r="M2247" t="n">
        <v>0</v>
      </c>
    </row>
    <row r="2248" spans="1:13">
      <c r="A2248" s="1">
        <f>HYPERLINK("http://www.twitter.com/NathanBLawrence/status/983130245829144576", "983130245829144576")</f>
        <v/>
      </c>
      <c r="B2248" s="2" t="n">
        <v>43198.99409722222</v>
      </c>
      <c r="C2248" t="n">
        <v>0</v>
      </c>
      <c r="D2248" t="n">
        <v>1</v>
      </c>
      <c r="E2248" t="s">
        <v>2252</v>
      </c>
      <c r="F2248">
        <f>HYPERLINK("http://pbs.twimg.com/media/DaTHHrdW4AAfgYu.jpg", "http://pbs.twimg.com/media/DaTHHrdW4AAfgYu.jpg")</f>
        <v/>
      </c>
      <c r="G2248" t="s"/>
      <c r="H2248" t="s"/>
      <c r="I2248" t="s"/>
      <c r="J2248" t="n">
        <v>0</v>
      </c>
      <c r="K2248" t="n">
        <v>0</v>
      </c>
      <c r="L2248" t="n">
        <v>1</v>
      </c>
      <c r="M2248" t="n">
        <v>0</v>
      </c>
    </row>
    <row r="2249" spans="1:13">
      <c r="A2249" s="1">
        <f>HYPERLINK("http://www.twitter.com/NathanBLawrence/status/983129436626317312", "983129436626317312")</f>
        <v/>
      </c>
      <c r="B2249" s="2" t="n">
        <v>43198.991875</v>
      </c>
      <c r="C2249" t="n">
        <v>2</v>
      </c>
      <c r="D2249" t="n">
        <v>2</v>
      </c>
      <c r="E2249" t="s">
        <v>2253</v>
      </c>
      <c r="F2249">
        <f>HYPERLINK("http://pbs.twimg.com/media/DaTFmsCXUAAQbzP.jpg", "http://pbs.twimg.com/media/DaTFmsCXUAAQbzP.jpg")</f>
        <v/>
      </c>
      <c r="G2249" t="s"/>
      <c r="H2249" t="s"/>
      <c r="I2249" t="s"/>
      <c r="J2249" t="n">
        <v>-0.5859</v>
      </c>
      <c r="K2249" t="n">
        <v>0.123</v>
      </c>
      <c r="L2249" t="n">
        <v>0.877</v>
      </c>
      <c r="M2249" t="n">
        <v>0</v>
      </c>
    </row>
    <row r="2250" spans="1:13">
      <c r="A2250" s="1">
        <f>HYPERLINK("http://www.twitter.com/NathanBLawrence/status/983103273098981376", "983103273098981376")</f>
        <v/>
      </c>
      <c r="B2250" s="2" t="n">
        <v>43198.91967592593</v>
      </c>
      <c r="C2250" t="n">
        <v>0</v>
      </c>
      <c r="D2250" t="n">
        <v>10</v>
      </c>
      <c r="E2250" t="s">
        <v>2254</v>
      </c>
      <c r="F2250" t="s"/>
      <c r="G2250" t="s"/>
      <c r="H2250" t="s"/>
      <c r="I2250" t="s"/>
      <c r="J2250" t="n">
        <v>-0.3612</v>
      </c>
      <c r="K2250" t="n">
        <v>0.2</v>
      </c>
      <c r="L2250" t="n">
        <v>0.6909999999999999</v>
      </c>
      <c r="M2250" t="n">
        <v>0.109</v>
      </c>
    </row>
    <row r="2251" spans="1:13">
      <c r="A2251" s="1">
        <f>HYPERLINK("http://www.twitter.com/NathanBLawrence/status/983088008369930240", "983088008369930240")</f>
        <v/>
      </c>
      <c r="B2251" s="2" t="n">
        <v>43198.87754629629</v>
      </c>
      <c r="C2251" t="n">
        <v>0</v>
      </c>
      <c r="D2251" t="n">
        <v>0</v>
      </c>
      <c r="E2251" t="s">
        <v>2255</v>
      </c>
      <c r="F2251" t="s"/>
      <c r="G2251" t="s"/>
      <c r="H2251" t="s"/>
      <c r="I2251" t="s"/>
      <c r="J2251" t="n">
        <v>0.3182</v>
      </c>
      <c r="K2251" t="n">
        <v>0</v>
      </c>
      <c r="L2251" t="n">
        <v>0.916</v>
      </c>
      <c r="M2251" t="n">
        <v>0.08400000000000001</v>
      </c>
    </row>
    <row r="2252" spans="1:13">
      <c r="A2252" s="1">
        <f>HYPERLINK("http://www.twitter.com/NathanBLawrence/status/983087647986987008", "983087647986987008")</f>
        <v/>
      </c>
      <c r="B2252" s="2" t="n">
        <v>43198.87655092592</v>
      </c>
      <c r="C2252" t="n">
        <v>0</v>
      </c>
      <c r="D2252" t="n">
        <v>0</v>
      </c>
      <c r="E2252" t="s">
        <v>2256</v>
      </c>
      <c r="F2252" t="s"/>
      <c r="G2252" t="s"/>
      <c r="H2252" t="s"/>
      <c r="I2252" t="s"/>
      <c r="J2252" t="n">
        <v>0</v>
      </c>
      <c r="K2252" t="n">
        <v>0</v>
      </c>
      <c r="L2252" t="n">
        <v>1</v>
      </c>
      <c r="M2252" t="n">
        <v>0</v>
      </c>
    </row>
    <row r="2253" spans="1:13">
      <c r="A2253" s="1">
        <f>HYPERLINK("http://www.twitter.com/NathanBLawrence/status/983086667220348928", "983086667220348928")</f>
        <v/>
      </c>
      <c r="B2253" s="2" t="n">
        <v>43198.87384259259</v>
      </c>
      <c r="C2253" t="n">
        <v>1</v>
      </c>
      <c r="D2253" t="n">
        <v>0</v>
      </c>
      <c r="E2253" t="s">
        <v>2257</v>
      </c>
      <c r="F2253" t="s"/>
      <c r="G2253" t="s"/>
      <c r="H2253" t="s"/>
      <c r="I2253" t="s"/>
      <c r="J2253" t="n">
        <v>0.091</v>
      </c>
      <c r="K2253" t="n">
        <v>0.117</v>
      </c>
      <c r="L2253" t="n">
        <v>0.747</v>
      </c>
      <c r="M2253" t="n">
        <v>0.136</v>
      </c>
    </row>
    <row r="2254" spans="1:13">
      <c r="A2254" s="1">
        <f>HYPERLINK("http://www.twitter.com/NathanBLawrence/status/983079472164491265", "983079472164491265")</f>
        <v/>
      </c>
      <c r="B2254" s="2" t="n">
        <v>43198.85399305556</v>
      </c>
      <c r="C2254" t="n">
        <v>2</v>
      </c>
      <c r="D2254" t="n">
        <v>1</v>
      </c>
      <c r="E2254" t="s">
        <v>2258</v>
      </c>
      <c r="F2254" t="s"/>
      <c r="G2254" t="s"/>
      <c r="H2254" t="s"/>
      <c r="I2254" t="s"/>
      <c r="J2254" t="n">
        <v>0.8658</v>
      </c>
      <c r="K2254" t="n">
        <v>0.063</v>
      </c>
      <c r="L2254" t="n">
        <v>0.606</v>
      </c>
      <c r="M2254" t="n">
        <v>0.331</v>
      </c>
    </row>
    <row r="2255" spans="1:13">
      <c r="A2255" s="1">
        <f>HYPERLINK("http://www.twitter.com/NathanBLawrence/status/983074114880630785", "983074114880630785")</f>
        <v/>
      </c>
      <c r="B2255" s="2" t="n">
        <v>43198.83921296296</v>
      </c>
      <c r="C2255" t="n">
        <v>2</v>
      </c>
      <c r="D2255" t="n">
        <v>2</v>
      </c>
      <c r="E2255" t="s">
        <v>2259</v>
      </c>
      <c r="F2255" t="s"/>
      <c r="G2255" t="s"/>
      <c r="H2255" t="s"/>
      <c r="I2255" t="s"/>
      <c r="J2255" t="n">
        <v>0.222</v>
      </c>
      <c r="K2255" t="n">
        <v>0.11</v>
      </c>
      <c r="L2255" t="n">
        <v>0.733</v>
      </c>
      <c r="M2255" t="n">
        <v>0.157</v>
      </c>
    </row>
    <row r="2256" spans="1:13">
      <c r="A2256" s="1">
        <f>HYPERLINK("http://www.twitter.com/NathanBLawrence/status/983073730204262402", "983073730204262402")</f>
        <v/>
      </c>
      <c r="B2256" s="2" t="n">
        <v>43198.83814814815</v>
      </c>
      <c r="C2256" t="n">
        <v>0</v>
      </c>
      <c r="D2256" t="n">
        <v>0</v>
      </c>
      <c r="E2256" t="s">
        <v>2260</v>
      </c>
      <c r="F2256" t="s"/>
      <c r="G2256" t="s"/>
      <c r="H2256" t="s"/>
      <c r="I2256" t="s"/>
      <c r="J2256" t="n">
        <v>0.0367</v>
      </c>
      <c r="K2256" t="n">
        <v>0.159</v>
      </c>
      <c r="L2256" t="n">
        <v>0.719</v>
      </c>
      <c r="M2256" t="n">
        <v>0.123</v>
      </c>
    </row>
    <row r="2257" spans="1:13">
      <c r="A2257" s="1">
        <f>HYPERLINK("http://www.twitter.com/NathanBLawrence/status/983073514113634305", "983073514113634305")</f>
        <v/>
      </c>
      <c r="B2257" s="2" t="n">
        <v>43198.83755787037</v>
      </c>
      <c r="C2257" t="n">
        <v>2</v>
      </c>
      <c r="D2257" t="n">
        <v>1</v>
      </c>
      <c r="E2257" t="s">
        <v>2261</v>
      </c>
      <c r="F2257" t="s"/>
      <c r="G2257" t="s"/>
      <c r="H2257" t="s"/>
      <c r="I2257" t="s"/>
      <c r="J2257" t="n">
        <v>-0.4926</v>
      </c>
      <c r="K2257" t="n">
        <v>0.166</v>
      </c>
      <c r="L2257" t="n">
        <v>0.834</v>
      </c>
      <c r="M2257" t="n">
        <v>0</v>
      </c>
    </row>
    <row r="2258" spans="1:13">
      <c r="A2258" s="1">
        <f>HYPERLINK("http://www.twitter.com/NathanBLawrence/status/983072079326171136", "983072079326171136")</f>
        <v/>
      </c>
      <c r="B2258" s="2" t="n">
        <v>43198.83358796296</v>
      </c>
      <c r="C2258" t="n">
        <v>0</v>
      </c>
      <c r="D2258" t="n">
        <v>1</v>
      </c>
      <c r="E2258" t="s">
        <v>2262</v>
      </c>
      <c r="F2258" t="s"/>
      <c r="G2258" t="s"/>
      <c r="H2258" t="s"/>
      <c r="I2258" t="s"/>
      <c r="J2258" t="n">
        <v>0</v>
      </c>
      <c r="K2258" t="n">
        <v>0</v>
      </c>
      <c r="L2258" t="n">
        <v>1</v>
      </c>
      <c r="M2258" t="n">
        <v>0</v>
      </c>
    </row>
    <row r="2259" spans="1:13">
      <c r="A2259" s="1">
        <f>HYPERLINK("http://www.twitter.com/NathanBLawrence/status/983061137129426944", "983061137129426944")</f>
        <v/>
      </c>
      <c r="B2259" s="2" t="n">
        <v>43198.80340277778</v>
      </c>
      <c r="C2259" t="n">
        <v>1</v>
      </c>
      <c r="D2259" t="n">
        <v>1</v>
      </c>
      <c r="E2259" t="s">
        <v>2263</v>
      </c>
      <c r="F2259">
        <f>HYPERLINK("http://pbs.twimg.com/media/DaSG6zaWsAAhF76.jpg", "http://pbs.twimg.com/media/DaSG6zaWsAAhF76.jpg")</f>
        <v/>
      </c>
      <c r="G2259" t="s"/>
      <c r="H2259" t="s"/>
      <c r="I2259" t="s"/>
      <c r="J2259" t="n">
        <v>0</v>
      </c>
      <c r="K2259" t="n">
        <v>0</v>
      </c>
      <c r="L2259" t="n">
        <v>1</v>
      </c>
      <c r="M2259" t="n">
        <v>0</v>
      </c>
    </row>
    <row r="2260" spans="1:13">
      <c r="A2260" s="1">
        <f>HYPERLINK("http://www.twitter.com/NathanBLawrence/status/983048523926171648", "983048523926171648")</f>
        <v/>
      </c>
      <c r="B2260" s="2" t="n">
        <v>43198.76858796296</v>
      </c>
      <c r="C2260" t="n">
        <v>3</v>
      </c>
      <c r="D2260" t="n">
        <v>1</v>
      </c>
      <c r="E2260" t="s">
        <v>2264</v>
      </c>
      <c r="F2260" t="s"/>
      <c r="G2260" t="s"/>
      <c r="H2260" t="s"/>
      <c r="I2260" t="s"/>
      <c r="J2260" t="n">
        <v>0</v>
      </c>
      <c r="K2260" t="n">
        <v>0</v>
      </c>
      <c r="L2260" t="n">
        <v>1</v>
      </c>
      <c r="M2260" t="n">
        <v>0</v>
      </c>
    </row>
    <row r="2261" spans="1:13">
      <c r="A2261" s="1">
        <f>HYPERLINK("http://www.twitter.com/NathanBLawrence/status/983048522181304321", "983048522181304321")</f>
        <v/>
      </c>
      <c r="B2261" s="2" t="n">
        <v>43198.76858796296</v>
      </c>
      <c r="C2261" t="n">
        <v>4</v>
      </c>
      <c r="D2261" t="n">
        <v>2</v>
      </c>
      <c r="E2261" t="s">
        <v>2265</v>
      </c>
      <c r="F2261" t="s"/>
      <c r="G2261" t="s"/>
      <c r="H2261" t="s"/>
      <c r="I2261" t="s"/>
      <c r="J2261" t="n">
        <v>-0.5423</v>
      </c>
      <c r="K2261" t="n">
        <v>0.143</v>
      </c>
      <c r="L2261" t="n">
        <v>0.857</v>
      </c>
      <c r="M2261" t="n">
        <v>0</v>
      </c>
    </row>
    <row r="2262" spans="1:13">
      <c r="A2262" s="1">
        <f>HYPERLINK("http://www.twitter.com/NathanBLawrence/status/983048518817501185", "983048518817501185")</f>
        <v/>
      </c>
      <c r="B2262" s="2" t="n">
        <v>43198.76857638889</v>
      </c>
      <c r="C2262" t="n">
        <v>5</v>
      </c>
      <c r="D2262" t="n">
        <v>3</v>
      </c>
      <c r="E2262" t="s">
        <v>2266</v>
      </c>
      <c r="F2262">
        <f>HYPERLINK("http://pbs.twimg.com/media/DaR8UWUX4AAEacW.jpg", "http://pbs.twimg.com/media/DaR8UWUX4AAEacW.jpg")</f>
        <v/>
      </c>
      <c r="G2262" t="s"/>
      <c r="H2262" t="s"/>
      <c r="I2262" t="s"/>
      <c r="J2262" t="n">
        <v>0</v>
      </c>
      <c r="K2262" t="n">
        <v>0</v>
      </c>
      <c r="L2262" t="n">
        <v>1</v>
      </c>
      <c r="M2262" t="n">
        <v>0</v>
      </c>
    </row>
    <row r="2263" spans="1:13">
      <c r="A2263" s="1">
        <f>HYPERLINK("http://www.twitter.com/NathanBLawrence/status/982998496352591872", "982998496352591872")</f>
        <v/>
      </c>
      <c r="B2263" s="2" t="n">
        <v>43198.63054398148</v>
      </c>
      <c r="C2263" t="n">
        <v>0</v>
      </c>
      <c r="D2263" t="n">
        <v>11</v>
      </c>
      <c r="E2263" t="s">
        <v>2267</v>
      </c>
      <c r="F2263" t="s"/>
      <c r="G2263" t="s"/>
      <c r="H2263" t="s"/>
      <c r="I2263" t="s"/>
      <c r="J2263" t="n">
        <v>0.0772</v>
      </c>
      <c r="K2263" t="n">
        <v>0.096</v>
      </c>
      <c r="L2263" t="n">
        <v>0.797</v>
      </c>
      <c r="M2263" t="n">
        <v>0.108</v>
      </c>
    </row>
    <row r="2264" spans="1:13">
      <c r="A2264" s="1">
        <f>HYPERLINK("http://www.twitter.com/NathanBLawrence/status/982988655118770176", "982988655118770176")</f>
        <v/>
      </c>
      <c r="B2264" s="2" t="n">
        <v>43198.6033912037</v>
      </c>
      <c r="C2264" t="n">
        <v>3</v>
      </c>
      <c r="D2264" t="n">
        <v>3</v>
      </c>
      <c r="E2264" t="s">
        <v>2268</v>
      </c>
      <c r="F2264">
        <f>HYPERLINK("http://pbs.twimg.com/media/DaRG9f9X4AAwH-K.jpg", "http://pbs.twimg.com/media/DaRG9f9X4AAwH-K.jpg")</f>
        <v/>
      </c>
      <c r="G2264" t="s"/>
      <c r="H2264" t="s"/>
      <c r="I2264" t="s"/>
      <c r="J2264" t="n">
        <v>0</v>
      </c>
      <c r="K2264" t="n">
        <v>0</v>
      </c>
      <c r="L2264" t="n">
        <v>1</v>
      </c>
      <c r="M2264" t="n">
        <v>0</v>
      </c>
    </row>
    <row r="2265" spans="1:13">
      <c r="A2265" s="1">
        <f>HYPERLINK("http://www.twitter.com/NathanBLawrence/status/982982966375829504", "982982966375829504")</f>
        <v/>
      </c>
      <c r="B2265" s="2" t="n">
        <v>43198.58768518519</v>
      </c>
      <c r="C2265" t="n">
        <v>0</v>
      </c>
      <c r="D2265" t="n">
        <v>13</v>
      </c>
      <c r="E2265" t="s">
        <v>2269</v>
      </c>
      <c r="F2265" t="s"/>
      <c r="G2265" t="s"/>
      <c r="H2265" t="s"/>
      <c r="I2265" t="s"/>
      <c r="J2265" t="n">
        <v>0</v>
      </c>
      <c r="K2265" t="n">
        <v>0</v>
      </c>
      <c r="L2265" t="n">
        <v>1</v>
      </c>
      <c r="M2265" t="n">
        <v>0</v>
      </c>
    </row>
    <row r="2266" spans="1:13">
      <c r="A2266" s="1">
        <f>HYPERLINK("http://www.twitter.com/NathanBLawrence/status/982980196432334849", "982980196432334849")</f>
        <v/>
      </c>
      <c r="B2266" s="2" t="n">
        <v>43198.58004629629</v>
      </c>
      <c r="C2266" t="n">
        <v>0</v>
      </c>
      <c r="D2266" t="n">
        <v>0</v>
      </c>
      <c r="E2266" t="s">
        <v>2270</v>
      </c>
      <c r="F2266">
        <f>HYPERLINK("http://pbs.twimg.com/media/DaQ_PbZX0AAOJ-L.jpg", "http://pbs.twimg.com/media/DaQ_PbZX0AAOJ-L.jpg")</f>
        <v/>
      </c>
      <c r="G2266" t="s"/>
      <c r="H2266" t="s"/>
      <c r="I2266" t="s"/>
      <c r="J2266" t="n">
        <v>0</v>
      </c>
      <c r="K2266" t="n">
        <v>0</v>
      </c>
      <c r="L2266" t="n">
        <v>1</v>
      </c>
      <c r="M2266" t="n">
        <v>0</v>
      </c>
    </row>
    <row r="2267" spans="1:13">
      <c r="A2267" s="1">
        <f>HYPERLINK("http://www.twitter.com/NathanBLawrence/status/982979647800512512", "982979647800512512")</f>
        <v/>
      </c>
      <c r="B2267" s="2" t="n">
        <v>43198.57853009259</v>
      </c>
      <c r="C2267" t="n">
        <v>2</v>
      </c>
      <c r="D2267" t="n">
        <v>2</v>
      </c>
      <c r="E2267" t="s">
        <v>2271</v>
      </c>
      <c r="F2267">
        <f>HYPERLINK("http://pbs.twimg.com/media/DaQ-xelW4AAHjcX.jpg", "http://pbs.twimg.com/media/DaQ-xelW4AAHjcX.jpg")</f>
        <v/>
      </c>
      <c r="G2267" t="s"/>
      <c r="H2267" t="s"/>
      <c r="I2267" t="s"/>
      <c r="J2267" t="n">
        <v>0</v>
      </c>
      <c r="K2267" t="n">
        <v>0</v>
      </c>
      <c r="L2267" t="n">
        <v>1</v>
      </c>
      <c r="M2267" t="n">
        <v>0</v>
      </c>
    </row>
    <row r="2268" spans="1:13">
      <c r="A2268" s="1">
        <f>HYPERLINK("http://www.twitter.com/NathanBLawrence/status/982979226994462720", "982979226994462720")</f>
        <v/>
      </c>
      <c r="B2268" s="2" t="n">
        <v>43198.57737268518</v>
      </c>
      <c r="C2268" t="n">
        <v>0</v>
      </c>
      <c r="D2268" t="n">
        <v>0</v>
      </c>
      <c r="E2268" t="s">
        <v>2272</v>
      </c>
      <c r="F2268">
        <f>HYPERLINK("http://pbs.twimg.com/media/DaQ-YkXWsAIp5HG.jpg", "http://pbs.twimg.com/media/DaQ-YkXWsAIp5HG.jpg")</f>
        <v/>
      </c>
      <c r="G2268" t="s"/>
      <c r="H2268" t="s"/>
      <c r="I2268" t="s"/>
      <c r="J2268" t="n">
        <v>0</v>
      </c>
      <c r="K2268" t="n">
        <v>0</v>
      </c>
      <c r="L2268" t="n">
        <v>1</v>
      </c>
      <c r="M2268" t="n">
        <v>0</v>
      </c>
    </row>
    <row r="2269" spans="1:13">
      <c r="A2269" s="1">
        <f>HYPERLINK("http://www.twitter.com/NathanBLawrence/status/982978552822935552", "982978552822935552")</f>
        <v/>
      </c>
      <c r="B2269" s="2" t="n">
        <v>43198.57550925926</v>
      </c>
      <c r="C2269" t="n">
        <v>4</v>
      </c>
      <c r="D2269" t="n">
        <v>4</v>
      </c>
      <c r="E2269" t="s">
        <v>2273</v>
      </c>
      <c r="F2269" t="s"/>
      <c r="G2269" t="s"/>
      <c r="H2269" t="s"/>
      <c r="I2269" t="s"/>
      <c r="J2269" t="n">
        <v>-0.0772</v>
      </c>
      <c r="K2269" t="n">
        <v>0.193</v>
      </c>
      <c r="L2269" t="n">
        <v>0.643</v>
      </c>
      <c r="M2269" t="n">
        <v>0.164</v>
      </c>
    </row>
    <row r="2270" spans="1:13">
      <c r="A2270" s="1">
        <f>HYPERLINK("http://www.twitter.com/NathanBLawrence/status/982977430787969024", "982977430787969024")</f>
        <v/>
      </c>
      <c r="B2270" s="2" t="n">
        <v>43198.57240740741</v>
      </c>
      <c r="C2270" t="n">
        <v>0</v>
      </c>
      <c r="D2270" t="n">
        <v>12</v>
      </c>
      <c r="E2270" t="s">
        <v>2274</v>
      </c>
      <c r="F2270" t="s"/>
      <c r="G2270" t="s"/>
      <c r="H2270" t="s"/>
      <c r="I2270" t="s"/>
      <c r="J2270" t="n">
        <v>-0.8290999999999999</v>
      </c>
      <c r="K2270" t="n">
        <v>0.351</v>
      </c>
      <c r="L2270" t="n">
        <v>0.649</v>
      </c>
      <c r="M2270" t="n">
        <v>0</v>
      </c>
    </row>
    <row r="2271" spans="1:13">
      <c r="A2271" s="1">
        <f>HYPERLINK("http://www.twitter.com/NathanBLawrence/status/982975064202244096", "982975064202244096")</f>
        <v/>
      </c>
      <c r="B2271" s="2" t="n">
        <v>43198.56587962963</v>
      </c>
      <c r="C2271" t="n">
        <v>0</v>
      </c>
      <c r="D2271" t="n">
        <v>6</v>
      </c>
      <c r="E2271" t="s">
        <v>2275</v>
      </c>
      <c r="F2271" t="s"/>
      <c r="G2271" t="s"/>
      <c r="H2271" t="s"/>
      <c r="I2271" t="s"/>
      <c r="J2271" t="n">
        <v>0</v>
      </c>
      <c r="K2271" t="n">
        <v>0</v>
      </c>
      <c r="L2271" t="n">
        <v>1</v>
      </c>
      <c r="M2271" t="n">
        <v>0</v>
      </c>
    </row>
    <row r="2272" spans="1:13">
      <c r="A2272" s="1">
        <f>HYPERLINK("http://www.twitter.com/NathanBLawrence/status/982975038684123136", "982975038684123136")</f>
        <v/>
      </c>
      <c r="B2272" s="2" t="n">
        <v>43198.56581018519</v>
      </c>
      <c r="C2272" t="n">
        <v>0</v>
      </c>
      <c r="D2272" t="n">
        <v>6</v>
      </c>
      <c r="E2272" t="s">
        <v>2276</v>
      </c>
      <c r="F2272" t="s"/>
      <c r="G2272" t="s"/>
      <c r="H2272" t="s"/>
      <c r="I2272" t="s"/>
      <c r="J2272" t="n">
        <v>-0.296</v>
      </c>
      <c r="K2272" t="n">
        <v>0.196</v>
      </c>
      <c r="L2272" t="n">
        <v>0.804</v>
      </c>
      <c r="M2272" t="n">
        <v>0</v>
      </c>
    </row>
    <row r="2273" spans="1:13">
      <c r="A2273" s="1">
        <f>HYPERLINK("http://www.twitter.com/NathanBLawrence/status/982975014596239360", "982975014596239360")</f>
        <v/>
      </c>
      <c r="B2273" s="2" t="n">
        <v>43198.56574074074</v>
      </c>
      <c r="C2273" t="n">
        <v>0</v>
      </c>
      <c r="D2273" t="n">
        <v>3</v>
      </c>
      <c r="E2273" t="s">
        <v>2277</v>
      </c>
      <c r="F2273" t="s"/>
      <c r="G2273" t="s"/>
      <c r="H2273" t="s"/>
      <c r="I2273" t="s"/>
      <c r="J2273" t="n">
        <v>0.3034</v>
      </c>
      <c r="K2273" t="n">
        <v>0</v>
      </c>
      <c r="L2273" t="n">
        <v>0.831</v>
      </c>
      <c r="M2273" t="n">
        <v>0.169</v>
      </c>
    </row>
    <row r="2274" spans="1:13">
      <c r="A2274" s="1">
        <f>HYPERLINK("http://www.twitter.com/NathanBLawrence/status/982970783294218241", "982970783294218241")</f>
        <v/>
      </c>
      <c r="B2274" s="2" t="n">
        <v>43198.55407407408</v>
      </c>
      <c r="C2274" t="n">
        <v>0</v>
      </c>
      <c r="D2274" t="n">
        <v>4</v>
      </c>
      <c r="E2274" t="s">
        <v>2278</v>
      </c>
      <c r="F2274" t="s"/>
      <c r="G2274" t="s"/>
      <c r="H2274" t="s"/>
      <c r="I2274" t="s"/>
      <c r="J2274" t="n">
        <v>0</v>
      </c>
      <c r="K2274" t="n">
        <v>0</v>
      </c>
      <c r="L2274" t="n">
        <v>1</v>
      </c>
      <c r="M2274" t="n">
        <v>0</v>
      </c>
    </row>
    <row r="2275" spans="1:13">
      <c r="A2275" s="1">
        <f>HYPERLINK("http://www.twitter.com/NathanBLawrence/status/982967544414982146", "982967544414982146")</f>
        <v/>
      </c>
      <c r="B2275" s="2" t="n">
        <v>43198.54512731481</v>
      </c>
      <c r="C2275" t="n">
        <v>0</v>
      </c>
      <c r="D2275" t="n">
        <v>11</v>
      </c>
      <c r="E2275" t="s">
        <v>2279</v>
      </c>
      <c r="F2275" t="s"/>
      <c r="G2275" t="s"/>
      <c r="H2275" t="s"/>
      <c r="I2275" t="s"/>
      <c r="J2275" t="n">
        <v>0.6486</v>
      </c>
      <c r="K2275" t="n">
        <v>0</v>
      </c>
      <c r="L2275" t="n">
        <v>0.798</v>
      </c>
      <c r="M2275" t="n">
        <v>0.202</v>
      </c>
    </row>
    <row r="2276" spans="1:13">
      <c r="A2276" s="1">
        <f>HYPERLINK("http://www.twitter.com/NathanBLawrence/status/982899234868551680", "982899234868551680")</f>
        <v/>
      </c>
      <c r="B2276" s="2" t="n">
        <v>43198.35663194444</v>
      </c>
      <c r="C2276" t="n">
        <v>0</v>
      </c>
      <c r="D2276" t="n">
        <v>0</v>
      </c>
      <c r="E2276" t="s">
        <v>2280</v>
      </c>
      <c r="F2276" t="s"/>
      <c r="G2276" t="s"/>
      <c r="H2276" t="s"/>
      <c r="I2276" t="s"/>
      <c r="J2276" t="n">
        <v>-0.6908</v>
      </c>
      <c r="K2276" t="n">
        <v>0.263</v>
      </c>
      <c r="L2276" t="n">
        <v>0.737</v>
      </c>
      <c r="M2276" t="n">
        <v>0</v>
      </c>
    </row>
    <row r="2277" spans="1:13">
      <c r="A2277" s="1">
        <f>HYPERLINK("http://www.twitter.com/NathanBLawrence/status/982826283209035776", "982826283209035776")</f>
        <v/>
      </c>
      <c r="B2277" s="2" t="n">
        <v>43198.15532407408</v>
      </c>
      <c r="C2277" t="n">
        <v>0</v>
      </c>
      <c r="D2277" t="n">
        <v>9</v>
      </c>
      <c r="E2277" t="s">
        <v>2281</v>
      </c>
      <c r="F2277" t="s"/>
      <c r="G2277" t="s"/>
      <c r="H2277" t="s"/>
      <c r="I2277" t="s"/>
      <c r="J2277" t="n">
        <v>0.7845</v>
      </c>
      <c r="K2277" t="n">
        <v>0</v>
      </c>
      <c r="L2277" t="n">
        <v>0.582</v>
      </c>
      <c r="M2277" t="n">
        <v>0.418</v>
      </c>
    </row>
    <row r="2278" spans="1:13">
      <c r="A2278" s="1">
        <f>HYPERLINK("http://www.twitter.com/NathanBLawrence/status/982826174975004674", "982826174975004674")</f>
        <v/>
      </c>
      <c r="B2278" s="2" t="n">
        <v>43198.15502314815</v>
      </c>
      <c r="C2278" t="n">
        <v>0</v>
      </c>
      <c r="D2278" t="n">
        <v>14</v>
      </c>
      <c r="E2278" t="s">
        <v>2282</v>
      </c>
      <c r="F2278" t="s"/>
      <c r="G2278" t="s"/>
      <c r="H2278" t="s"/>
      <c r="I2278" t="s"/>
      <c r="J2278" t="n">
        <v>-0.6505</v>
      </c>
      <c r="K2278" t="n">
        <v>0.178</v>
      </c>
      <c r="L2278" t="n">
        <v>0.822</v>
      </c>
      <c r="M2278" t="n">
        <v>0</v>
      </c>
    </row>
    <row r="2279" spans="1:13">
      <c r="A2279" s="1">
        <f>HYPERLINK("http://www.twitter.com/NathanBLawrence/status/982825552213102592", "982825552213102592")</f>
        <v/>
      </c>
      <c r="B2279" s="2" t="n">
        <v>43198.15331018518</v>
      </c>
      <c r="C2279" t="n">
        <v>0</v>
      </c>
      <c r="D2279" t="n">
        <v>21</v>
      </c>
      <c r="E2279" t="s">
        <v>2283</v>
      </c>
      <c r="F2279" t="s"/>
      <c r="G2279" t="s"/>
      <c r="H2279" t="s"/>
      <c r="I2279" t="s"/>
      <c r="J2279" t="n">
        <v>-0.4588</v>
      </c>
      <c r="K2279" t="n">
        <v>0.15</v>
      </c>
      <c r="L2279" t="n">
        <v>0.85</v>
      </c>
      <c r="M2279" t="n">
        <v>0</v>
      </c>
    </row>
    <row r="2280" spans="1:13">
      <c r="A2280" s="1">
        <f>HYPERLINK("http://www.twitter.com/NathanBLawrence/status/982825530931269632", "982825530931269632")</f>
        <v/>
      </c>
      <c r="B2280" s="2" t="n">
        <v>43198.15325231481</v>
      </c>
      <c r="C2280" t="n">
        <v>0</v>
      </c>
      <c r="D2280" t="n">
        <v>11</v>
      </c>
      <c r="E2280" t="s">
        <v>2284</v>
      </c>
      <c r="F2280" t="s"/>
      <c r="G2280" t="s"/>
      <c r="H2280" t="s"/>
      <c r="I2280" t="s"/>
      <c r="J2280" t="n">
        <v>0.2732</v>
      </c>
      <c r="K2280" t="n">
        <v>0</v>
      </c>
      <c r="L2280" t="n">
        <v>0.905</v>
      </c>
      <c r="M2280" t="n">
        <v>0.095</v>
      </c>
    </row>
    <row r="2281" spans="1:13">
      <c r="A2281" s="1">
        <f>HYPERLINK("http://www.twitter.com/NathanBLawrence/status/982823959812083712", "982823959812083712")</f>
        <v/>
      </c>
      <c r="B2281" s="2" t="n">
        <v>43198.14891203704</v>
      </c>
      <c r="C2281" t="n">
        <v>0</v>
      </c>
      <c r="D2281" t="n">
        <v>0</v>
      </c>
      <c r="E2281" t="s">
        <v>2285</v>
      </c>
      <c r="F2281" t="s"/>
      <c r="G2281" t="s"/>
      <c r="H2281" t="s"/>
      <c r="I2281" t="s"/>
      <c r="J2281" t="n">
        <v>0.0772</v>
      </c>
      <c r="K2281" t="n">
        <v>0.172</v>
      </c>
      <c r="L2281" t="n">
        <v>0.591</v>
      </c>
      <c r="M2281" t="n">
        <v>0.236</v>
      </c>
    </row>
    <row r="2282" spans="1:13">
      <c r="A2282" s="1">
        <f>HYPERLINK("http://www.twitter.com/NathanBLawrence/status/982803607048327168", "982803607048327168")</f>
        <v/>
      </c>
      <c r="B2282" s="2" t="n">
        <v>43198.09275462963</v>
      </c>
      <c r="C2282" t="n">
        <v>0</v>
      </c>
      <c r="D2282" t="n">
        <v>0</v>
      </c>
      <c r="E2282" t="s">
        <v>2286</v>
      </c>
      <c r="F2282" t="s"/>
      <c r="G2282" t="s"/>
      <c r="H2282" t="s"/>
      <c r="I2282" t="s"/>
      <c r="J2282" t="n">
        <v>0</v>
      </c>
      <c r="K2282" t="n">
        <v>0</v>
      </c>
      <c r="L2282" t="n">
        <v>1</v>
      </c>
      <c r="M2282" t="n">
        <v>0</v>
      </c>
    </row>
    <row r="2283" spans="1:13">
      <c r="A2283" s="1">
        <f>HYPERLINK("http://www.twitter.com/NathanBLawrence/status/982794608278147072", "982794608278147072")</f>
        <v/>
      </c>
      <c r="B2283" s="2" t="n">
        <v>43198.06791666667</v>
      </c>
      <c r="C2283" t="n">
        <v>4</v>
      </c>
      <c r="D2283" t="n">
        <v>1</v>
      </c>
      <c r="E2283" t="s">
        <v>2287</v>
      </c>
      <c r="F2283" t="s"/>
      <c r="G2283" t="s"/>
      <c r="H2283" t="s"/>
      <c r="I2283" t="s"/>
      <c r="J2283" t="n">
        <v>-0.6956</v>
      </c>
      <c r="K2283" t="n">
        <v>0.133</v>
      </c>
      <c r="L2283" t="n">
        <v>0.867</v>
      </c>
      <c r="M2283" t="n">
        <v>0</v>
      </c>
    </row>
    <row r="2284" spans="1:13">
      <c r="A2284" s="1">
        <f>HYPERLINK("http://www.twitter.com/NathanBLawrence/status/982794607254818819", "982794607254818819")</f>
        <v/>
      </c>
      <c r="B2284" s="2" t="n">
        <v>43198.06791666667</v>
      </c>
      <c r="C2284" t="n">
        <v>1</v>
      </c>
      <c r="D2284" t="n">
        <v>0</v>
      </c>
      <c r="E2284" t="s">
        <v>2288</v>
      </c>
      <c r="F2284" t="s"/>
      <c r="G2284" t="s"/>
      <c r="H2284" t="s"/>
      <c r="I2284" t="s"/>
      <c r="J2284" t="n">
        <v>0.1376</v>
      </c>
      <c r="K2284" t="n">
        <v>0.057</v>
      </c>
      <c r="L2284" t="n">
        <v>0.871</v>
      </c>
      <c r="M2284" t="n">
        <v>0.073</v>
      </c>
    </row>
    <row r="2285" spans="1:13">
      <c r="A2285" s="1">
        <f>HYPERLINK("http://www.twitter.com/NathanBLawrence/status/982770637616775168", "982770637616775168")</f>
        <v/>
      </c>
      <c r="B2285" s="2" t="n">
        <v>43198.00177083333</v>
      </c>
      <c r="C2285" t="n">
        <v>0</v>
      </c>
      <c r="D2285" t="n">
        <v>0</v>
      </c>
      <c r="E2285" t="s">
        <v>2289</v>
      </c>
      <c r="F2285" t="s"/>
      <c r="G2285" t="s"/>
      <c r="H2285" t="s"/>
      <c r="I2285" t="s"/>
      <c r="J2285" t="n">
        <v>0</v>
      </c>
      <c r="K2285" t="n">
        <v>0</v>
      </c>
      <c r="L2285" t="n">
        <v>1</v>
      </c>
      <c r="M2285" t="n">
        <v>0</v>
      </c>
    </row>
    <row r="2286" spans="1:13">
      <c r="A2286" s="1">
        <f>HYPERLINK("http://www.twitter.com/NathanBLawrence/status/982766511122210816", "982766511122210816")</f>
        <v/>
      </c>
      <c r="B2286" s="2" t="n">
        <v>43197.99038194444</v>
      </c>
      <c r="C2286" t="n">
        <v>2</v>
      </c>
      <c r="D2286" t="n">
        <v>1</v>
      </c>
      <c r="E2286" t="s">
        <v>2290</v>
      </c>
      <c r="F2286" t="s"/>
      <c r="G2286" t="s"/>
      <c r="H2286" t="s"/>
      <c r="I2286" t="s"/>
      <c r="J2286" t="n">
        <v>0</v>
      </c>
      <c r="K2286" t="n">
        <v>0</v>
      </c>
      <c r="L2286" t="n">
        <v>1</v>
      </c>
      <c r="M2286" t="n">
        <v>0</v>
      </c>
    </row>
    <row r="2287" spans="1:13">
      <c r="A2287" s="1">
        <f>HYPERLINK("http://www.twitter.com/NathanBLawrence/status/982760521769373697", "982760521769373697")</f>
        <v/>
      </c>
      <c r="B2287" s="2" t="n">
        <v>43197.97385416667</v>
      </c>
      <c r="C2287" t="n">
        <v>1</v>
      </c>
      <c r="D2287" t="n">
        <v>0</v>
      </c>
      <c r="E2287" t="s">
        <v>2291</v>
      </c>
      <c r="F2287" t="s"/>
      <c r="G2287" t="s"/>
      <c r="H2287" t="s"/>
      <c r="I2287" t="s"/>
      <c r="J2287" t="n">
        <v>-0.4767</v>
      </c>
      <c r="K2287" t="n">
        <v>0.193</v>
      </c>
      <c r="L2287" t="n">
        <v>0.8070000000000001</v>
      </c>
      <c r="M2287" t="n">
        <v>0</v>
      </c>
    </row>
    <row r="2288" spans="1:13">
      <c r="A2288" s="1">
        <f>HYPERLINK("http://www.twitter.com/NathanBLawrence/status/982758831309688833", "982758831309688833")</f>
        <v/>
      </c>
      <c r="B2288" s="2" t="n">
        <v>43197.96918981482</v>
      </c>
      <c r="C2288" t="n">
        <v>0</v>
      </c>
      <c r="D2288" t="n">
        <v>0</v>
      </c>
      <c r="E2288" t="s">
        <v>2292</v>
      </c>
      <c r="F2288" t="s"/>
      <c r="G2288" t="s"/>
      <c r="H2288" t="s"/>
      <c r="I2288" t="s"/>
      <c r="J2288" t="n">
        <v>-0.0258</v>
      </c>
      <c r="K2288" t="n">
        <v>0.08400000000000001</v>
      </c>
      <c r="L2288" t="n">
        <v>0.8090000000000001</v>
      </c>
      <c r="M2288" t="n">
        <v>0.108</v>
      </c>
    </row>
    <row r="2289" spans="1:13">
      <c r="A2289" s="1">
        <f>HYPERLINK("http://www.twitter.com/NathanBLawrence/status/982750839218626561", "982750839218626561")</f>
        <v/>
      </c>
      <c r="B2289" s="2" t="n">
        <v>43197.9471412037</v>
      </c>
      <c r="C2289" t="n">
        <v>0</v>
      </c>
      <c r="D2289" t="n">
        <v>0</v>
      </c>
      <c r="E2289" t="s">
        <v>2293</v>
      </c>
      <c r="F2289" t="s"/>
      <c r="G2289" t="s"/>
      <c r="H2289" t="s"/>
      <c r="I2289" t="s"/>
      <c r="J2289" t="n">
        <v>0</v>
      </c>
      <c r="K2289" t="n">
        <v>0</v>
      </c>
      <c r="L2289" t="n">
        <v>1</v>
      </c>
      <c r="M2289" t="n">
        <v>0</v>
      </c>
    </row>
    <row r="2290" spans="1:13">
      <c r="A2290" s="1">
        <f>HYPERLINK("http://www.twitter.com/NathanBLawrence/status/982737731037159424", "982737731037159424")</f>
        <v/>
      </c>
      <c r="B2290" s="2" t="n">
        <v>43197.91097222222</v>
      </c>
      <c r="C2290" t="n">
        <v>4</v>
      </c>
      <c r="D2290" t="n">
        <v>2</v>
      </c>
      <c r="E2290" t="s">
        <v>2294</v>
      </c>
      <c r="F2290" t="s"/>
      <c r="G2290" t="s"/>
      <c r="H2290" t="s"/>
      <c r="I2290" t="s"/>
      <c r="J2290" t="n">
        <v>0.9042</v>
      </c>
      <c r="K2290" t="n">
        <v>0</v>
      </c>
      <c r="L2290" t="n">
        <v>0.582</v>
      </c>
      <c r="M2290" t="n">
        <v>0.418</v>
      </c>
    </row>
    <row r="2291" spans="1:13">
      <c r="A2291" s="1">
        <f>HYPERLINK("http://www.twitter.com/NathanBLawrence/status/982734792243449856", "982734792243449856")</f>
        <v/>
      </c>
      <c r="B2291" s="2" t="n">
        <v>43197.9028587963</v>
      </c>
      <c r="C2291" t="n">
        <v>0</v>
      </c>
      <c r="D2291" t="n">
        <v>0</v>
      </c>
      <c r="E2291" t="s">
        <v>2295</v>
      </c>
      <c r="F2291" t="s"/>
      <c r="G2291" t="s"/>
      <c r="H2291" t="s"/>
      <c r="I2291" t="s"/>
      <c r="J2291" t="n">
        <v>0</v>
      </c>
      <c r="K2291" t="n">
        <v>0</v>
      </c>
      <c r="L2291" t="n">
        <v>1</v>
      </c>
      <c r="M2291" t="n">
        <v>0</v>
      </c>
    </row>
    <row r="2292" spans="1:13">
      <c r="A2292" s="1">
        <f>HYPERLINK("http://www.twitter.com/NathanBLawrence/status/982734640090963968", "982734640090963968")</f>
        <v/>
      </c>
      <c r="B2292" s="2" t="n">
        <v>43197.90244212963</v>
      </c>
      <c r="C2292" t="n">
        <v>1</v>
      </c>
      <c r="D2292" t="n">
        <v>0</v>
      </c>
      <c r="E2292" t="s">
        <v>2296</v>
      </c>
      <c r="F2292" t="s"/>
      <c r="G2292" t="s"/>
      <c r="H2292" t="s"/>
      <c r="I2292" t="s"/>
      <c r="J2292" t="n">
        <v>-0.7845</v>
      </c>
      <c r="K2292" t="n">
        <v>0.187</v>
      </c>
      <c r="L2292" t="n">
        <v>0.8129999999999999</v>
      </c>
      <c r="M2292" t="n">
        <v>0</v>
      </c>
    </row>
    <row r="2293" spans="1:13">
      <c r="A2293" s="1">
        <f>HYPERLINK("http://www.twitter.com/NathanBLawrence/status/982733114588975104", "982733114588975104")</f>
        <v/>
      </c>
      <c r="B2293" s="2" t="n">
        <v>43197.89822916667</v>
      </c>
      <c r="C2293" t="n">
        <v>9</v>
      </c>
      <c r="D2293" t="n">
        <v>3</v>
      </c>
      <c r="E2293" t="s">
        <v>2297</v>
      </c>
      <c r="F2293" t="s"/>
      <c r="G2293" t="s"/>
      <c r="H2293" t="s"/>
      <c r="I2293" t="s"/>
      <c r="J2293" t="n">
        <v>0.0516</v>
      </c>
      <c r="K2293" t="n">
        <v>0.142</v>
      </c>
      <c r="L2293" t="n">
        <v>0.711</v>
      </c>
      <c r="M2293" t="n">
        <v>0.147</v>
      </c>
    </row>
    <row r="2294" spans="1:13">
      <c r="A2294" s="1">
        <f>HYPERLINK("http://www.twitter.com/NathanBLawrence/status/982732362625757186", "982732362625757186")</f>
        <v/>
      </c>
      <c r="B2294" s="2" t="n">
        <v>43197.89615740741</v>
      </c>
      <c r="C2294" t="n">
        <v>5</v>
      </c>
      <c r="D2294" t="n">
        <v>5</v>
      </c>
      <c r="E2294" t="s">
        <v>2298</v>
      </c>
      <c r="F2294" t="s"/>
      <c r="G2294" t="s"/>
      <c r="H2294" t="s"/>
      <c r="I2294" t="s"/>
      <c r="J2294" t="n">
        <v>-0.5106000000000001</v>
      </c>
      <c r="K2294" t="n">
        <v>0.163</v>
      </c>
      <c r="L2294" t="n">
        <v>0.837</v>
      </c>
      <c r="M2294" t="n">
        <v>0</v>
      </c>
    </row>
    <row r="2295" spans="1:13">
      <c r="A2295" s="1">
        <f>HYPERLINK("http://www.twitter.com/NathanBLawrence/status/982716006324895744", "982716006324895744")</f>
        <v/>
      </c>
      <c r="B2295" s="2" t="n">
        <v>43197.85101851852</v>
      </c>
      <c r="C2295" t="n">
        <v>1</v>
      </c>
      <c r="D2295" t="n">
        <v>0</v>
      </c>
      <c r="E2295" t="s">
        <v>2299</v>
      </c>
      <c r="F2295" t="s"/>
      <c r="G2295" t="s"/>
      <c r="H2295" t="s"/>
      <c r="I2295" t="s"/>
      <c r="J2295" t="n">
        <v>0</v>
      </c>
      <c r="K2295" t="n">
        <v>0</v>
      </c>
      <c r="L2295" t="n">
        <v>1</v>
      </c>
      <c r="M2295" t="n">
        <v>0</v>
      </c>
    </row>
    <row r="2296" spans="1:13">
      <c r="A2296" s="1">
        <f>HYPERLINK("http://www.twitter.com/NathanBLawrence/status/982709322277941248", "982709322277941248")</f>
        <v/>
      </c>
      <c r="B2296" s="2" t="n">
        <v>43197.83256944444</v>
      </c>
      <c r="C2296" t="n">
        <v>3</v>
      </c>
      <c r="D2296" t="n">
        <v>1</v>
      </c>
      <c r="E2296" t="s">
        <v>2300</v>
      </c>
      <c r="F2296" t="s"/>
      <c r="G2296" t="s"/>
      <c r="H2296" t="s"/>
      <c r="I2296" t="s"/>
      <c r="J2296" t="n">
        <v>-0.8381</v>
      </c>
      <c r="K2296" t="n">
        <v>0.215</v>
      </c>
      <c r="L2296" t="n">
        <v>0.785</v>
      </c>
      <c r="M2296" t="n">
        <v>0</v>
      </c>
    </row>
    <row r="2297" spans="1:13">
      <c r="A2297" s="1">
        <f>HYPERLINK("http://www.twitter.com/NathanBLawrence/status/982670081154002944", "982670081154002944")</f>
        <v/>
      </c>
      <c r="B2297" s="2" t="n">
        <v>43197.72429398148</v>
      </c>
      <c r="C2297" t="n">
        <v>2</v>
      </c>
      <c r="D2297" t="n">
        <v>0</v>
      </c>
      <c r="E2297" t="s">
        <v>2301</v>
      </c>
      <c r="F2297" t="s"/>
      <c r="G2297" t="s"/>
      <c r="H2297" t="s"/>
      <c r="I2297" t="s"/>
      <c r="J2297" t="n">
        <v>0</v>
      </c>
      <c r="K2297" t="n">
        <v>0</v>
      </c>
      <c r="L2297" t="n">
        <v>1</v>
      </c>
      <c r="M2297" t="n">
        <v>0</v>
      </c>
    </row>
    <row r="2298" spans="1:13">
      <c r="A2298" s="1">
        <f>HYPERLINK("http://www.twitter.com/NathanBLawrence/status/982670079753105408", "982670079753105408")</f>
        <v/>
      </c>
      <c r="B2298" s="2" t="n">
        <v>43197.72428240741</v>
      </c>
      <c r="C2298" t="n">
        <v>3</v>
      </c>
      <c r="D2298" t="n">
        <v>1</v>
      </c>
      <c r="E2298" t="s">
        <v>2302</v>
      </c>
      <c r="F2298" t="s"/>
      <c r="G2298" t="s"/>
      <c r="H2298" t="s"/>
      <c r="I2298" t="s"/>
      <c r="J2298" t="n">
        <v>-0.5719</v>
      </c>
      <c r="K2298" t="n">
        <v>0.164</v>
      </c>
      <c r="L2298" t="n">
        <v>0.836</v>
      </c>
      <c r="M2298" t="n">
        <v>0</v>
      </c>
    </row>
    <row r="2299" spans="1:13">
      <c r="A2299" s="1">
        <f>HYPERLINK("http://www.twitter.com/NathanBLawrence/status/982631772805566466", "982631772805566466")</f>
        <v/>
      </c>
      <c r="B2299" s="2" t="n">
        <v>43197.61857638889</v>
      </c>
      <c r="C2299" t="n">
        <v>0</v>
      </c>
      <c r="D2299" t="n">
        <v>0</v>
      </c>
      <c r="E2299" t="s">
        <v>2303</v>
      </c>
      <c r="F2299" t="s"/>
      <c r="G2299" t="s"/>
      <c r="H2299" t="s"/>
      <c r="I2299" t="s"/>
      <c r="J2299" t="n">
        <v>0</v>
      </c>
      <c r="K2299" t="n">
        <v>0</v>
      </c>
      <c r="L2299" t="n">
        <v>1</v>
      </c>
      <c r="M2299" t="n">
        <v>0</v>
      </c>
    </row>
    <row r="2300" spans="1:13">
      <c r="A2300" s="1">
        <f>HYPERLINK("http://www.twitter.com/NathanBLawrence/status/982618440677634049", "982618440677634049")</f>
        <v/>
      </c>
      <c r="B2300" s="2" t="n">
        <v>43197.58179398148</v>
      </c>
      <c r="C2300" t="n">
        <v>1</v>
      </c>
      <c r="D2300" t="n">
        <v>0</v>
      </c>
      <c r="E2300" t="s">
        <v>2304</v>
      </c>
      <c r="F2300" t="s"/>
      <c r="G2300" t="s"/>
      <c r="H2300" t="s"/>
      <c r="I2300" t="s"/>
      <c r="J2300" t="n">
        <v>-0.5416</v>
      </c>
      <c r="K2300" t="n">
        <v>0.324</v>
      </c>
      <c r="L2300" t="n">
        <v>0.577</v>
      </c>
      <c r="M2300" t="n">
        <v>0.099</v>
      </c>
    </row>
    <row r="2301" spans="1:13">
      <c r="A2301" s="1">
        <f>HYPERLINK("http://www.twitter.com/NathanBLawrence/status/982606357026263040", "982606357026263040")</f>
        <v/>
      </c>
      <c r="B2301" s="2" t="n">
        <v>43197.54844907407</v>
      </c>
      <c r="C2301" t="n">
        <v>3</v>
      </c>
      <c r="D2301" t="n">
        <v>2</v>
      </c>
      <c r="E2301" t="s">
        <v>2305</v>
      </c>
      <c r="F2301" t="s"/>
      <c r="G2301" t="s"/>
      <c r="H2301" t="s"/>
      <c r="I2301" t="s"/>
      <c r="J2301" t="n">
        <v>0</v>
      </c>
      <c r="K2301" t="n">
        <v>0</v>
      </c>
      <c r="L2301" t="n">
        <v>1</v>
      </c>
      <c r="M2301" t="n">
        <v>0</v>
      </c>
    </row>
    <row r="2302" spans="1:13">
      <c r="A2302" s="1">
        <f>HYPERLINK("http://www.twitter.com/NathanBLawrence/status/982606353528172545", "982606353528172545")</f>
        <v/>
      </c>
      <c r="B2302" s="2" t="n">
        <v>43197.5484375</v>
      </c>
      <c r="C2302" t="n">
        <v>5</v>
      </c>
      <c r="D2302" t="n">
        <v>6</v>
      </c>
      <c r="E2302" t="s">
        <v>2306</v>
      </c>
      <c r="F2302">
        <f>HYPERLINK("http://pbs.twimg.com/media/DaLpq6HX4AASSWy.jpg", "http://pbs.twimg.com/media/DaLpq6HX4AASSWy.jpg")</f>
        <v/>
      </c>
      <c r="G2302" t="s"/>
      <c r="H2302" t="s"/>
      <c r="I2302" t="s"/>
      <c r="J2302" t="n">
        <v>-0.8516</v>
      </c>
      <c r="K2302" t="n">
        <v>0.266</v>
      </c>
      <c r="L2302" t="n">
        <v>0.67</v>
      </c>
      <c r="M2302" t="n">
        <v>0.065</v>
      </c>
    </row>
    <row r="2303" spans="1:13">
      <c r="A2303" s="1">
        <f>HYPERLINK("http://www.twitter.com/NathanBLawrence/status/982606352630632450", "982606352630632450")</f>
        <v/>
      </c>
      <c r="B2303" s="2" t="n">
        <v>43197.5484375</v>
      </c>
      <c r="C2303" t="n">
        <v>9</v>
      </c>
      <c r="D2303" t="n">
        <v>5</v>
      </c>
      <c r="E2303" t="s">
        <v>2307</v>
      </c>
      <c r="F2303" t="s"/>
      <c r="G2303" t="s"/>
      <c r="H2303" t="s"/>
      <c r="I2303" t="s"/>
      <c r="J2303" t="n">
        <v>-0.5106000000000001</v>
      </c>
      <c r="K2303" t="n">
        <v>0.113</v>
      </c>
      <c r="L2303" t="n">
        <v>0.887</v>
      </c>
      <c r="M2303" t="n">
        <v>0</v>
      </c>
    </row>
    <row r="2304" spans="1:13">
      <c r="A2304" s="1">
        <f>HYPERLINK("http://www.twitter.com/NathanBLawrence/status/982472096860303361", "982472096860303361")</f>
        <v/>
      </c>
      <c r="B2304" s="2" t="n">
        <v>43197.17795138889</v>
      </c>
      <c r="C2304" t="n">
        <v>1</v>
      </c>
      <c r="D2304" t="n">
        <v>0</v>
      </c>
      <c r="E2304" t="s">
        <v>2308</v>
      </c>
      <c r="F2304" t="s"/>
      <c r="G2304" t="s"/>
      <c r="H2304" t="s"/>
      <c r="I2304" t="s"/>
      <c r="J2304" t="n">
        <v>0</v>
      </c>
      <c r="K2304" t="n">
        <v>0</v>
      </c>
      <c r="L2304" t="n">
        <v>1</v>
      </c>
      <c r="M2304" t="n">
        <v>0</v>
      </c>
    </row>
    <row r="2305" spans="1:13">
      <c r="A2305" s="1">
        <f>HYPERLINK("http://www.twitter.com/NathanBLawrence/status/982471948331560961", "982471948331560961")</f>
        <v/>
      </c>
      <c r="B2305" s="2" t="n">
        <v>43197.1775462963</v>
      </c>
      <c r="C2305" t="n">
        <v>1</v>
      </c>
      <c r="D2305" t="n">
        <v>0</v>
      </c>
      <c r="E2305" t="s">
        <v>2309</v>
      </c>
      <c r="F2305" t="s"/>
      <c r="G2305" t="s"/>
      <c r="H2305" t="s"/>
      <c r="I2305" t="s"/>
      <c r="J2305" t="n">
        <v>0</v>
      </c>
      <c r="K2305" t="n">
        <v>0</v>
      </c>
      <c r="L2305" t="n">
        <v>1</v>
      </c>
      <c r="M2305" t="n">
        <v>0</v>
      </c>
    </row>
    <row r="2306" spans="1:13">
      <c r="A2306" s="1">
        <f>HYPERLINK("http://www.twitter.com/NathanBLawrence/status/982470577901457408", "982470577901457408")</f>
        <v/>
      </c>
      <c r="B2306" s="2" t="n">
        <v>43197.17376157407</v>
      </c>
      <c r="C2306" t="n">
        <v>0</v>
      </c>
      <c r="D2306" t="n">
        <v>0</v>
      </c>
      <c r="E2306" t="s">
        <v>2310</v>
      </c>
      <c r="F2306" t="s"/>
      <c r="G2306" t="s"/>
      <c r="H2306" t="s"/>
      <c r="I2306" t="s"/>
      <c r="J2306" t="n">
        <v>-0.25</v>
      </c>
      <c r="K2306" t="n">
        <v>0.193</v>
      </c>
      <c r="L2306" t="n">
        <v>0.697</v>
      </c>
      <c r="M2306" t="n">
        <v>0.111</v>
      </c>
    </row>
    <row r="2307" spans="1:13">
      <c r="A2307" s="1">
        <f>HYPERLINK("http://www.twitter.com/NathanBLawrence/status/982431790932602880", "982431790932602880")</f>
        <v/>
      </c>
      <c r="B2307" s="2" t="n">
        <v>43197.06673611111</v>
      </c>
      <c r="C2307" t="n">
        <v>0</v>
      </c>
      <c r="D2307" t="n">
        <v>0</v>
      </c>
      <c r="E2307" t="s">
        <v>2311</v>
      </c>
      <c r="F2307" t="s"/>
      <c r="G2307" t="s"/>
      <c r="H2307" t="s"/>
      <c r="I2307" t="s"/>
      <c r="J2307" t="n">
        <v>-0.6369</v>
      </c>
      <c r="K2307" t="n">
        <v>0.215</v>
      </c>
      <c r="L2307" t="n">
        <v>0.707</v>
      </c>
      <c r="M2307" t="n">
        <v>0.079</v>
      </c>
    </row>
    <row r="2308" spans="1:13">
      <c r="A2308" s="1">
        <f>HYPERLINK("http://www.twitter.com/NathanBLawrence/status/982426641916932096", "982426641916932096")</f>
        <v/>
      </c>
      <c r="B2308" s="2" t="n">
        <v>43197.05252314815</v>
      </c>
      <c r="C2308" t="n">
        <v>3</v>
      </c>
      <c r="D2308" t="n">
        <v>0</v>
      </c>
      <c r="E2308" t="s">
        <v>2312</v>
      </c>
      <c r="F2308" t="s"/>
      <c r="G2308" t="s"/>
      <c r="H2308" t="s"/>
      <c r="I2308" t="s"/>
      <c r="J2308" t="n">
        <v>-0.6208</v>
      </c>
      <c r="K2308" t="n">
        <v>0.131</v>
      </c>
      <c r="L2308" t="n">
        <v>0.787</v>
      </c>
      <c r="M2308" t="n">
        <v>0.082</v>
      </c>
    </row>
    <row r="2309" spans="1:13">
      <c r="A2309" s="1">
        <f>HYPERLINK("http://www.twitter.com/NathanBLawrence/status/982425185625272320", "982425185625272320")</f>
        <v/>
      </c>
      <c r="B2309" s="2" t="n">
        <v>43197.04850694445</v>
      </c>
      <c r="C2309" t="n">
        <v>1</v>
      </c>
      <c r="D2309" t="n">
        <v>0</v>
      </c>
      <c r="E2309" t="s">
        <v>2313</v>
      </c>
      <c r="F2309" t="s"/>
      <c r="G2309" t="s"/>
      <c r="H2309" t="s"/>
      <c r="I2309" t="s"/>
      <c r="J2309" t="n">
        <v>-0.5423</v>
      </c>
      <c r="K2309" t="n">
        <v>0.156</v>
      </c>
      <c r="L2309" t="n">
        <v>0.844</v>
      </c>
      <c r="M2309" t="n">
        <v>0</v>
      </c>
    </row>
    <row r="2310" spans="1:13">
      <c r="A2310" s="1">
        <f>HYPERLINK("http://www.twitter.com/NathanBLawrence/status/982424272391065600", "982424272391065600")</f>
        <v/>
      </c>
      <c r="B2310" s="2" t="n">
        <v>43197.0459837963</v>
      </c>
      <c r="C2310" t="n">
        <v>2</v>
      </c>
      <c r="D2310" t="n">
        <v>0</v>
      </c>
      <c r="E2310" t="s">
        <v>2314</v>
      </c>
      <c r="F2310" t="s"/>
      <c r="G2310" t="s"/>
      <c r="H2310" t="s"/>
      <c r="I2310" t="s"/>
      <c r="J2310" t="n">
        <v>0.8442</v>
      </c>
      <c r="K2310" t="n">
        <v>0</v>
      </c>
      <c r="L2310" t="n">
        <v>0.468</v>
      </c>
      <c r="M2310" t="n">
        <v>0.532</v>
      </c>
    </row>
    <row r="2311" spans="1:13">
      <c r="A2311" s="1">
        <f>HYPERLINK("http://www.twitter.com/NathanBLawrence/status/982423645812346881", "982423645812346881")</f>
        <v/>
      </c>
      <c r="B2311" s="2" t="n">
        <v>43197.04425925926</v>
      </c>
      <c r="C2311" t="n">
        <v>0</v>
      </c>
      <c r="D2311" t="n">
        <v>0</v>
      </c>
      <c r="E2311" t="s">
        <v>2315</v>
      </c>
      <c r="F2311" t="s"/>
      <c r="G2311" t="s"/>
      <c r="H2311" t="s"/>
      <c r="I2311" t="s"/>
      <c r="J2311" t="n">
        <v>-0.8625</v>
      </c>
      <c r="K2311" t="n">
        <v>0.267</v>
      </c>
      <c r="L2311" t="n">
        <v>0.674</v>
      </c>
      <c r="M2311" t="n">
        <v>0.059</v>
      </c>
    </row>
    <row r="2312" spans="1:13">
      <c r="A2312" s="1">
        <f>HYPERLINK("http://www.twitter.com/NathanBLawrence/status/982420754703769600", "982420754703769600")</f>
        <v/>
      </c>
      <c r="B2312" s="2" t="n">
        <v>43197.03628472222</v>
      </c>
      <c r="C2312" t="n">
        <v>0</v>
      </c>
      <c r="D2312" t="n">
        <v>0</v>
      </c>
      <c r="E2312" t="s">
        <v>2316</v>
      </c>
      <c r="F2312" t="s"/>
      <c r="G2312" t="s"/>
      <c r="H2312" t="s"/>
      <c r="I2312" t="s"/>
      <c r="J2312" t="n">
        <v>0.8883</v>
      </c>
      <c r="K2312" t="n">
        <v>0</v>
      </c>
      <c r="L2312" t="n">
        <v>0.712</v>
      </c>
      <c r="M2312" t="n">
        <v>0.288</v>
      </c>
    </row>
    <row r="2313" spans="1:13">
      <c r="A2313" s="1">
        <f>HYPERLINK("http://www.twitter.com/NathanBLawrence/status/982417527266529280", "982417527266529280")</f>
        <v/>
      </c>
      <c r="B2313" s="2" t="n">
        <v>43197.02737268519</v>
      </c>
      <c r="C2313" t="n">
        <v>1</v>
      </c>
      <c r="D2313" t="n">
        <v>0</v>
      </c>
      <c r="E2313" t="s">
        <v>2317</v>
      </c>
      <c r="F2313" t="s"/>
      <c r="G2313" t="s"/>
      <c r="H2313" t="s"/>
      <c r="I2313" t="s"/>
      <c r="J2313" t="n">
        <v>-0.3595</v>
      </c>
      <c r="K2313" t="n">
        <v>0.212</v>
      </c>
      <c r="L2313" t="n">
        <v>0.788</v>
      </c>
      <c r="M2313" t="n">
        <v>0</v>
      </c>
    </row>
    <row r="2314" spans="1:13">
      <c r="A2314" s="1">
        <f>HYPERLINK("http://www.twitter.com/NathanBLawrence/status/982406638362611712", "982406638362611712")</f>
        <v/>
      </c>
      <c r="B2314" s="2" t="n">
        <v>43196.99732638889</v>
      </c>
      <c r="C2314" t="n">
        <v>0</v>
      </c>
      <c r="D2314" t="n">
        <v>0</v>
      </c>
      <c r="E2314" t="s">
        <v>2318</v>
      </c>
      <c r="F2314" t="s"/>
      <c r="G2314" t="s"/>
      <c r="H2314" t="s"/>
      <c r="I2314" t="s"/>
      <c r="J2314" t="n">
        <v>0</v>
      </c>
      <c r="K2314" t="n">
        <v>0</v>
      </c>
      <c r="L2314" t="n">
        <v>1</v>
      </c>
      <c r="M2314" t="n">
        <v>0</v>
      </c>
    </row>
    <row r="2315" spans="1:13">
      <c r="A2315" s="1">
        <f>HYPERLINK("http://www.twitter.com/NathanBLawrence/status/982404124305166336", "982404124305166336")</f>
        <v/>
      </c>
      <c r="B2315" s="2" t="n">
        <v>43196.99039351852</v>
      </c>
      <c r="C2315" t="n">
        <v>3</v>
      </c>
      <c r="D2315" t="n">
        <v>1</v>
      </c>
      <c r="E2315" t="s">
        <v>2319</v>
      </c>
      <c r="F2315" t="s"/>
      <c r="G2315" t="s"/>
      <c r="H2315" t="s"/>
      <c r="I2315" t="s"/>
      <c r="J2315" t="n">
        <v>-0.3818</v>
      </c>
      <c r="K2315" t="n">
        <v>0.094</v>
      </c>
      <c r="L2315" t="n">
        <v>0.906</v>
      </c>
      <c r="M2315" t="n">
        <v>0</v>
      </c>
    </row>
    <row r="2316" spans="1:13">
      <c r="A2316" s="1">
        <f>HYPERLINK("http://www.twitter.com/NathanBLawrence/status/982404121872519168", "982404121872519168")</f>
        <v/>
      </c>
      <c r="B2316" s="2" t="n">
        <v>43196.99038194444</v>
      </c>
      <c r="C2316" t="n">
        <v>2</v>
      </c>
      <c r="D2316" t="n">
        <v>1</v>
      </c>
      <c r="E2316" t="s">
        <v>2320</v>
      </c>
      <c r="F2316">
        <f>HYPERLINK("http://pbs.twimg.com/media/DaIyw04WsAEgl8X.jpg", "http://pbs.twimg.com/media/DaIyw04WsAEgl8X.jpg")</f>
        <v/>
      </c>
      <c r="G2316" t="s"/>
      <c r="H2316" t="s"/>
      <c r="I2316" t="s"/>
      <c r="J2316" t="n">
        <v>0</v>
      </c>
      <c r="K2316" t="n">
        <v>0</v>
      </c>
      <c r="L2316" t="n">
        <v>1</v>
      </c>
      <c r="M2316" t="n">
        <v>0</v>
      </c>
    </row>
    <row r="2317" spans="1:13">
      <c r="A2317" s="1">
        <f>HYPERLINK("http://www.twitter.com/NathanBLawrence/status/982404120010285056", "982404120010285056")</f>
        <v/>
      </c>
      <c r="B2317" s="2" t="n">
        <v>43196.99038194444</v>
      </c>
      <c r="C2317" t="n">
        <v>2</v>
      </c>
      <c r="D2317" t="n">
        <v>1</v>
      </c>
      <c r="E2317" t="s">
        <v>2321</v>
      </c>
      <c r="F2317">
        <f>HYPERLINK("http://pbs.twimg.com/media/DaIysV-XUAAXDz8.jpg", "http://pbs.twimg.com/media/DaIysV-XUAAXDz8.jpg")</f>
        <v/>
      </c>
      <c r="G2317" t="s"/>
      <c r="H2317" t="s"/>
      <c r="I2317" t="s"/>
      <c r="J2317" t="n">
        <v>0</v>
      </c>
      <c r="K2317" t="n">
        <v>0</v>
      </c>
      <c r="L2317" t="n">
        <v>1</v>
      </c>
      <c r="M2317" t="n">
        <v>0</v>
      </c>
    </row>
    <row r="2318" spans="1:13">
      <c r="A2318" s="1">
        <f>HYPERLINK("http://www.twitter.com/NathanBLawrence/status/982404117732708352", "982404117732708352")</f>
        <v/>
      </c>
      <c r="B2318" s="2" t="n">
        <v>43196.99037037037</v>
      </c>
      <c r="C2318" t="n">
        <v>1</v>
      </c>
      <c r="D2318" t="n">
        <v>1</v>
      </c>
      <c r="E2318" t="s">
        <v>2322</v>
      </c>
      <c r="F2318">
        <f>HYPERLINK("http://pbs.twimg.com/media/DaIymaRW4AAAW0e.jpg", "http://pbs.twimg.com/media/DaIymaRW4AAAW0e.jpg")</f>
        <v/>
      </c>
      <c r="G2318" t="s"/>
      <c r="H2318" t="s"/>
      <c r="I2318" t="s"/>
      <c r="J2318" t="n">
        <v>0</v>
      </c>
      <c r="K2318" t="n">
        <v>0</v>
      </c>
      <c r="L2318" t="n">
        <v>1</v>
      </c>
      <c r="M2318" t="n">
        <v>0</v>
      </c>
    </row>
    <row r="2319" spans="1:13">
      <c r="A2319" s="1">
        <f>HYPERLINK("http://www.twitter.com/NathanBLawrence/status/982404114935091200", "982404114935091200")</f>
        <v/>
      </c>
      <c r="B2319" s="2" t="n">
        <v>43196.9903587963</v>
      </c>
      <c r="C2319" t="n">
        <v>2</v>
      </c>
      <c r="D2319" t="n">
        <v>2</v>
      </c>
      <c r="E2319" t="s">
        <v>2323</v>
      </c>
      <c r="F2319">
        <f>HYPERLINK("http://pbs.twimg.com/media/DaIyipGXUAA4s1s.jpg", "http://pbs.twimg.com/media/DaIyipGXUAA4s1s.jpg")</f>
        <v/>
      </c>
      <c r="G2319" t="s"/>
      <c r="H2319" t="s"/>
      <c r="I2319" t="s"/>
      <c r="J2319" t="n">
        <v>0</v>
      </c>
      <c r="K2319" t="n">
        <v>0</v>
      </c>
      <c r="L2319" t="n">
        <v>1</v>
      </c>
      <c r="M2319" t="n">
        <v>0</v>
      </c>
    </row>
    <row r="2320" spans="1:13">
      <c r="A2320" s="1">
        <f>HYPERLINK("http://www.twitter.com/NathanBLawrence/status/982404113353854976", "982404113353854976")</f>
        <v/>
      </c>
      <c r="B2320" s="2" t="n">
        <v>43196.9903587963</v>
      </c>
      <c r="C2320" t="n">
        <v>3</v>
      </c>
      <c r="D2320" t="n">
        <v>3</v>
      </c>
      <c r="E2320" t="s">
        <v>2324</v>
      </c>
      <c r="F2320">
        <f>HYPERLINK("http://pbs.twimg.com/media/DaIyfc3XkAAgzBi.jpg", "http://pbs.twimg.com/media/DaIyfc3XkAAgzBi.jpg")</f>
        <v/>
      </c>
      <c r="G2320" t="s"/>
      <c r="H2320" t="s"/>
      <c r="I2320" t="s"/>
      <c r="J2320" t="n">
        <v>0</v>
      </c>
      <c r="K2320" t="n">
        <v>0</v>
      </c>
      <c r="L2320" t="n">
        <v>1</v>
      </c>
      <c r="M2320" t="n">
        <v>0</v>
      </c>
    </row>
    <row r="2321" spans="1:13">
      <c r="A2321" s="1">
        <f>HYPERLINK("http://www.twitter.com/NathanBLawrence/status/982404110849847297", "982404110849847297")</f>
        <v/>
      </c>
      <c r="B2321" s="2" t="n">
        <v>43196.99034722222</v>
      </c>
      <c r="C2321" t="n">
        <v>8</v>
      </c>
      <c r="D2321" t="n">
        <v>9</v>
      </c>
      <c r="E2321" t="s">
        <v>2325</v>
      </c>
      <c r="F2321">
        <f>HYPERLINK("http://pbs.twimg.com/media/DaIyZ5aWAAASe11.jpg", "http://pbs.twimg.com/media/DaIyZ5aWAAASe11.jpg")</f>
        <v/>
      </c>
      <c r="G2321" t="s"/>
      <c r="H2321" t="s"/>
      <c r="I2321" t="s"/>
      <c r="J2321" t="n">
        <v>0</v>
      </c>
      <c r="K2321" t="n">
        <v>0</v>
      </c>
      <c r="L2321" t="n">
        <v>1</v>
      </c>
      <c r="M2321" t="n">
        <v>0</v>
      </c>
    </row>
    <row r="2322" spans="1:13">
      <c r="A2322" s="1">
        <f>HYPERLINK("http://www.twitter.com/NathanBLawrence/status/982401488076099584", "982401488076099584")</f>
        <v/>
      </c>
      <c r="B2322" s="2" t="n">
        <v>43196.98311342593</v>
      </c>
      <c r="C2322" t="n">
        <v>1</v>
      </c>
      <c r="D2322" t="n">
        <v>0</v>
      </c>
      <c r="E2322" t="s">
        <v>2326</v>
      </c>
      <c r="F2322" t="s"/>
      <c r="G2322" t="s"/>
      <c r="H2322" t="s"/>
      <c r="I2322" t="s"/>
      <c r="J2322" t="n">
        <v>-0.2411</v>
      </c>
      <c r="K2322" t="n">
        <v>0.098</v>
      </c>
      <c r="L2322" t="n">
        <v>0.902</v>
      </c>
      <c r="M2322" t="n">
        <v>0</v>
      </c>
    </row>
    <row r="2323" spans="1:13">
      <c r="A2323" s="1">
        <f>HYPERLINK("http://www.twitter.com/NathanBLawrence/status/982387639906111490", "982387639906111490")</f>
        <v/>
      </c>
      <c r="B2323" s="2" t="n">
        <v>43196.94489583333</v>
      </c>
      <c r="C2323" t="n">
        <v>0</v>
      </c>
      <c r="D2323" t="n">
        <v>0</v>
      </c>
      <c r="E2323" t="s">
        <v>2327</v>
      </c>
      <c r="F2323" t="s"/>
      <c r="G2323" t="s"/>
      <c r="H2323" t="s"/>
      <c r="I2323" t="s"/>
      <c r="J2323" t="n">
        <v>-0.6908</v>
      </c>
      <c r="K2323" t="n">
        <v>0.261</v>
      </c>
      <c r="L2323" t="n">
        <v>0.739</v>
      </c>
      <c r="M2323" t="n">
        <v>0</v>
      </c>
    </row>
    <row r="2324" spans="1:13">
      <c r="A2324" s="1">
        <f>HYPERLINK("http://www.twitter.com/NathanBLawrence/status/982386312035602432", "982386312035602432")</f>
        <v/>
      </c>
      <c r="B2324" s="2" t="n">
        <v>43196.94123842593</v>
      </c>
      <c r="C2324" t="n">
        <v>2</v>
      </c>
      <c r="D2324" t="n">
        <v>0</v>
      </c>
      <c r="E2324" t="s">
        <v>2328</v>
      </c>
      <c r="F2324" t="s"/>
      <c r="G2324" t="s"/>
      <c r="H2324" t="s"/>
      <c r="I2324" t="s"/>
      <c r="J2324" t="n">
        <v>0</v>
      </c>
      <c r="K2324" t="n">
        <v>0</v>
      </c>
      <c r="L2324" t="n">
        <v>1</v>
      </c>
      <c r="M2324" t="n">
        <v>0</v>
      </c>
    </row>
    <row r="2325" spans="1:13">
      <c r="A2325" s="1">
        <f>HYPERLINK("http://www.twitter.com/NathanBLawrence/status/982384888279166976", "982384888279166976")</f>
        <v/>
      </c>
      <c r="B2325" s="2" t="n">
        <v>43196.93730324074</v>
      </c>
      <c r="C2325" t="n">
        <v>1</v>
      </c>
      <c r="D2325" t="n">
        <v>0</v>
      </c>
      <c r="E2325" t="s">
        <v>2329</v>
      </c>
      <c r="F2325" t="s"/>
      <c r="G2325" t="s"/>
      <c r="H2325" t="s"/>
      <c r="I2325" t="s"/>
      <c r="J2325" t="n">
        <v>0</v>
      </c>
      <c r="K2325" t="n">
        <v>0</v>
      </c>
      <c r="L2325" t="n">
        <v>1</v>
      </c>
      <c r="M2325" t="n">
        <v>0</v>
      </c>
    </row>
    <row r="2326" spans="1:13">
      <c r="A2326" s="1">
        <f>HYPERLINK("http://www.twitter.com/NathanBLawrence/status/982384322962448394", "982384322962448394")</f>
        <v/>
      </c>
      <c r="B2326" s="2" t="n">
        <v>43196.93575231481</v>
      </c>
      <c r="C2326" t="n">
        <v>0</v>
      </c>
      <c r="D2326" t="n">
        <v>0</v>
      </c>
      <c r="E2326" t="s">
        <v>2330</v>
      </c>
      <c r="F2326" t="s"/>
      <c r="G2326" t="s"/>
      <c r="H2326" t="s"/>
      <c r="I2326" t="s"/>
      <c r="J2326" t="n">
        <v>-0.0516</v>
      </c>
      <c r="K2326" t="n">
        <v>0.097</v>
      </c>
      <c r="L2326" t="n">
        <v>0.8090000000000001</v>
      </c>
      <c r="M2326" t="n">
        <v>0.094</v>
      </c>
    </row>
    <row r="2327" spans="1:13">
      <c r="A2327" s="1">
        <f>HYPERLINK("http://www.twitter.com/NathanBLawrence/status/982382531558420481", "982382531558420481")</f>
        <v/>
      </c>
      <c r="B2327" s="2" t="n">
        <v>43196.93079861111</v>
      </c>
      <c r="C2327" t="n">
        <v>0</v>
      </c>
      <c r="D2327" t="n">
        <v>0</v>
      </c>
      <c r="E2327" t="s">
        <v>2331</v>
      </c>
      <c r="F2327" t="s"/>
      <c r="G2327" t="s"/>
      <c r="H2327" t="s"/>
      <c r="I2327" t="s"/>
      <c r="J2327" t="n">
        <v>0</v>
      </c>
      <c r="K2327" t="n">
        <v>0</v>
      </c>
      <c r="L2327" t="n">
        <v>1</v>
      </c>
      <c r="M2327" t="n">
        <v>0</v>
      </c>
    </row>
    <row r="2328" spans="1:13">
      <c r="A2328" s="1">
        <f>HYPERLINK("http://www.twitter.com/NathanBLawrence/status/982372625468067841", "982372625468067841")</f>
        <v/>
      </c>
      <c r="B2328" s="2" t="n">
        <v>43196.90347222222</v>
      </c>
      <c r="C2328" t="n">
        <v>2</v>
      </c>
      <c r="D2328" t="n">
        <v>2</v>
      </c>
      <c r="E2328" t="s">
        <v>2332</v>
      </c>
      <c r="F2328" t="s"/>
      <c r="G2328" t="s"/>
      <c r="H2328" t="s"/>
      <c r="I2328" t="s"/>
      <c r="J2328" t="n">
        <v>0</v>
      </c>
      <c r="K2328" t="n">
        <v>0</v>
      </c>
      <c r="L2328" t="n">
        <v>1</v>
      </c>
      <c r="M2328" t="n">
        <v>0</v>
      </c>
    </row>
    <row r="2329" spans="1:13">
      <c r="A2329" s="1">
        <f>HYPERLINK("http://www.twitter.com/NathanBLawrence/status/982369982255214592", "982369982255214592")</f>
        <v/>
      </c>
      <c r="B2329" s="2" t="n">
        <v>43196.89616898148</v>
      </c>
      <c r="C2329" t="n">
        <v>0</v>
      </c>
      <c r="D2329" t="n">
        <v>0</v>
      </c>
      <c r="E2329" t="s">
        <v>2333</v>
      </c>
      <c r="F2329" t="s"/>
      <c r="G2329" t="s"/>
      <c r="H2329" t="s"/>
      <c r="I2329" t="s"/>
      <c r="J2329" t="n">
        <v>0</v>
      </c>
      <c r="K2329" t="n">
        <v>0</v>
      </c>
      <c r="L2329" t="n">
        <v>1</v>
      </c>
      <c r="M2329" t="n">
        <v>0</v>
      </c>
    </row>
    <row r="2330" spans="1:13">
      <c r="A2330" s="1">
        <f>HYPERLINK("http://www.twitter.com/NathanBLawrence/status/982357551558705162", "982357551558705162")</f>
        <v/>
      </c>
      <c r="B2330" s="2" t="n">
        <v>43196.861875</v>
      </c>
      <c r="C2330" t="n">
        <v>0</v>
      </c>
      <c r="D2330" t="n">
        <v>0</v>
      </c>
      <c r="E2330" t="s">
        <v>2334</v>
      </c>
      <c r="F2330" t="s"/>
      <c r="G2330" t="s"/>
      <c r="H2330" t="s"/>
      <c r="I2330" t="s"/>
      <c r="J2330" t="n">
        <v>0</v>
      </c>
      <c r="K2330" t="n">
        <v>0</v>
      </c>
      <c r="L2330" t="n">
        <v>1</v>
      </c>
      <c r="M2330" t="n">
        <v>0</v>
      </c>
    </row>
    <row r="2331" spans="1:13">
      <c r="A2331" s="1">
        <f>HYPERLINK("http://www.twitter.com/NathanBLawrence/status/982356934899597313", "982356934899597313")</f>
        <v/>
      </c>
      <c r="B2331" s="2" t="n">
        <v>43196.86017361111</v>
      </c>
      <c r="C2331" t="n">
        <v>0</v>
      </c>
      <c r="D2331" t="n">
        <v>0</v>
      </c>
      <c r="E2331" t="s">
        <v>2335</v>
      </c>
      <c r="F2331" t="s"/>
      <c r="G2331" t="s"/>
      <c r="H2331" t="s"/>
      <c r="I2331" t="s"/>
      <c r="J2331" t="n">
        <v>-0.3612</v>
      </c>
      <c r="K2331" t="n">
        <v>0.265</v>
      </c>
      <c r="L2331" t="n">
        <v>0.552</v>
      </c>
      <c r="M2331" t="n">
        <v>0.182</v>
      </c>
    </row>
    <row r="2332" spans="1:13">
      <c r="A2332" s="1">
        <f>HYPERLINK("http://www.twitter.com/NathanBLawrence/status/982356545387278337", "982356545387278337")</f>
        <v/>
      </c>
      <c r="B2332" s="2" t="n">
        <v>43196.85909722222</v>
      </c>
      <c r="C2332" t="n">
        <v>0</v>
      </c>
      <c r="D2332" t="n">
        <v>0</v>
      </c>
      <c r="E2332" t="s">
        <v>2336</v>
      </c>
      <c r="F2332" t="s"/>
      <c r="G2332" t="s"/>
      <c r="H2332" t="s"/>
      <c r="I2332" t="s"/>
      <c r="J2332" t="n">
        <v>0.2023</v>
      </c>
      <c r="K2332" t="n">
        <v>0.13</v>
      </c>
      <c r="L2332" t="n">
        <v>0.718</v>
      </c>
      <c r="M2332" t="n">
        <v>0.152</v>
      </c>
    </row>
    <row r="2333" spans="1:13">
      <c r="A2333" s="1">
        <f>HYPERLINK("http://www.twitter.com/NathanBLawrence/status/982353504785313792", "982353504785313792")</f>
        <v/>
      </c>
      <c r="B2333" s="2" t="n">
        <v>43196.85070601852</v>
      </c>
      <c r="C2333" t="n">
        <v>0</v>
      </c>
      <c r="D2333" t="n">
        <v>0</v>
      </c>
      <c r="E2333" t="s">
        <v>2337</v>
      </c>
      <c r="F2333" t="s"/>
      <c r="G2333" t="s"/>
      <c r="H2333" t="s"/>
      <c r="I2333" t="s"/>
      <c r="J2333" t="n">
        <v>0.4939</v>
      </c>
      <c r="K2333" t="n">
        <v>0</v>
      </c>
      <c r="L2333" t="n">
        <v>0.758</v>
      </c>
      <c r="M2333" t="n">
        <v>0.242</v>
      </c>
    </row>
    <row r="2334" spans="1:13">
      <c r="A2334" s="1">
        <f>HYPERLINK("http://www.twitter.com/NathanBLawrence/status/982351309297758209", "982351309297758209")</f>
        <v/>
      </c>
      <c r="B2334" s="2" t="n">
        <v>43196.8446412037</v>
      </c>
      <c r="C2334" t="n">
        <v>0</v>
      </c>
      <c r="D2334" t="n">
        <v>0</v>
      </c>
      <c r="E2334" t="s">
        <v>2338</v>
      </c>
      <c r="F2334" t="s"/>
      <c r="G2334" t="s"/>
      <c r="H2334" t="s"/>
      <c r="I2334" t="s"/>
      <c r="J2334" t="n">
        <v>0.4939</v>
      </c>
      <c r="K2334" t="n">
        <v>0</v>
      </c>
      <c r="L2334" t="n">
        <v>0.714</v>
      </c>
      <c r="M2334" t="n">
        <v>0.286</v>
      </c>
    </row>
    <row r="2335" spans="1:13">
      <c r="A2335" s="1">
        <f>HYPERLINK("http://www.twitter.com/NathanBLawrence/status/982350091250839553", "982350091250839553")</f>
        <v/>
      </c>
      <c r="B2335" s="2" t="n">
        <v>43196.84128472222</v>
      </c>
      <c r="C2335" t="n">
        <v>0</v>
      </c>
      <c r="D2335" t="n">
        <v>0</v>
      </c>
      <c r="E2335" t="s">
        <v>2339</v>
      </c>
      <c r="F2335" t="s"/>
      <c r="G2335" t="s"/>
      <c r="H2335" t="s"/>
      <c r="I2335" t="s"/>
      <c r="J2335" t="n">
        <v>-0.7096</v>
      </c>
      <c r="K2335" t="n">
        <v>0.183</v>
      </c>
      <c r="L2335" t="n">
        <v>0.779</v>
      </c>
      <c r="M2335" t="n">
        <v>0.038</v>
      </c>
    </row>
    <row r="2336" spans="1:13">
      <c r="A2336" s="1">
        <f>HYPERLINK("http://www.twitter.com/NathanBLawrence/status/982348298156572672", "982348298156572672")</f>
        <v/>
      </c>
      <c r="B2336" s="2" t="n">
        <v>43196.83634259259</v>
      </c>
      <c r="C2336" t="n">
        <v>6</v>
      </c>
      <c r="D2336" t="n">
        <v>5</v>
      </c>
      <c r="E2336" t="s">
        <v>2340</v>
      </c>
      <c r="F2336" t="s"/>
      <c r="G2336" t="s"/>
      <c r="H2336" t="s"/>
      <c r="I2336" t="s"/>
      <c r="J2336" t="n">
        <v>-0.4708</v>
      </c>
      <c r="K2336" t="n">
        <v>0.246</v>
      </c>
      <c r="L2336" t="n">
        <v>0.639</v>
      </c>
      <c r="M2336" t="n">
        <v>0.115</v>
      </c>
    </row>
    <row r="2337" spans="1:13">
      <c r="A2337" s="1">
        <f>HYPERLINK("http://www.twitter.com/NathanBLawrence/status/982347958480920577", "982347958480920577")</f>
        <v/>
      </c>
      <c r="B2337" s="2" t="n">
        <v>43196.83540509259</v>
      </c>
      <c r="C2337" t="n">
        <v>9</v>
      </c>
      <c r="D2337" t="n">
        <v>6</v>
      </c>
      <c r="E2337" t="s">
        <v>2341</v>
      </c>
      <c r="F2337" t="s"/>
      <c r="G2337" t="s"/>
      <c r="H2337" t="s"/>
      <c r="I2337" t="s"/>
      <c r="J2337" t="n">
        <v>-0.3818</v>
      </c>
      <c r="K2337" t="n">
        <v>0.064</v>
      </c>
      <c r="L2337" t="n">
        <v>0.9360000000000001</v>
      </c>
      <c r="M2337" t="n">
        <v>0</v>
      </c>
    </row>
    <row r="2338" spans="1:13">
      <c r="A2338" s="1">
        <f>HYPERLINK("http://www.twitter.com/NathanBLawrence/status/982309373505552384", "982309373505552384")</f>
        <v/>
      </c>
      <c r="B2338" s="2" t="n">
        <v>43196.72892361111</v>
      </c>
      <c r="C2338" t="n">
        <v>1</v>
      </c>
      <c r="D2338" t="n">
        <v>0</v>
      </c>
      <c r="E2338" t="s">
        <v>2342</v>
      </c>
      <c r="F2338" t="s"/>
      <c r="G2338" t="s"/>
      <c r="H2338" t="s"/>
      <c r="I2338" t="s"/>
      <c r="J2338" t="n">
        <v>0.0516</v>
      </c>
      <c r="K2338" t="n">
        <v>0</v>
      </c>
      <c r="L2338" t="n">
        <v>0.9370000000000001</v>
      </c>
      <c r="M2338" t="n">
        <v>0.062</v>
      </c>
    </row>
    <row r="2339" spans="1:13">
      <c r="A2339" s="1">
        <f>HYPERLINK("http://www.twitter.com/NathanBLawrence/status/982106008645337088", "982106008645337088")</f>
        <v/>
      </c>
      <c r="B2339" s="2" t="n">
        <v>43196.16774305556</v>
      </c>
      <c r="C2339" t="n">
        <v>0</v>
      </c>
      <c r="D2339" t="n">
        <v>0</v>
      </c>
      <c r="E2339" t="s">
        <v>2343</v>
      </c>
      <c r="F2339" t="s"/>
      <c r="G2339" t="s"/>
      <c r="H2339" t="s"/>
      <c r="I2339" t="s"/>
      <c r="J2339" t="n">
        <v>0.7302999999999999</v>
      </c>
      <c r="K2339" t="n">
        <v>0</v>
      </c>
      <c r="L2339" t="n">
        <v>0.774</v>
      </c>
      <c r="M2339" t="n">
        <v>0.226</v>
      </c>
    </row>
    <row r="2340" spans="1:13">
      <c r="A2340" s="1">
        <f>HYPERLINK("http://www.twitter.com/NathanBLawrence/status/982067470906224640", "982067470906224640")</f>
        <v/>
      </c>
      <c r="B2340" s="2" t="n">
        <v>43196.06140046296</v>
      </c>
      <c r="C2340" t="n">
        <v>1</v>
      </c>
      <c r="D2340" t="n">
        <v>0</v>
      </c>
      <c r="E2340" t="s">
        <v>2344</v>
      </c>
      <c r="F2340" t="s"/>
      <c r="G2340" t="s"/>
      <c r="H2340" t="s"/>
      <c r="I2340" t="s"/>
      <c r="J2340" t="n">
        <v>-0.5514</v>
      </c>
      <c r="K2340" t="n">
        <v>0.158</v>
      </c>
      <c r="L2340" t="n">
        <v>0.842</v>
      </c>
      <c r="M2340" t="n">
        <v>0</v>
      </c>
    </row>
    <row r="2341" spans="1:13">
      <c r="A2341" s="1">
        <f>HYPERLINK("http://www.twitter.com/NathanBLawrence/status/981991877313474560", "981991877313474560")</f>
        <v/>
      </c>
      <c r="B2341" s="2" t="n">
        <v>43195.85280092592</v>
      </c>
      <c r="C2341" t="n">
        <v>7</v>
      </c>
      <c r="D2341" t="n">
        <v>2</v>
      </c>
      <c r="E2341" t="s">
        <v>2345</v>
      </c>
      <c r="F2341" t="s"/>
      <c r="G2341" t="s"/>
      <c r="H2341" t="s"/>
      <c r="I2341" t="s"/>
      <c r="J2341" t="n">
        <v>0.6808</v>
      </c>
      <c r="K2341" t="n">
        <v>0</v>
      </c>
      <c r="L2341" t="n">
        <v>0.741</v>
      </c>
      <c r="M2341" t="n">
        <v>0.259</v>
      </c>
    </row>
    <row r="2342" spans="1:13">
      <c r="A2342" s="1">
        <f>HYPERLINK("http://www.twitter.com/NathanBLawrence/status/981976246954446848", "981976246954446848")</f>
        <v/>
      </c>
      <c r="B2342" s="2" t="n">
        <v>43195.80967592593</v>
      </c>
      <c r="C2342" t="n">
        <v>0</v>
      </c>
      <c r="D2342" t="n">
        <v>0</v>
      </c>
      <c r="E2342" t="s">
        <v>2346</v>
      </c>
      <c r="F2342" t="s"/>
      <c r="G2342" t="s"/>
      <c r="H2342" t="s"/>
      <c r="I2342" t="s"/>
      <c r="J2342" t="n">
        <v>-0.296</v>
      </c>
      <c r="K2342" t="n">
        <v>0.155</v>
      </c>
      <c r="L2342" t="n">
        <v>0.845</v>
      </c>
      <c r="M2342" t="n">
        <v>0</v>
      </c>
    </row>
    <row r="2343" spans="1:13">
      <c r="A2343" s="1">
        <f>HYPERLINK("http://www.twitter.com/NathanBLawrence/status/981962186334621697", "981962186334621697")</f>
        <v/>
      </c>
      <c r="B2343" s="2" t="n">
        <v>43195.77086805556</v>
      </c>
      <c r="C2343" t="n">
        <v>1</v>
      </c>
      <c r="D2343" t="n">
        <v>0</v>
      </c>
      <c r="E2343" t="s">
        <v>2347</v>
      </c>
      <c r="F2343" t="s"/>
      <c r="G2343" t="s"/>
      <c r="H2343" t="s"/>
      <c r="I2343" t="s"/>
      <c r="J2343" t="n">
        <v>0</v>
      </c>
      <c r="K2343" t="n">
        <v>0</v>
      </c>
      <c r="L2343" t="n">
        <v>1</v>
      </c>
      <c r="M2343" t="n">
        <v>0</v>
      </c>
    </row>
    <row r="2344" spans="1:13">
      <c r="A2344" s="1">
        <f>HYPERLINK("http://www.twitter.com/NathanBLawrence/status/981961611299696640", "981961611299696640")</f>
        <v/>
      </c>
      <c r="B2344" s="2" t="n">
        <v>43195.7692824074</v>
      </c>
      <c r="C2344" t="n">
        <v>0</v>
      </c>
      <c r="D2344" t="n">
        <v>0</v>
      </c>
      <c r="E2344" t="s">
        <v>2348</v>
      </c>
      <c r="F2344" t="s"/>
      <c r="G2344" t="s"/>
      <c r="H2344" t="s"/>
      <c r="I2344" t="s"/>
      <c r="J2344" t="n">
        <v>-0.4926</v>
      </c>
      <c r="K2344" t="n">
        <v>0.516</v>
      </c>
      <c r="L2344" t="n">
        <v>0.484</v>
      </c>
      <c r="M2344" t="n">
        <v>0</v>
      </c>
    </row>
    <row r="2345" spans="1:13">
      <c r="A2345" s="1">
        <f>HYPERLINK("http://www.twitter.com/NathanBLawrence/status/981961219073552389", "981961219073552389")</f>
        <v/>
      </c>
      <c r="B2345" s="2" t="n">
        <v>43195.76820601852</v>
      </c>
      <c r="C2345" t="n">
        <v>0</v>
      </c>
      <c r="D2345" t="n">
        <v>0</v>
      </c>
      <c r="E2345" t="s">
        <v>2349</v>
      </c>
      <c r="F2345" t="s"/>
      <c r="G2345" t="s"/>
      <c r="H2345" t="s"/>
      <c r="I2345" t="s"/>
      <c r="J2345" t="n">
        <v>0</v>
      </c>
      <c r="K2345" t="n">
        <v>0</v>
      </c>
      <c r="L2345" t="n">
        <v>1</v>
      </c>
      <c r="M2345" t="n">
        <v>0</v>
      </c>
    </row>
    <row r="2346" spans="1:13">
      <c r="A2346" s="1">
        <f>HYPERLINK("http://www.twitter.com/NathanBLawrence/status/981960889631985669", "981960889631985669")</f>
        <v/>
      </c>
      <c r="B2346" s="2" t="n">
        <v>43195.76729166666</v>
      </c>
      <c r="C2346" t="n">
        <v>0</v>
      </c>
      <c r="D2346" t="n">
        <v>0</v>
      </c>
      <c r="E2346" t="s">
        <v>2350</v>
      </c>
      <c r="F2346" t="s"/>
      <c r="G2346" t="s"/>
      <c r="H2346" t="s"/>
      <c r="I2346" t="s"/>
      <c r="J2346" t="n">
        <v>-0.5707</v>
      </c>
      <c r="K2346" t="n">
        <v>0.649</v>
      </c>
      <c r="L2346" t="n">
        <v>0.351</v>
      </c>
      <c r="M2346" t="n">
        <v>0</v>
      </c>
    </row>
    <row r="2347" spans="1:13">
      <c r="A2347" s="1">
        <f>HYPERLINK("http://www.twitter.com/NathanBLawrence/status/981942186584485888", "981942186584485888")</f>
        <v/>
      </c>
      <c r="B2347" s="2" t="n">
        <v>43195.71568287037</v>
      </c>
      <c r="C2347" t="n">
        <v>1</v>
      </c>
      <c r="D2347" t="n">
        <v>0</v>
      </c>
      <c r="E2347" t="s">
        <v>2351</v>
      </c>
      <c r="F2347" t="s"/>
      <c r="G2347" t="s"/>
      <c r="H2347" t="s"/>
      <c r="I2347" t="s"/>
      <c r="J2347" t="n">
        <v>-0.5514</v>
      </c>
      <c r="K2347" t="n">
        <v>0.275</v>
      </c>
      <c r="L2347" t="n">
        <v>0.725</v>
      </c>
      <c r="M2347" t="n">
        <v>0</v>
      </c>
    </row>
    <row r="2348" spans="1:13">
      <c r="A2348" s="1">
        <f>HYPERLINK("http://www.twitter.com/NathanBLawrence/status/981888310955139072", "981888310955139072")</f>
        <v/>
      </c>
      <c r="B2348" s="2" t="n">
        <v>43195.56701388889</v>
      </c>
      <c r="C2348" t="n">
        <v>11</v>
      </c>
      <c r="D2348" t="n">
        <v>9</v>
      </c>
      <c r="E2348" t="s">
        <v>2352</v>
      </c>
      <c r="F2348" t="s"/>
      <c r="G2348" t="s"/>
      <c r="H2348" t="s"/>
      <c r="I2348" t="s"/>
      <c r="J2348" t="n">
        <v>0</v>
      </c>
      <c r="K2348" t="n">
        <v>0</v>
      </c>
      <c r="L2348" t="n">
        <v>1</v>
      </c>
      <c r="M2348" t="n">
        <v>0</v>
      </c>
    </row>
    <row r="2349" spans="1:13">
      <c r="A2349" s="1">
        <f>HYPERLINK("http://www.twitter.com/NathanBLawrence/status/981873092191453184", "981873092191453184")</f>
        <v/>
      </c>
      <c r="B2349" s="2" t="n">
        <v>43195.52502314815</v>
      </c>
      <c r="C2349" t="n">
        <v>0</v>
      </c>
      <c r="D2349" t="n">
        <v>15</v>
      </c>
      <c r="E2349" t="s">
        <v>2353</v>
      </c>
      <c r="F2349" t="s"/>
      <c r="G2349" t="s"/>
      <c r="H2349" t="s"/>
      <c r="I2349" t="s"/>
      <c r="J2349" t="n">
        <v>0.4404</v>
      </c>
      <c r="K2349" t="n">
        <v>0.094</v>
      </c>
      <c r="L2349" t="n">
        <v>0.73</v>
      </c>
      <c r="M2349" t="n">
        <v>0.176</v>
      </c>
    </row>
    <row r="2350" spans="1:13">
      <c r="A2350" s="1">
        <f>HYPERLINK("http://www.twitter.com/NathanBLawrence/status/981864970513272834", "981864970513272834")</f>
        <v/>
      </c>
      <c r="B2350" s="2" t="n">
        <v>43195.50260416666</v>
      </c>
      <c r="C2350" t="n">
        <v>1</v>
      </c>
      <c r="D2350" t="n">
        <v>0</v>
      </c>
      <c r="E2350" t="s">
        <v>2354</v>
      </c>
      <c r="F2350" t="s"/>
      <c r="G2350" t="s"/>
      <c r="H2350" t="s"/>
      <c r="I2350" t="s"/>
      <c r="J2350" t="n">
        <v>0.9186</v>
      </c>
      <c r="K2350" t="n">
        <v>0</v>
      </c>
      <c r="L2350" t="n">
        <v>0.735</v>
      </c>
      <c r="M2350" t="n">
        <v>0.265</v>
      </c>
    </row>
    <row r="2351" spans="1:13">
      <c r="A2351" s="1">
        <f>HYPERLINK("http://www.twitter.com/NathanBLawrence/status/981722730532917248", "981722730532917248")</f>
        <v/>
      </c>
      <c r="B2351" s="2" t="n">
        <v>43195.11010416667</v>
      </c>
      <c r="C2351" t="n">
        <v>2</v>
      </c>
      <c r="D2351" t="n">
        <v>0</v>
      </c>
      <c r="E2351" t="s">
        <v>2355</v>
      </c>
      <c r="F2351" t="s"/>
      <c r="G2351" t="s"/>
      <c r="H2351" t="s"/>
      <c r="I2351" t="s"/>
      <c r="J2351" t="n">
        <v>0.3595</v>
      </c>
      <c r="K2351" t="n">
        <v>0</v>
      </c>
      <c r="L2351" t="n">
        <v>0.445</v>
      </c>
      <c r="M2351" t="n">
        <v>0.555</v>
      </c>
    </row>
    <row r="2352" spans="1:13">
      <c r="A2352" s="1">
        <f>HYPERLINK("http://www.twitter.com/NathanBLawrence/status/981665182916206592", "981665182916206592")</f>
        <v/>
      </c>
      <c r="B2352" s="2" t="n">
        <v>43194.9512962963</v>
      </c>
      <c r="C2352" t="n">
        <v>5</v>
      </c>
      <c r="D2352" t="n">
        <v>0</v>
      </c>
      <c r="E2352" t="s">
        <v>2356</v>
      </c>
      <c r="F2352" t="s"/>
      <c r="G2352" t="s"/>
      <c r="H2352" t="s"/>
      <c r="I2352" t="s"/>
      <c r="J2352" t="n">
        <v>-0.504</v>
      </c>
      <c r="K2352" t="n">
        <v>0.083</v>
      </c>
      <c r="L2352" t="n">
        <v>0.895</v>
      </c>
      <c r="M2352" t="n">
        <v>0.022</v>
      </c>
    </row>
    <row r="2353" spans="1:13">
      <c r="A2353" s="1">
        <f>HYPERLINK("http://www.twitter.com/NathanBLawrence/status/981664071337562112", "981664071337562112")</f>
        <v/>
      </c>
      <c r="B2353" s="2" t="n">
        <v>43194.94822916666</v>
      </c>
      <c r="C2353" t="n">
        <v>4</v>
      </c>
      <c r="D2353" t="n">
        <v>0</v>
      </c>
      <c r="E2353" t="s">
        <v>2357</v>
      </c>
      <c r="F2353" t="s"/>
      <c r="G2353" t="s"/>
      <c r="H2353" t="s"/>
      <c r="I2353" t="s"/>
      <c r="J2353" t="n">
        <v>-0.4389</v>
      </c>
      <c r="K2353" t="n">
        <v>0.147</v>
      </c>
      <c r="L2353" t="n">
        <v>0.775</v>
      </c>
      <c r="M2353" t="n">
        <v>0.078</v>
      </c>
    </row>
    <row r="2354" spans="1:13">
      <c r="A2354" s="1">
        <f>HYPERLINK("http://www.twitter.com/NathanBLawrence/status/981655391686807558", "981655391686807558")</f>
        <v/>
      </c>
      <c r="B2354" s="2" t="n">
        <v>43194.92428240741</v>
      </c>
      <c r="C2354" t="n">
        <v>2</v>
      </c>
      <c r="D2354" t="n">
        <v>0</v>
      </c>
      <c r="E2354" t="s">
        <v>2358</v>
      </c>
      <c r="F2354" t="s"/>
      <c r="G2354" t="s"/>
      <c r="H2354" t="s"/>
      <c r="I2354" t="s"/>
      <c r="J2354" t="n">
        <v>0</v>
      </c>
      <c r="K2354" t="n">
        <v>0</v>
      </c>
      <c r="L2354" t="n">
        <v>1</v>
      </c>
      <c r="M2354" t="n">
        <v>0</v>
      </c>
    </row>
    <row r="2355" spans="1:13">
      <c r="A2355" s="1">
        <f>HYPERLINK("http://www.twitter.com/NathanBLawrence/status/981630916996096000", "981630916996096000")</f>
        <v/>
      </c>
      <c r="B2355" s="2" t="n">
        <v>43194.85674768518</v>
      </c>
      <c r="C2355" t="n">
        <v>2</v>
      </c>
      <c r="D2355" t="n">
        <v>0</v>
      </c>
      <c r="E2355" t="s">
        <v>2359</v>
      </c>
      <c r="F2355" t="s"/>
      <c r="G2355" t="s"/>
      <c r="H2355" t="s"/>
      <c r="I2355" t="s"/>
      <c r="J2355" t="n">
        <v>0</v>
      </c>
      <c r="K2355" t="n">
        <v>0</v>
      </c>
      <c r="L2355" t="n">
        <v>1</v>
      </c>
      <c r="M2355" t="n">
        <v>0</v>
      </c>
    </row>
    <row r="2356" spans="1:13">
      <c r="A2356" s="1">
        <f>HYPERLINK("http://www.twitter.com/NathanBLawrence/status/981628240002539521", "981628240002539521")</f>
        <v/>
      </c>
      <c r="B2356" s="2" t="n">
        <v>43194.84935185185</v>
      </c>
      <c r="C2356" t="n">
        <v>3</v>
      </c>
      <c r="D2356" t="n">
        <v>0</v>
      </c>
      <c r="E2356" t="s">
        <v>2360</v>
      </c>
      <c r="F2356" t="s"/>
      <c r="G2356" t="s"/>
      <c r="H2356" t="s"/>
      <c r="I2356" t="s"/>
      <c r="J2356" t="n">
        <v>0.3182</v>
      </c>
      <c r="K2356" t="n">
        <v>0</v>
      </c>
      <c r="L2356" t="n">
        <v>0.796</v>
      </c>
      <c r="M2356" t="n">
        <v>0.204</v>
      </c>
    </row>
    <row r="2357" spans="1:13">
      <c r="A2357" s="1">
        <f>HYPERLINK("http://www.twitter.com/NathanBLawrence/status/981624686823002113", "981624686823002113")</f>
        <v/>
      </c>
      <c r="B2357" s="2" t="n">
        <v>43194.83954861111</v>
      </c>
      <c r="C2357" t="n">
        <v>0</v>
      </c>
      <c r="D2357" t="n">
        <v>1</v>
      </c>
      <c r="E2357" t="s">
        <v>2361</v>
      </c>
      <c r="F2357" t="s"/>
      <c r="G2357" t="s"/>
      <c r="H2357" t="s"/>
      <c r="I2357" t="s"/>
      <c r="J2357" t="n">
        <v>0.8892</v>
      </c>
      <c r="K2357" t="n">
        <v>0</v>
      </c>
      <c r="L2357" t="n">
        <v>0.698</v>
      </c>
      <c r="M2357" t="n">
        <v>0.302</v>
      </c>
    </row>
    <row r="2358" spans="1:13">
      <c r="A2358" s="1">
        <f>HYPERLINK("http://www.twitter.com/NathanBLawrence/status/981604069902045184", "981604069902045184")</f>
        <v/>
      </c>
      <c r="B2358" s="2" t="n">
        <v>43194.78266203704</v>
      </c>
      <c r="C2358" t="n">
        <v>2</v>
      </c>
      <c r="D2358" t="n">
        <v>0</v>
      </c>
      <c r="E2358" t="s">
        <v>2362</v>
      </c>
      <c r="F2358" t="s"/>
      <c r="G2358" t="s"/>
      <c r="H2358" t="s"/>
      <c r="I2358" t="s"/>
      <c r="J2358" t="n">
        <v>0</v>
      </c>
      <c r="K2358" t="n">
        <v>0</v>
      </c>
      <c r="L2358" t="n">
        <v>1</v>
      </c>
      <c r="M2358" t="n">
        <v>0</v>
      </c>
    </row>
    <row r="2359" spans="1:13">
      <c r="A2359" s="1">
        <f>HYPERLINK("http://www.twitter.com/NathanBLawrence/status/981603373702156291", "981603373702156291")</f>
        <v/>
      </c>
      <c r="B2359" s="2" t="n">
        <v>43194.78074074074</v>
      </c>
      <c r="C2359" t="n">
        <v>4</v>
      </c>
      <c r="D2359" t="n">
        <v>1</v>
      </c>
      <c r="E2359" t="s">
        <v>2363</v>
      </c>
      <c r="F2359">
        <f>HYPERLINK("http://pbs.twimg.com/media/DZ9bDoGWAAA8c7-.jpg", "http://pbs.twimg.com/media/DZ9bDoGWAAA8c7-.jpg")</f>
        <v/>
      </c>
      <c r="G2359" t="s"/>
      <c r="H2359" t="s"/>
      <c r="I2359" t="s"/>
      <c r="J2359" t="n">
        <v>0</v>
      </c>
      <c r="K2359" t="n">
        <v>0</v>
      </c>
      <c r="L2359" t="n">
        <v>1</v>
      </c>
      <c r="M2359" t="n">
        <v>0</v>
      </c>
    </row>
    <row r="2360" spans="1:13">
      <c r="A2360" s="1">
        <f>HYPERLINK("http://www.twitter.com/NathanBLawrence/status/981600442491789313", "981600442491789313")</f>
        <v/>
      </c>
      <c r="B2360" s="2" t="n">
        <v>43194.77265046296</v>
      </c>
      <c r="C2360" t="n">
        <v>1</v>
      </c>
      <c r="D2360" t="n">
        <v>0</v>
      </c>
      <c r="E2360" t="s">
        <v>2364</v>
      </c>
      <c r="F2360" t="s"/>
      <c r="G2360" t="s"/>
      <c r="H2360" t="s"/>
      <c r="I2360" t="s"/>
      <c r="J2360" t="n">
        <v>0.3612</v>
      </c>
      <c r="K2360" t="n">
        <v>0</v>
      </c>
      <c r="L2360" t="n">
        <v>0.8</v>
      </c>
      <c r="M2360" t="n">
        <v>0.2</v>
      </c>
    </row>
    <row r="2361" spans="1:13">
      <c r="A2361" s="1">
        <f>HYPERLINK("http://www.twitter.com/NathanBLawrence/status/981596750870958088", "981596750870958088")</f>
        <v/>
      </c>
      <c r="B2361" s="2" t="n">
        <v>43194.76246527778</v>
      </c>
      <c r="C2361" t="n">
        <v>2</v>
      </c>
      <c r="D2361" t="n">
        <v>0</v>
      </c>
      <c r="E2361" t="s">
        <v>2365</v>
      </c>
      <c r="F2361">
        <f>HYPERLINK("http://pbs.twimg.com/media/DZ9VButXcAEP6KX.jpg", "http://pbs.twimg.com/media/DZ9VButXcAEP6KX.jpg")</f>
        <v/>
      </c>
      <c r="G2361" t="s"/>
      <c r="H2361" t="s"/>
      <c r="I2361" t="s"/>
      <c r="J2361" t="n">
        <v>0</v>
      </c>
      <c r="K2361" t="n">
        <v>0</v>
      </c>
      <c r="L2361" t="n">
        <v>1</v>
      </c>
      <c r="M2361" t="n">
        <v>0</v>
      </c>
    </row>
    <row r="2362" spans="1:13">
      <c r="A2362" s="1">
        <f>HYPERLINK("http://www.twitter.com/NathanBLawrence/status/981591765106003968", "981591765106003968")</f>
        <v/>
      </c>
      <c r="B2362" s="2" t="n">
        <v>43194.74870370371</v>
      </c>
      <c r="C2362" t="n">
        <v>6</v>
      </c>
      <c r="D2362" t="n">
        <v>3</v>
      </c>
      <c r="E2362" t="s">
        <v>2366</v>
      </c>
      <c r="F2362">
        <f>HYPERLINK("http://pbs.twimg.com/media/DZ9QGqrWsAAWh_i.jpg", "http://pbs.twimg.com/media/DZ9QGqrWsAAWh_i.jpg")</f>
        <v/>
      </c>
      <c r="G2362" t="s"/>
      <c r="H2362" t="s"/>
      <c r="I2362" t="s"/>
      <c r="J2362" t="n">
        <v>0</v>
      </c>
      <c r="K2362" t="n">
        <v>0</v>
      </c>
      <c r="L2362" t="n">
        <v>1</v>
      </c>
      <c r="M2362" t="n">
        <v>0</v>
      </c>
    </row>
    <row r="2363" spans="1:13">
      <c r="A2363" s="1">
        <f>HYPERLINK("http://www.twitter.com/NathanBLawrence/status/981590308155772930", "981590308155772930")</f>
        <v/>
      </c>
      <c r="B2363" s="2" t="n">
        <v>43194.7446875</v>
      </c>
      <c r="C2363" t="n">
        <v>7</v>
      </c>
      <c r="D2363" t="n">
        <v>3</v>
      </c>
      <c r="E2363" t="s">
        <v>2367</v>
      </c>
      <c r="F2363" t="s"/>
      <c r="G2363" t="s"/>
      <c r="H2363" t="s"/>
      <c r="I2363" t="s"/>
      <c r="J2363" t="n">
        <v>-0.0296</v>
      </c>
      <c r="K2363" t="n">
        <v>0.112</v>
      </c>
      <c r="L2363" t="n">
        <v>0.748</v>
      </c>
      <c r="M2363" t="n">
        <v>0.14</v>
      </c>
    </row>
    <row r="2364" spans="1:13">
      <c r="A2364" s="1">
        <f>HYPERLINK("http://www.twitter.com/NathanBLawrence/status/981588179559092224", "981588179559092224")</f>
        <v/>
      </c>
      <c r="B2364" s="2" t="n">
        <v>43194.73880787037</v>
      </c>
      <c r="C2364" t="n">
        <v>5</v>
      </c>
      <c r="D2364" t="n">
        <v>0</v>
      </c>
      <c r="E2364" t="s">
        <v>2368</v>
      </c>
      <c r="F2364" t="s"/>
      <c r="G2364" t="s"/>
      <c r="H2364" t="s"/>
      <c r="I2364" t="s"/>
      <c r="J2364" t="n">
        <v>0</v>
      </c>
      <c r="K2364" t="n">
        <v>0</v>
      </c>
      <c r="L2364" t="n">
        <v>1</v>
      </c>
      <c r="M2364" t="n">
        <v>0</v>
      </c>
    </row>
    <row r="2365" spans="1:13">
      <c r="A2365" s="1">
        <f>HYPERLINK("http://www.twitter.com/NathanBLawrence/status/981587321794555905", "981587321794555905")</f>
        <v/>
      </c>
      <c r="B2365" s="2" t="n">
        <v>43194.73644675926</v>
      </c>
      <c r="C2365" t="n">
        <v>3</v>
      </c>
      <c r="D2365" t="n">
        <v>0</v>
      </c>
      <c r="E2365" t="s">
        <v>2369</v>
      </c>
      <c r="F2365" t="s"/>
      <c r="G2365" t="s"/>
      <c r="H2365" t="s"/>
      <c r="I2365" t="s"/>
      <c r="J2365" t="n">
        <v>0.6103</v>
      </c>
      <c r="K2365" t="n">
        <v>0.098</v>
      </c>
      <c r="L2365" t="n">
        <v>0.674</v>
      </c>
      <c r="M2365" t="n">
        <v>0.228</v>
      </c>
    </row>
    <row r="2366" spans="1:13">
      <c r="A2366" s="1">
        <f>HYPERLINK("http://www.twitter.com/NathanBLawrence/status/981584354160889857", "981584354160889857")</f>
        <v/>
      </c>
      <c r="B2366" s="2" t="n">
        <v>43194.72825231482</v>
      </c>
      <c r="C2366" t="n">
        <v>1</v>
      </c>
      <c r="D2366" t="n">
        <v>1</v>
      </c>
      <c r="E2366" t="s">
        <v>2370</v>
      </c>
      <c r="F2366" t="s"/>
      <c r="G2366" t="s"/>
      <c r="H2366" t="s"/>
      <c r="I2366" t="s"/>
      <c r="J2366" t="n">
        <v>-0.5562</v>
      </c>
      <c r="K2366" t="n">
        <v>0.13</v>
      </c>
      <c r="L2366" t="n">
        <v>0.87</v>
      </c>
      <c r="M2366" t="n">
        <v>0</v>
      </c>
    </row>
    <row r="2367" spans="1:13">
      <c r="A2367" s="1">
        <f>HYPERLINK("http://www.twitter.com/NathanBLawrence/status/981582048199696384", "981582048199696384")</f>
        <v/>
      </c>
      <c r="B2367" s="2" t="n">
        <v>43194.72188657407</v>
      </c>
      <c r="C2367" t="n">
        <v>3</v>
      </c>
      <c r="D2367" t="n">
        <v>0</v>
      </c>
      <c r="E2367" t="s">
        <v>2371</v>
      </c>
      <c r="F2367" t="s"/>
      <c r="G2367" t="s"/>
      <c r="H2367" t="s"/>
      <c r="I2367" t="s"/>
      <c r="J2367" t="n">
        <v>0.1027</v>
      </c>
      <c r="K2367" t="n">
        <v>0</v>
      </c>
      <c r="L2367" t="n">
        <v>0.968</v>
      </c>
      <c r="M2367" t="n">
        <v>0.032</v>
      </c>
    </row>
    <row r="2368" spans="1:13">
      <c r="A2368" s="1">
        <f>HYPERLINK("http://www.twitter.com/NathanBLawrence/status/981569118028685315", "981569118028685315")</f>
        <v/>
      </c>
      <c r="B2368" s="2" t="n">
        <v>43194.68621527778</v>
      </c>
      <c r="C2368" t="n">
        <v>3</v>
      </c>
      <c r="D2368" t="n">
        <v>0</v>
      </c>
      <c r="E2368" t="s">
        <v>2372</v>
      </c>
      <c r="F2368" t="s"/>
      <c r="G2368" t="s"/>
      <c r="H2368" t="s"/>
      <c r="I2368" t="s"/>
      <c r="J2368" t="n">
        <v>0.4019</v>
      </c>
      <c r="K2368" t="n">
        <v>0</v>
      </c>
      <c r="L2368" t="n">
        <v>0.856</v>
      </c>
      <c r="M2368" t="n">
        <v>0.144</v>
      </c>
    </row>
    <row r="2369" spans="1:13">
      <c r="A2369" s="1">
        <f>HYPERLINK("http://www.twitter.com/NathanBLawrence/status/981566758992666624", "981566758992666624")</f>
        <v/>
      </c>
      <c r="B2369" s="2" t="n">
        <v>43194.67969907408</v>
      </c>
      <c r="C2369" t="n">
        <v>0</v>
      </c>
      <c r="D2369" t="n">
        <v>0</v>
      </c>
      <c r="E2369" t="s">
        <v>2373</v>
      </c>
      <c r="F2369" t="s"/>
      <c r="G2369" t="s"/>
      <c r="H2369" t="s"/>
      <c r="I2369" t="s"/>
      <c r="J2369" t="n">
        <v>-0.3987</v>
      </c>
      <c r="K2369" t="n">
        <v>0.202</v>
      </c>
      <c r="L2369" t="n">
        <v>0.612</v>
      </c>
      <c r="M2369" t="n">
        <v>0.186</v>
      </c>
    </row>
    <row r="2370" spans="1:13">
      <c r="A2370" s="1">
        <f>HYPERLINK("http://www.twitter.com/NathanBLawrence/status/981541948157841408", "981541948157841408")</f>
        <v/>
      </c>
      <c r="B2370" s="2" t="n">
        <v>43194.61123842592</v>
      </c>
      <c r="C2370" t="n">
        <v>2</v>
      </c>
      <c r="D2370" t="n">
        <v>1</v>
      </c>
      <c r="E2370" t="s">
        <v>2374</v>
      </c>
      <c r="F2370" t="s"/>
      <c r="G2370" t="s"/>
      <c r="H2370" t="s"/>
      <c r="I2370" t="s"/>
      <c r="J2370" t="n">
        <v>0</v>
      </c>
      <c r="K2370" t="n">
        <v>0</v>
      </c>
      <c r="L2370" t="n">
        <v>1</v>
      </c>
      <c r="M2370" t="n">
        <v>0</v>
      </c>
    </row>
    <row r="2371" spans="1:13">
      <c r="A2371" s="1">
        <f>HYPERLINK("http://www.twitter.com/NathanBLawrence/status/981541330261348352", "981541330261348352")</f>
        <v/>
      </c>
      <c r="B2371" s="2" t="n">
        <v>43194.60952546296</v>
      </c>
      <c r="C2371" t="n">
        <v>0</v>
      </c>
      <c r="D2371" t="n">
        <v>0</v>
      </c>
      <c r="E2371" t="s">
        <v>2375</v>
      </c>
      <c r="F2371" t="s"/>
      <c r="G2371" t="s"/>
      <c r="H2371" t="s"/>
      <c r="I2371" t="s"/>
      <c r="J2371" t="n">
        <v>0</v>
      </c>
      <c r="K2371" t="n">
        <v>0</v>
      </c>
      <c r="L2371" t="n">
        <v>1</v>
      </c>
      <c r="M2371" t="n">
        <v>0</v>
      </c>
    </row>
    <row r="2372" spans="1:13">
      <c r="A2372" s="1">
        <f>HYPERLINK("http://www.twitter.com/NathanBLawrence/status/981541004363862016", "981541004363862016")</f>
        <v/>
      </c>
      <c r="B2372" s="2" t="n">
        <v>43194.60863425926</v>
      </c>
      <c r="C2372" t="n">
        <v>2</v>
      </c>
      <c r="D2372" t="n">
        <v>1</v>
      </c>
      <c r="E2372" t="s">
        <v>2376</v>
      </c>
      <c r="F2372" t="s"/>
      <c r="G2372" t="s"/>
      <c r="H2372" t="s"/>
      <c r="I2372" t="s"/>
      <c r="J2372" t="n">
        <v>0.2942</v>
      </c>
      <c r="K2372" t="n">
        <v>0.12</v>
      </c>
      <c r="L2372" t="n">
        <v>0.6919999999999999</v>
      </c>
      <c r="M2372" t="n">
        <v>0.188</v>
      </c>
    </row>
    <row r="2373" spans="1:13">
      <c r="A2373" s="1">
        <f>HYPERLINK("http://www.twitter.com/NathanBLawrence/status/981540485813690369", "981540485813690369")</f>
        <v/>
      </c>
      <c r="B2373" s="2" t="n">
        <v>43194.60719907407</v>
      </c>
      <c r="C2373" t="n">
        <v>0</v>
      </c>
      <c r="D2373" t="n">
        <v>0</v>
      </c>
      <c r="E2373" t="s">
        <v>2377</v>
      </c>
      <c r="F2373" t="s"/>
      <c r="G2373" t="s"/>
      <c r="H2373" t="s"/>
      <c r="I2373" t="s"/>
      <c r="J2373" t="n">
        <v>-0.4404</v>
      </c>
      <c r="K2373" t="n">
        <v>0.153</v>
      </c>
      <c r="L2373" t="n">
        <v>0.781</v>
      </c>
      <c r="M2373" t="n">
        <v>0.066</v>
      </c>
    </row>
    <row r="2374" spans="1:13">
      <c r="A2374" s="1">
        <f>HYPERLINK("http://www.twitter.com/NathanBLawrence/status/981534948938207232", "981534948938207232")</f>
        <v/>
      </c>
      <c r="B2374" s="2" t="n">
        <v>43194.5919212963</v>
      </c>
      <c r="C2374" t="n">
        <v>0</v>
      </c>
      <c r="D2374" t="n">
        <v>0</v>
      </c>
      <c r="E2374" t="s">
        <v>2378</v>
      </c>
      <c r="F2374" t="s"/>
      <c r="G2374" t="s"/>
      <c r="H2374" t="s"/>
      <c r="I2374" t="s"/>
      <c r="J2374" t="n">
        <v>0.3578</v>
      </c>
      <c r="K2374" t="n">
        <v>0.131</v>
      </c>
      <c r="L2374" t="n">
        <v>0.653</v>
      </c>
      <c r="M2374" t="n">
        <v>0.216</v>
      </c>
    </row>
    <row r="2375" spans="1:13">
      <c r="A2375" s="1">
        <f>HYPERLINK("http://www.twitter.com/NathanBLawrence/status/981323954106388480", "981323954106388480")</f>
        <v/>
      </c>
      <c r="B2375" s="2" t="n">
        <v>43194.0096875</v>
      </c>
      <c r="C2375" t="n">
        <v>0</v>
      </c>
      <c r="D2375" t="n">
        <v>0</v>
      </c>
      <c r="E2375" t="s">
        <v>2379</v>
      </c>
      <c r="F2375" t="s"/>
      <c r="G2375" t="s"/>
      <c r="H2375" t="s"/>
      <c r="I2375" t="s"/>
      <c r="J2375" t="n">
        <v>0.2942</v>
      </c>
      <c r="K2375" t="n">
        <v>0.147</v>
      </c>
      <c r="L2375" t="n">
        <v>0.62</v>
      </c>
      <c r="M2375" t="n">
        <v>0.232</v>
      </c>
    </row>
    <row r="2376" spans="1:13">
      <c r="A2376" s="1">
        <f>HYPERLINK("http://www.twitter.com/NathanBLawrence/status/981321884536135680", "981321884536135680")</f>
        <v/>
      </c>
      <c r="B2376" s="2" t="n">
        <v>43194.00398148148</v>
      </c>
      <c r="C2376" t="n">
        <v>0</v>
      </c>
      <c r="D2376" t="n">
        <v>0</v>
      </c>
      <c r="E2376" t="s">
        <v>2380</v>
      </c>
      <c r="F2376" t="s"/>
      <c r="G2376" t="s"/>
      <c r="H2376" t="s"/>
      <c r="I2376" t="s"/>
      <c r="J2376" t="n">
        <v>0.204</v>
      </c>
      <c r="K2376" t="n">
        <v>0.073</v>
      </c>
      <c r="L2376" t="n">
        <v>0.8159999999999999</v>
      </c>
      <c r="M2376" t="n">
        <v>0.112</v>
      </c>
    </row>
    <row r="2377" spans="1:13">
      <c r="A2377" s="1">
        <f>HYPERLINK("http://www.twitter.com/NathanBLawrence/status/981318584524787712", "981318584524787712")</f>
        <v/>
      </c>
      <c r="B2377" s="2" t="n">
        <v>43193.99487268519</v>
      </c>
      <c r="C2377" t="n">
        <v>3</v>
      </c>
      <c r="D2377" t="n">
        <v>0</v>
      </c>
      <c r="E2377" t="s">
        <v>2381</v>
      </c>
      <c r="F2377" t="s"/>
      <c r="G2377" t="s"/>
      <c r="H2377" t="s"/>
      <c r="I2377" t="s"/>
      <c r="J2377" t="n">
        <v>0.4926</v>
      </c>
      <c r="K2377" t="n">
        <v>0</v>
      </c>
      <c r="L2377" t="n">
        <v>0.653</v>
      </c>
      <c r="M2377" t="n">
        <v>0.347</v>
      </c>
    </row>
    <row r="2378" spans="1:13">
      <c r="A2378" s="1">
        <f>HYPERLINK("http://www.twitter.com/NathanBLawrence/status/981314014444773377", "981314014444773377")</f>
        <v/>
      </c>
      <c r="B2378" s="2" t="n">
        <v>43193.98225694444</v>
      </c>
      <c r="C2378" t="n">
        <v>12</v>
      </c>
      <c r="D2378" t="n">
        <v>8</v>
      </c>
      <c r="E2378" t="s">
        <v>2382</v>
      </c>
      <c r="F2378">
        <f>HYPERLINK("http://pbs.twimg.com/media/DZ5Tg_oX0AEnFVL.jpg", "http://pbs.twimg.com/media/DZ5Tg_oX0AEnFVL.jpg")</f>
        <v/>
      </c>
      <c r="G2378" t="s"/>
      <c r="H2378" t="s"/>
      <c r="I2378" t="s"/>
      <c r="J2378" t="n">
        <v>0.2023</v>
      </c>
      <c r="K2378" t="n">
        <v>0.096</v>
      </c>
      <c r="L2378" t="n">
        <v>0.769</v>
      </c>
      <c r="M2378" t="n">
        <v>0.135</v>
      </c>
    </row>
    <row r="2379" spans="1:13">
      <c r="A2379" s="1">
        <f>HYPERLINK("http://www.twitter.com/NathanBLawrence/status/981307819818352646", "981307819818352646")</f>
        <v/>
      </c>
      <c r="B2379" s="2" t="n">
        <v>43193.96516203704</v>
      </c>
      <c r="C2379" t="n">
        <v>0</v>
      </c>
      <c r="D2379" t="n">
        <v>0</v>
      </c>
      <c r="E2379" t="s">
        <v>2383</v>
      </c>
      <c r="F2379" t="s"/>
      <c r="G2379" t="s"/>
      <c r="H2379" t="s"/>
      <c r="I2379" t="s"/>
      <c r="J2379" t="n">
        <v>0.6369</v>
      </c>
      <c r="K2379" t="n">
        <v>0</v>
      </c>
      <c r="L2379" t="n">
        <v>0.755</v>
      </c>
      <c r="M2379" t="n">
        <v>0.245</v>
      </c>
    </row>
    <row r="2380" spans="1:13">
      <c r="A2380" s="1">
        <f>HYPERLINK("http://www.twitter.com/NathanBLawrence/status/981303827902197762", "981303827902197762")</f>
        <v/>
      </c>
      <c r="B2380" s="2" t="n">
        <v>43193.95414351852</v>
      </c>
      <c r="C2380" t="n">
        <v>1</v>
      </c>
      <c r="D2380" t="n">
        <v>0</v>
      </c>
      <c r="E2380" t="s">
        <v>2384</v>
      </c>
      <c r="F2380" t="s"/>
      <c r="G2380" t="s"/>
      <c r="H2380" t="s"/>
      <c r="I2380" t="s"/>
      <c r="J2380" t="n">
        <v>-0.2296</v>
      </c>
      <c r="K2380" t="n">
        <v>0.157</v>
      </c>
      <c r="L2380" t="n">
        <v>0.707</v>
      </c>
      <c r="M2380" t="n">
        <v>0.136</v>
      </c>
    </row>
    <row r="2381" spans="1:13">
      <c r="A2381" s="1">
        <f>HYPERLINK("http://www.twitter.com/NathanBLawrence/status/981302632739373057", "981302632739373057")</f>
        <v/>
      </c>
      <c r="B2381" s="2" t="n">
        <v>43193.95085648148</v>
      </c>
      <c r="C2381" t="n">
        <v>0</v>
      </c>
      <c r="D2381" t="n">
        <v>0</v>
      </c>
      <c r="E2381" t="s">
        <v>2385</v>
      </c>
      <c r="F2381" t="s"/>
      <c r="G2381" t="s"/>
      <c r="H2381" t="s"/>
      <c r="I2381" t="s"/>
      <c r="J2381" t="n">
        <v>-0.1585</v>
      </c>
      <c r="K2381" t="n">
        <v>0.171</v>
      </c>
      <c r="L2381" t="n">
        <v>0.674</v>
      </c>
      <c r="M2381" t="n">
        <v>0.155</v>
      </c>
    </row>
    <row r="2382" spans="1:13">
      <c r="A2382" s="1">
        <f>HYPERLINK("http://www.twitter.com/NathanBLawrence/status/981301629734604800", "981301629734604800")</f>
        <v/>
      </c>
      <c r="B2382" s="2" t="n">
        <v>43193.9480787037</v>
      </c>
      <c r="C2382" t="n">
        <v>0</v>
      </c>
      <c r="D2382" t="n">
        <v>0</v>
      </c>
      <c r="E2382" t="s">
        <v>2386</v>
      </c>
      <c r="F2382" t="s"/>
      <c r="G2382" t="s"/>
      <c r="H2382" t="s"/>
      <c r="I2382" t="s"/>
      <c r="J2382" t="n">
        <v>-0.1585</v>
      </c>
      <c r="K2382" t="n">
        <v>0.176</v>
      </c>
      <c r="L2382" t="n">
        <v>0.665</v>
      </c>
      <c r="M2382" t="n">
        <v>0.159</v>
      </c>
    </row>
    <row r="2383" spans="1:13">
      <c r="A2383" s="1">
        <f>HYPERLINK("http://www.twitter.com/NathanBLawrence/status/981300308482707456", "981300308482707456")</f>
        <v/>
      </c>
      <c r="B2383" s="2" t="n">
        <v>43193.94443287037</v>
      </c>
      <c r="C2383" t="n">
        <v>0</v>
      </c>
      <c r="D2383" t="n">
        <v>0</v>
      </c>
      <c r="E2383" t="s">
        <v>2387</v>
      </c>
      <c r="F2383" t="s"/>
      <c r="G2383" t="s"/>
      <c r="H2383" t="s"/>
      <c r="I2383" t="s"/>
      <c r="J2383" t="n">
        <v>-0.1585</v>
      </c>
      <c r="K2383" t="n">
        <v>0.176</v>
      </c>
      <c r="L2383" t="n">
        <v>0.665</v>
      </c>
      <c r="M2383" t="n">
        <v>0.159</v>
      </c>
    </row>
    <row r="2384" spans="1:13">
      <c r="A2384" s="1">
        <f>HYPERLINK("http://www.twitter.com/NathanBLawrence/status/981293482588475393", "981293482588475393")</f>
        <v/>
      </c>
      <c r="B2384" s="2" t="n">
        <v>43193.92560185185</v>
      </c>
      <c r="C2384" t="n">
        <v>1</v>
      </c>
      <c r="D2384" t="n">
        <v>0</v>
      </c>
      <c r="E2384" t="s">
        <v>2388</v>
      </c>
      <c r="F2384" t="s"/>
      <c r="G2384" t="s"/>
      <c r="H2384" t="s"/>
      <c r="I2384" t="s"/>
      <c r="J2384" t="n">
        <v>-0.1585</v>
      </c>
      <c r="K2384" t="n">
        <v>0.167</v>
      </c>
      <c r="L2384" t="n">
        <v>0.6820000000000001</v>
      </c>
      <c r="M2384" t="n">
        <v>0.151</v>
      </c>
    </row>
    <row r="2385" spans="1:13">
      <c r="A2385" s="1">
        <f>HYPERLINK("http://www.twitter.com/NathanBLawrence/status/981277940347473922", "981277940347473922")</f>
        <v/>
      </c>
      <c r="B2385" s="2" t="n">
        <v>43193.88270833333</v>
      </c>
      <c r="C2385" t="n">
        <v>3</v>
      </c>
      <c r="D2385" t="n">
        <v>1</v>
      </c>
      <c r="E2385" t="s">
        <v>2389</v>
      </c>
      <c r="F2385" t="s"/>
      <c r="G2385" t="s"/>
      <c r="H2385" t="s"/>
      <c r="I2385" t="s"/>
      <c r="J2385" t="n">
        <v>0.4019</v>
      </c>
      <c r="K2385" t="n">
        <v>0</v>
      </c>
      <c r="L2385" t="n">
        <v>0.6899999999999999</v>
      </c>
      <c r="M2385" t="n">
        <v>0.31</v>
      </c>
    </row>
    <row r="2386" spans="1:13">
      <c r="A2386" s="1">
        <f>HYPERLINK("http://www.twitter.com/NathanBLawrence/status/981271471296311297", "981271471296311297")</f>
        <v/>
      </c>
      <c r="B2386" s="2" t="n">
        <v>43193.86486111111</v>
      </c>
      <c r="C2386" t="n">
        <v>8</v>
      </c>
      <c r="D2386" t="n">
        <v>6</v>
      </c>
      <c r="E2386" t="s">
        <v>2390</v>
      </c>
      <c r="F2386" t="s"/>
      <c r="G2386" t="s"/>
      <c r="H2386" t="s"/>
      <c r="I2386" t="s"/>
      <c r="J2386" t="n">
        <v>-0.1585</v>
      </c>
      <c r="K2386" t="n">
        <v>0.191</v>
      </c>
      <c r="L2386" t="n">
        <v>0.636</v>
      </c>
      <c r="M2386" t="n">
        <v>0.173</v>
      </c>
    </row>
    <row r="2387" spans="1:13">
      <c r="A2387" s="1">
        <f>HYPERLINK("http://www.twitter.com/NathanBLawrence/status/981235262322769921", "981235262322769921")</f>
        <v/>
      </c>
      <c r="B2387" s="2" t="n">
        <v>43193.76494212963</v>
      </c>
      <c r="C2387" t="n">
        <v>4</v>
      </c>
      <c r="D2387" t="n">
        <v>1</v>
      </c>
      <c r="E2387" t="s">
        <v>2391</v>
      </c>
      <c r="F2387" t="s"/>
      <c r="G2387" t="s"/>
      <c r="H2387" t="s"/>
      <c r="I2387" t="s"/>
      <c r="J2387" t="n">
        <v>0</v>
      </c>
      <c r="K2387" t="n">
        <v>0</v>
      </c>
      <c r="L2387" t="n">
        <v>1</v>
      </c>
      <c r="M2387" t="n">
        <v>0</v>
      </c>
    </row>
    <row r="2388" spans="1:13">
      <c r="A2388" s="1">
        <f>HYPERLINK("http://www.twitter.com/NathanBLawrence/status/981234566924029960", "981234566924029960")</f>
        <v/>
      </c>
      <c r="B2388" s="2" t="n">
        <v>43193.76302083334</v>
      </c>
      <c r="C2388" t="n">
        <v>5</v>
      </c>
      <c r="D2388" t="n">
        <v>3</v>
      </c>
      <c r="E2388" t="s">
        <v>2392</v>
      </c>
      <c r="F2388" t="s"/>
      <c r="G2388" t="s"/>
      <c r="H2388" t="s"/>
      <c r="I2388" t="s"/>
      <c r="J2388" t="n">
        <v>0</v>
      </c>
      <c r="K2388" t="n">
        <v>0</v>
      </c>
      <c r="L2388" t="n">
        <v>1</v>
      </c>
      <c r="M2388" t="n">
        <v>0</v>
      </c>
    </row>
    <row r="2389" spans="1:13">
      <c r="A2389" s="1">
        <f>HYPERLINK("http://www.twitter.com/NathanBLawrence/status/981164366702743553", "981164366702743553")</f>
        <v/>
      </c>
      <c r="B2389" s="2" t="n">
        <v>43193.56930555555</v>
      </c>
      <c r="C2389" t="n">
        <v>2</v>
      </c>
      <c r="D2389" t="n">
        <v>0</v>
      </c>
      <c r="E2389" t="s">
        <v>2393</v>
      </c>
      <c r="F2389" t="s"/>
      <c r="G2389" t="s"/>
      <c r="H2389" t="s"/>
      <c r="I2389" t="s"/>
      <c r="J2389" t="n">
        <v>0.3182</v>
      </c>
      <c r="K2389" t="n">
        <v>0</v>
      </c>
      <c r="L2389" t="n">
        <v>0.927</v>
      </c>
      <c r="M2389" t="n">
        <v>0.073</v>
      </c>
    </row>
    <row r="2390" spans="1:13">
      <c r="A2390" s="1">
        <f>HYPERLINK("http://www.twitter.com/NathanBLawrence/status/981012231683964928", "981012231683964928")</f>
        <v/>
      </c>
      <c r="B2390" s="2" t="n">
        <v>43193.14950231482</v>
      </c>
      <c r="C2390" t="n">
        <v>7</v>
      </c>
      <c r="D2390" t="n">
        <v>2</v>
      </c>
      <c r="E2390" t="s">
        <v>2394</v>
      </c>
      <c r="F2390" t="s"/>
      <c r="G2390" t="s"/>
      <c r="H2390" t="s"/>
      <c r="I2390" t="s"/>
      <c r="J2390" t="n">
        <v>-0.4215</v>
      </c>
      <c r="K2390" t="n">
        <v>0.078</v>
      </c>
      <c r="L2390" t="n">
        <v>0.922</v>
      </c>
      <c r="M2390" t="n">
        <v>0</v>
      </c>
    </row>
    <row r="2391" spans="1:13">
      <c r="A2391" s="1">
        <f>HYPERLINK("http://www.twitter.com/NathanBLawrence/status/980994152975527937", "980994152975527937")</f>
        <v/>
      </c>
      <c r="B2391" s="2" t="n">
        <v>43193.09960648148</v>
      </c>
      <c r="C2391" t="n">
        <v>1</v>
      </c>
      <c r="D2391" t="n">
        <v>0</v>
      </c>
      <c r="E2391" t="s">
        <v>2395</v>
      </c>
      <c r="F2391" t="s"/>
      <c r="G2391" t="s"/>
      <c r="H2391" t="s"/>
      <c r="I2391" t="s"/>
      <c r="J2391" t="n">
        <v>0.296</v>
      </c>
      <c r="K2391" t="n">
        <v>0</v>
      </c>
      <c r="L2391" t="n">
        <v>0.845</v>
      </c>
      <c r="M2391" t="n">
        <v>0.155</v>
      </c>
    </row>
    <row r="2392" spans="1:13">
      <c r="A2392" s="1">
        <f>HYPERLINK("http://www.twitter.com/NathanBLawrence/status/980991412408930305", "980991412408930305")</f>
        <v/>
      </c>
      <c r="B2392" s="2" t="n">
        <v>43193.09204861111</v>
      </c>
      <c r="C2392" t="n">
        <v>2</v>
      </c>
      <c r="D2392" t="n">
        <v>0</v>
      </c>
      <c r="E2392" t="s">
        <v>2396</v>
      </c>
      <c r="F2392" t="s"/>
      <c r="G2392" t="s"/>
      <c r="H2392" t="s"/>
      <c r="I2392" t="s"/>
      <c r="J2392" t="n">
        <v>0.3612</v>
      </c>
      <c r="K2392" t="n">
        <v>0</v>
      </c>
      <c r="L2392" t="n">
        <v>0.828</v>
      </c>
      <c r="M2392" t="n">
        <v>0.172</v>
      </c>
    </row>
    <row r="2393" spans="1:13">
      <c r="A2393" s="1">
        <f>HYPERLINK("http://www.twitter.com/NathanBLawrence/status/980970402414583808", "980970402414583808")</f>
        <v/>
      </c>
      <c r="B2393" s="2" t="n">
        <v>43193.03407407407</v>
      </c>
      <c r="C2393" t="n">
        <v>1</v>
      </c>
      <c r="D2393" t="n">
        <v>3</v>
      </c>
      <c r="E2393" t="s">
        <v>2397</v>
      </c>
      <c r="F2393" t="s"/>
      <c r="G2393" t="s"/>
      <c r="H2393" t="s"/>
      <c r="I2393" t="s"/>
      <c r="J2393" t="n">
        <v>0.0534</v>
      </c>
      <c r="K2393" t="n">
        <v>0.11</v>
      </c>
      <c r="L2393" t="n">
        <v>0.822</v>
      </c>
      <c r="M2393" t="n">
        <v>0.068</v>
      </c>
    </row>
    <row r="2394" spans="1:13">
      <c r="A2394" s="1">
        <f>HYPERLINK("http://www.twitter.com/NathanBLawrence/status/980949684704464896", "980949684704464896")</f>
        <v/>
      </c>
      <c r="B2394" s="2" t="n">
        <v>43192.97689814815</v>
      </c>
      <c r="C2394" t="n">
        <v>8</v>
      </c>
      <c r="D2394" t="n">
        <v>2</v>
      </c>
      <c r="E2394" t="s">
        <v>2398</v>
      </c>
      <c r="F2394" t="s"/>
      <c r="G2394" t="s"/>
      <c r="H2394" t="s"/>
      <c r="I2394" t="s"/>
      <c r="J2394" t="n">
        <v>0.5562</v>
      </c>
      <c r="K2394" t="n">
        <v>0</v>
      </c>
      <c r="L2394" t="n">
        <v>0.879</v>
      </c>
      <c r="M2394" t="n">
        <v>0.121</v>
      </c>
    </row>
    <row r="2395" spans="1:13">
      <c r="A2395" s="1">
        <f>HYPERLINK("http://www.twitter.com/NathanBLawrence/status/980936361699106816", "980936361699106816")</f>
        <v/>
      </c>
      <c r="B2395" s="2" t="n">
        <v>43192.94013888889</v>
      </c>
      <c r="C2395" t="n">
        <v>5</v>
      </c>
      <c r="D2395" t="n">
        <v>1</v>
      </c>
      <c r="E2395" t="s">
        <v>2398</v>
      </c>
      <c r="F2395" t="s"/>
      <c r="G2395" t="s"/>
      <c r="H2395" t="s"/>
      <c r="I2395" t="s"/>
      <c r="J2395" t="n">
        <v>0.5562</v>
      </c>
      <c r="K2395" t="n">
        <v>0</v>
      </c>
      <c r="L2395" t="n">
        <v>0.879</v>
      </c>
      <c r="M2395" t="n">
        <v>0.121</v>
      </c>
    </row>
    <row r="2396" spans="1:13">
      <c r="A2396" s="1">
        <f>HYPERLINK("http://www.twitter.com/NathanBLawrence/status/980905701248851968", "980905701248851968")</f>
        <v/>
      </c>
      <c r="B2396" s="2" t="n">
        <v>43192.8555324074</v>
      </c>
      <c r="C2396" t="n">
        <v>2</v>
      </c>
      <c r="D2396" t="n">
        <v>1</v>
      </c>
      <c r="E2396" t="s">
        <v>2399</v>
      </c>
      <c r="F2396">
        <f>HYPERLINK("http://pbs.twimg.com/media/DZzgfu4WkAA5VOI.jpg", "http://pbs.twimg.com/media/DZzgfu4WkAA5VOI.jpg")</f>
        <v/>
      </c>
      <c r="G2396" t="s"/>
      <c r="H2396" t="s"/>
      <c r="I2396" t="s"/>
      <c r="J2396" t="n">
        <v>-0.4699</v>
      </c>
      <c r="K2396" t="n">
        <v>0.172</v>
      </c>
      <c r="L2396" t="n">
        <v>0.747</v>
      </c>
      <c r="M2396" t="n">
        <v>0.081</v>
      </c>
    </row>
    <row r="2397" spans="1:13">
      <c r="A2397" s="1">
        <f>HYPERLINK("http://www.twitter.com/NathanBLawrence/status/980897635539341313", "980897635539341313")</f>
        <v/>
      </c>
      <c r="B2397" s="2" t="n">
        <v>43192.83327546297</v>
      </c>
      <c r="C2397" t="n">
        <v>2</v>
      </c>
      <c r="D2397" t="n">
        <v>1</v>
      </c>
      <c r="E2397" t="s">
        <v>2400</v>
      </c>
      <c r="F2397" t="s"/>
      <c r="G2397" t="s"/>
      <c r="H2397" t="s"/>
      <c r="I2397" t="s"/>
      <c r="J2397" t="n">
        <v>0.3182</v>
      </c>
      <c r="K2397" t="n">
        <v>0.08699999999999999</v>
      </c>
      <c r="L2397" t="n">
        <v>0.745</v>
      </c>
      <c r="M2397" t="n">
        <v>0.168</v>
      </c>
    </row>
    <row r="2398" spans="1:13">
      <c r="A2398" s="1">
        <f>HYPERLINK("http://www.twitter.com/NathanBLawrence/status/980865964018421761", "980865964018421761")</f>
        <v/>
      </c>
      <c r="B2398" s="2" t="n">
        <v>43192.74587962963</v>
      </c>
      <c r="C2398" t="n">
        <v>1</v>
      </c>
      <c r="D2398" t="n">
        <v>0</v>
      </c>
      <c r="E2398" t="s">
        <v>2401</v>
      </c>
      <c r="F2398" t="s"/>
      <c r="G2398" t="s"/>
      <c r="H2398" t="s"/>
      <c r="I2398" t="s"/>
      <c r="J2398" t="n">
        <v>0</v>
      </c>
      <c r="K2398" t="n">
        <v>0</v>
      </c>
      <c r="L2398" t="n">
        <v>1</v>
      </c>
      <c r="M2398" t="n">
        <v>0</v>
      </c>
    </row>
    <row r="2399" spans="1:13">
      <c r="A2399" s="1">
        <f>HYPERLINK("http://www.twitter.com/NathanBLawrence/status/980865493694328832", "980865493694328832")</f>
        <v/>
      </c>
      <c r="B2399" s="2" t="n">
        <v>43192.74457175926</v>
      </c>
      <c r="C2399" t="n">
        <v>4</v>
      </c>
      <c r="D2399" t="n">
        <v>1</v>
      </c>
      <c r="E2399" t="s">
        <v>2402</v>
      </c>
      <c r="F2399" t="s"/>
      <c r="G2399" t="s"/>
      <c r="H2399" t="s"/>
      <c r="I2399" t="s"/>
      <c r="J2399" t="n">
        <v>-0.7997</v>
      </c>
      <c r="K2399" t="n">
        <v>0.219</v>
      </c>
      <c r="L2399" t="n">
        <v>0.724</v>
      </c>
      <c r="M2399" t="n">
        <v>0.057</v>
      </c>
    </row>
    <row r="2400" spans="1:13">
      <c r="A2400" s="1">
        <f>HYPERLINK("http://www.twitter.com/NathanBLawrence/status/980865145999101952", "980865145999101952")</f>
        <v/>
      </c>
      <c r="B2400" s="2" t="n">
        <v>43192.74362268519</v>
      </c>
      <c r="C2400" t="n">
        <v>1</v>
      </c>
      <c r="D2400" t="n">
        <v>0</v>
      </c>
      <c r="E2400" t="s">
        <v>2403</v>
      </c>
      <c r="F2400" t="s"/>
      <c r="G2400" t="s"/>
      <c r="H2400" t="s"/>
      <c r="I2400" t="s"/>
      <c r="J2400" t="n">
        <v>0.368</v>
      </c>
      <c r="K2400" t="n">
        <v>0</v>
      </c>
      <c r="L2400" t="n">
        <v>0.826</v>
      </c>
      <c r="M2400" t="n">
        <v>0.174</v>
      </c>
    </row>
    <row r="2401" spans="1:13">
      <c r="A2401" s="1">
        <f>HYPERLINK("http://www.twitter.com/NathanBLawrence/status/980863714340626432", "980863714340626432")</f>
        <v/>
      </c>
      <c r="B2401" s="2" t="n">
        <v>43192.73966435185</v>
      </c>
      <c r="C2401" t="n">
        <v>19</v>
      </c>
      <c r="D2401" t="n">
        <v>5</v>
      </c>
      <c r="E2401" t="s">
        <v>2404</v>
      </c>
      <c r="F2401" t="s"/>
      <c r="G2401" t="s"/>
      <c r="H2401" t="s"/>
      <c r="I2401" t="s"/>
      <c r="J2401" t="n">
        <v>-0.7096</v>
      </c>
      <c r="K2401" t="n">
        <v>0.196</v>
      </c>
      <c r="L2401" t="n">
        <v>0.731</v>
      </c>
      <c r="M2401" t="n">
        <v>0.073</v>
      </c>
    </row>
    <row r="2402" spans="1:13">
      <c r="A2402" s="1">
        <f>HYPERLINK("http://www.twitter.com/NathanBLawrence/status/980861874014183430", "980861874014183430")</f>
        <v/>
      </c>
      <c r="B2402" s="2" t="n">
        <v>43192.73458333333</v>
      </c>
      <c r="C2402" t="n">
        <v>1</v>
      </c>
      <c r="D2402" t="n">
        <v>0</v>
      </c>
      <c r="E2402" t="s">
        <v>2405</v>
      </c>
      <c r="F2402" t="s"/>
      <c r="G2402" t="s"/>
      <c r="H2402" t="s"/>
      <c r="I2402" t="s"/>
      <c r="J2402" t="n">
        <v>0.368</v>
      </c>
      <c r="K2402" t="n">
        <v>0</v>
      </c>
      <c r="L2402" t="n">
        <v>0.837</v>
      </c>
      <c r="M2402" t="n">
        <v>0.163</v>
      </c>
    </row>
    <row r="2403" spans="1:13">
      <c r="A2403" s="1">
        <f>HYPERLINK("http://www.twitter.com/NathanBLawrence/status/980205596677898240", "980205596677898240")</f>
        <v/>
      </c>
      <c r="B2403" s="2" t="n">
        <v>43190.92361111111</v>
      </c>
      <c r="C2403" t="n">
        <v>1</v>
      </c>
      <c r="D2403" t="n">
        <v>0</v>
      </c>
      <c r="E2403" t="s">
        <v>2406</v>
      </c>
      <c r="F2403" t="s"/>
      <c r="G2403" t="s"/>
      <c r="H2403" t="s"/>
      <c r="I2403" t="s"/>
      <c r="J2403" t="n">
        <v>0.2363</v>
      </c>
      <c r="K2403" t="n">
        <v>0</v>
      </c>
      <c r="L2403" t="n">
        <v>0.885</v>
      </c>
      <c r="M2403" t="n">
        <v>0.115</v>
      </c>
    </row>
    <row r="2404" spans="1:13">
      <c r="A2404" s="1">
        <f>HYPERLINK("http://www.twitter.com/NathanBLawrence/status/980159255998328832", "980159255998328832")</f>
        <v/>
      </c>
      <c r="B2404" s="2" t="n">
        <v>43190.79572916667</v>
      </c>
      <c r="C2404" t="n">
        <v>2</v>
      </c>
      <c r="D2404" t="n">
        <v>0</v>
      </c>
      <c r="E2404" t="s">
        <v>2407</v>
      </c>
      <c r="F2404" t="s"/>
      <c r="G2404" t="s"/>
      <c r="H2404" t="s"/>
      <c r="I2404" t="s"/>
      <c r="J2404" t="n">
        <v>0.5627</v>
      </c>
      <c r="K2404" t="n">
        <v>0.039</v>
      </c>
      <c r="L2404" t="n">
        <v>0.833</v>
      </c>
      <c r="M2404" t="n">
        <v>0.129</v>
      </c>
    </row>
    <row r="2405" spans="1:13">
      <c r="A2405" s="1">
        <f>HYPERLINK("http://www.twitter.com/NathanBLawrence/status/980151181937954817", "980151181937954817")</f>
        <v/>
      </c>
      <c r="B2405" s="2" t="n">
        <v>43190.77344907408</v>
      </c>
      <c r="C2405" t="n">
        <v>0</v>
      </c>
      <c r="D2405" t="n">
        <v>0</v>
      </c>
      <c r="E2405" t="s">
        <v>2408</v>
      </c>
      <c r="F2405" t="s"/>
      <c r="G2405" t="s"/>
      <c r="H2405" t="s"/>
      <c r="I2405" t="s"/>
      <c r="J2405" t="n">
        <v>0</v>
      </c>
      <c r="K2405" t="n">
        <v>0</v>
      </c>
      <c r="L2405" t="n">
        <v>1</v>
      </c>
      <c r="M2405" t="n">
        <v>0</v>
      </c>
    </row>
    <row r="2406" spans="1:13">
      <c r="A2406" s="1">
        <f>HYPERLINK("http://www.twitter.com/NathanBLawrence/status/979821455188942849", "979821455188942849")</f>
        <v/>
      </c>
      <c r="B2406" s="2" t="n">
        <v>43189.86357638889</v>
      </c>
      <c r="C2406" t="n">
        <v>0</v>
      </c>
      <c r="D2406" t="n">
        <v>0</v>
      </c>
      <c r="E2406" t="s">
        <v>2409</v>
      </c>
      <c r="F2406" t="s"/>
      <c r="G2406" t="s"/>
      <c r="H2406" t="s"/>
      <c r="I2406" t="s"/>
      <c r="J2406" t="n">
        <v>0.6966</v>
      </c>
      <c r="K2406" t="n">
        <v>0</v>
      </c>
      <c r="L2406" t="n">
        <v>0.806</v>
      </c>
      <c r="M2406" t="n">
        <v>0.194</v>
      </c>
    </row>
    <row r="2407" spans="1:13">
      <c r="A2407" s="1">
        <f>HYPERLINK("http://www.twitter.com/NathanBLawrence/status/979556867562201088", "979556867562201088")</f>
        <v/>
      </c>
      <c r="B2407" s="2" t="n">
        <v>43189.13346064815</v>
      </c>
      <c r="C2407" t="n">
        <v>3</v>
      </c>
      <c r="D2407" t="n">
        <v>1</v>
      </c>
      <c r="E2407" t="s">
        <v>2410</v>
      </c>
      <c r="F2407" t="s"/>
      <c r="G2407" t="s"/>
      <c r="H2407" t="s"/>
      <c r="I2407" t="s"/>
      <c r="J2407" t="n">
        <v>0.1027</v>
      </c>
      <c r="K2407" t="n">
        <v>0.052</v>
      </c>
      <c r="L2407" t="n">
        <v>0.884</v>
      </c>
      <c r="M2407" t="n">
        <v>0.064</v>
      </c>
    </row>
    <row r="2408" spans="1:13">
      <c r="A2408" s="1">
        <f>HYPERLINK("http://www.twitter.com/NathanBLawrence/status/979553637428023296", "979553637428023296")</f>
        <v/>
      </c>
      <c r="B2408" s="2" t="n">
        <v>43189.12454861111</v>
      </c>
      <c r="C2408" t="n">
        <v>2</v>
      </c>
      <c r="D2408" t="n">
        <v>0</v>
      </c>
      <c r="E2408" t="s">
        <v>2411</v>
      </c>
      <c r="F2408" t="s"/>
      <c r="G2408" t="s"/>
      <c r="H2408" t="s"/>
      <c r="I2408" t="s"/>
      <c r="J2408" t="n">
        <v>0</v>
      </c>
      <c r="K2408" t="n">
        <v>0.104</v>
      </c>
      <c r="L2408" t="n">
        <v>0.792</v>
      </c>
      <c r="M2408" t="n">
        <v>0.104</v>
      </c>
    </row>
    <row r="2409" spans="1:13">
      <c r="A2409" s="1">
        <f>HYPERLINK("http://www.twitter.com/NathanBLawrence/status/979486045501837312", "979486045501837312")</f>
        <v/>
      </c>
      <c r="B2409" s="2" t="n">
        <v>43188.93802083333</v>
      </c>
      <c r="C2409" t="n">
        <v>1</v>
      </c>
      <c r="D2409" t="n">
        <v>1</v>
      </c>
      <c r="E2409" t="s">
        <v>2412</v>
      </c>
      <c r="F2409" t="s"/>
      <c r="G2409" t="s"/>
      <c r="H2409" t="s"/>
      <c r="I2409" t="s"/>
      <c r="J2409" t="n">
        <v>0.6705</v>
      </c>
      <c r="K2409" t="n">
        <v>0.08</v>
      </c>
      <c r="L2409" t="n">
        <v>0.709</v>
      </c>
      <c r="M2409" t="n">
        <v>0.21</v>
      </c>
    </row>
    <row r="2410" spans="1:13">
      <c r="A2410" s="1">
        <f>HYPERLINK("http://www.twitter.com/NathanBLawrence/status/979485570111037440", "979485570111037440")</f>
        <v/>
      </c>
      <c r="B2410" s="2" t="n">
        <v>43188.93671296296</v>
      </c>
      <c r="C2410" t="n">
        <v>1</v>
      </c>
      <c r="D2410" t="n">
        <v>0</v>
      </c>
      <c r="E2410" t="s">
        <v>2413</v>
      </c>
      <c r="F2410" t="s"/>
      <c r="G2410" t="s"/>
      <c r="H2410" t="s"/>
      <c r="I2410" t="s"/>
      <c r="J2410" t="n">
        <v>0</v>
      </c>
      <c r="K2410" t="n">
        <v>0</v>
      </c>
      <c r="L2410" t="n">
        <v>1</v>
      </c>
      <c r="M2410" t="n">
        <v>0</v>
      </c>
    </row>
    <row r="2411" spans="1:13">
      <c r="A2411" s="1">
        <f>HYPERLINK("http://www.twitter.com/NathanBLawrence/status/979449715770249217", "979449715770249217")</f>
        <v/>
      </c>
      <c r="B2411" s="2" t="n">
        <v>43188.83777777778</v>
      </c>
      <c r="C2411" t="n">
        <v>1</v>
      </c>
      <c r="D2411" t="n">
        <v>0</v>
      </c>
      <c r="E2411" t="s">
        <v>2414</v>
      </c>
      <c r="F2411" t="s"/>
      <c r="G2411" t="s"/>
      <c r="H2411" t="s"/>
      <c r="I2411" t="s"/>
      <c r="J2411" t="n">
        <v>0.9325</v>
      </c>
      <c r="K2411" t="n">
        <v>0</v>
      </c>
      <c r="L2411" t="n">
        <v>0.483</v>
      </c>
      <c r="M2411" t="n">
        <v>0.517</v>
      </c>
    </row>
    <row r="2412" spans="1:13">
      <c r="A2412" s="1">
        <f>HYPERLINK("http://www.twitter.com/NathanBLawrence/status/979446921856278528", "979446921856278528")</f>
        <v/>
      </c>
      <c r="B2412" s="2" t="n">
        <v>43188.83006944445</v>
      </c>
      <c r="C2412" t="n">
        <v>7</v>
      </c>
      <c r="D2412" t="n">
        <v>0</v>
      </c>
      <c r="E2412" t="s">
        <v>2415</v>
      </c>
      <c r="F2412" t="s"/>
      <c r="G2412" t="s"/>
      <c r="H2412" t="s"/>
      <c r="I2412" t="s"/>
      <c r="J2412" t="n">
        <v>0.5562</v>
      </c>
      <c r="K2412" t="n">
        <v>0</v>
      </c>
      <c r="L2412" t="n">
        <v>0.784</v>
      </c>
      <c r="M2412" t="n">
        <v>0.216</v>
      </c>
    </row>
    <row r="2413" spans="1:13">
      <c r="A2413" s="1">
        <f>HYPERLINK("http://www.twitter.com/NathanBLawrence/status/979438903722696705", "979438903722696705")</f>
        <v/>
      </c>
      <c r="B2413" s="2" t="n">
        <v>43188.80793981482</v>
      </c>
      <c r="C2413" t="n">
        <v>10</v>
      </c>
      <c r="D2413" t="n">
        <v>11</v>
      </c>
      <c r="E2413" t="s">
        <v>2416</v>
      </c>
      <c r="F2413" t="s"/>
      <c r="G2413" t="s"/>
      <c r="H2413" t="s"/>
      <c r="I2413" t="s"/>
      <c r="J2413" t="n">
        <v>0.7088</v>
      </c>
      <c r="K2413" t="n">
        <v>0</v>
      </c>
      <c r="L2413" t="n">
        <v>0.763</v>
      </c>
      <c r="M2413" t="n">
        <v>0.237</v>
      </c>
    </row>
    <row r="2414" spans="1:13">
      <c r="A2414" s="1">
        <f>HYPERLINK("http://www.twitter.com/NathanBLawrence/status/979421345992855552", "979421345992855552")</f>
        <v/>
      </c>
      <c r="B2414" s="2" t="n">
        <v>43188.75949074074</v>
      </c>
      <c r="C2414" t="n">
        <v>1</v>
      </c>
      <c r="D2414" t="n">
        <v>1</v>
      </c>
      <c r="E2414" t="s">
        <v>2417</v>
      </c>
      <c r="F2414" t="s"/>
      <c r="G2414" t="s"/>
      <c r="H2414" t="s"/>
      <c r="I2414" t="s"/>
      <c r="J2414" t="n">
        <v>0.3818</v>
      </c>
      <c r="K2414" t="n">
        <v>0</v>
      </c>
      <c r="L2414" t="n">
        <v>0.906</v>
      </c>
      <c r="M2414" t="n">
        <v>0.094</v>
      </c>
    </row>
    <row r="2415" spans="1:13">
      <c r="A2415" s="1">
        <f>HYPERLINK("http://www.twitter.com/NathanBLawrence/status/979192309408550913", "979192309408550913")</f>
        <v/>
      </c>
      <c r="B2415" s="2" t="n">
        <v>43188.12746527778</v>
      </c>
      <c r="C2415" t="n">
        <v>0</v>
      </c>
      <c r="D2415" t="n">
        <v>0</v>
      </c>
      <c r="E2415" t="s">
        <v>2418</v>
      </c>
      <c r="F2415" t="s"/>
      <c r="G2415" t="s"/>
      <c r="H2415" t="s"/>
      <c r="I2415" t="s"/>
      <c r="J2415" t="n">
        <v>-0.296</v>
      </c>
      <c r="K2415" t="n">
        <v>0.07099999999999999</v>
      </c>
      <c r="L2415" t="n">
        <v>0.929</v>
      </c>
      <c r="M2415" t="n">
        <v>0</v>
      </c>
    </row>
    <row r="2416" spans="1:13">
      <c r="A2416" s="1">
        <f>HYPERLINK("http://www.twitter.com/NathanBLawrence/status/979191380273659904", "979191380273659904")</f>
        <v/>
      </c>
      <c r="B2416" s="2" t="n">
        <v>43188.12490740741</v>
      </c>
      <c r="C2416" t="n">
        <v>0</v>
      </c>
      <c r="D2416" t="n">
        <v>0</v>
      </c>
      <c r="E2416" t="s">
        <v>2419</v>
      </c>
      <c r="F2416" t="s"/>
      <c r="G2416" t="s"/>
      <c r="H2416" t="s"/>
      <c r="I2416" t="s"/>
      <c r="J2416" t="n">
        <v>-0.34</v>
      </c>
      <c r="K2416" t="n">
        <v>0.279</v>
      </c>
      <c r="L2416" t="n">
        <v>0.496</v>
      </c>
      <c r="M2416" t="n">
        <v>0.225</v>
      </c>
    </row>
    <row r="2417" spans="1:13">
      <c r="A2417" s="1">
        <f>HYPERLINK("http://www.twitter.com/NathanBLawrence/status/979190288307638279", "979190288307638279")</f>
        <v/>
      </c>
      <c r="B2417" s="2" t="n">
        <v>43188.12188657407</v>
      </c>
      <c r="C2417" t="n">
        <v>0</v>
      </c>
      <c r="D2417" t="n">
        <v>0</v>
      </c>
      <c r="E2417" t="s">
        <v>2420</v>
      </c>
      <c r="F2417" t="s"/>
      <c r="G2417" t="s"/>
      <c r="H2417" t="s"/>
      <c r="I2417" t="s"/>
      <c r="J2417" t="n">
        <v>0</v>
      </c>
      <c r="K2417" t="n">
        <v>0</v>
      </c>
      <c r="L2417" t="n">
        <v>1</v>
      </c>
      <c r="M2417" t="n">
        <v>0</v>
      </c>
    </row>
    <row r="2418" spans="1:13">
      <c r="A2418" s="1">
        <f>HYPERLINK("http://www.twitter.com/NathanBLawrence/status/979188646518644736", "979188646518644736")</f>
        <v/>
      </c>
      <c r="B2418" s="2" t="n">
        <v>43188.11736111111</v>
      </c>
      <c r="C2418" t="n">
        <v>1</v>
      </c>
      <c r="D2418" t="n">
        <v>0</v>
      </c>
      <c r="E2418" t="s">
        <v>2421</v>
      </c>
      <c r="F2418" t="s"/>
      <c r="G2418" t="s"/>
      <c r="H2418" t="s"/>
      <c r="I2418" t="s"/>
      <c r="J2418" t="n">
        <v>-0.6142</v>
      </c>
      <c r="K2418" t="n">
        <v>0.217</v>
      </c>
      <c r="L2418" t="n">
        <v>0.7</v>
      </c>
      <c r="M2418" t="n">
        <v>0.083</v>
      </c>
    </row>
    <row r="2419" spans="1:13">
      <c r="A2419" s="1">
        <f>HYPERLINK("http://www.twitter.com/NathanBLawrence/status/979184502521192448", "979184502521192448")</f>
        <v/>
      </c>
      <c r="B2419" s="2" t="n">
        <v>43188.10592592593</v>
      </c>
      <c r="C2419" t="n">
        <v>0</v>
      </c>
      <c r="D2419" t="n">
        <v>0</v>
      </c>
      <c r="E2419" t="s">
        <v>2422</v>
      </c>
      <c r="F2419" t="s"/>
      <c r="G2419" t="s"/>
      <c r="H2419" t="s"/>
      <c r="I2419" t="s"/>
      <c r="J2419" t="n">
        <v>-0.484</v>
      </c>
      <c r="K2419" t="n">
        <v>0.167</v>
      </c>
      <c r="L2419" t="n">
        <v>0.73</v>
      </c>
      <c r="M2419" t="n">
        <v>0.102</v>
      </c>
    </row>
    <row r="2420" spans="1:13">
      <c r="A2420" s="1">
        <f>HYPERLINK("http://www.twitter.com/NathanBLawrence/status/979183978077880321", "979183978077880321")</f>
        <v/>
      </c>
      <c r="B2420" s="2" t="n">
        <v>43188.10447916666</v>
      </c>
      <c r="C2420" t="n">
        <v>1</v>
      </c>
      <c r="D2420" t="n">
        <v>1</v>
      </c>
      <c r="E2420" t="s">
        <v>2423</v>
      </c>
      <c r="F2420" t="s"/>
      <c r="G2420" t="s"/>
      <c r="H2420" t="s"/>
      <c r="I2420" t="s"/>
      <c r="J2420" t="n">
        <v>-0.1531</v>
      </c>
      <c r="K2420" t="n">
        <v>0.123</v>
      </c>
      <c r="L2420" t="n">
        <v>0.779</v>
      </c>
      <c r="M2420" t="n">
        <v>0.097</v>
      </c>
    </row>
    <row r="2421" spans="1:13">
      <c r="A2421" s="1">
        <f>HYPERLINK("http://www.twitter.com/NathanBLawrence/status/979182320442920960", "979182320442920960")</f>
        <v/>
      </c>
      <c r="B2421" s="2" t="n">
        <v>43188.09990740741</v>
      </c>
      <c r="C2421" t="n">
        <v>1</v>
      </c>
      <c r="D2421" t="n">
        <v>1</v>
      </c>
      <c r="E2421" t="s">
        <v>2424</v>
      </c>
      <c r="F2421" t="s"/>
      <c r="G2421" t="s"/>
      <c r="H2421" t="s"/>
      <c r="I2421" t="s"/>
      <c r="J2421" t="n">
        <v>-0.7506</v>
      </c>
      <c r="K2421" t="n">
        <v>0.167</v>
      </c>
      <c r="L2421" t="n">
        <v>0.833</v>
      </c>
      <c r="M2421" t="n">
        <v>0</v>
      </c>
    </row>
    <row r="2422" spans="1:13">
      <c r="A2422" s="1">
        <f>HYPERLINK("http://www.twitter.com/NathanBLawrence/status/979181072599736321", "979181072599736321")</f>
        <v/>
      </c>
      <c r="B2422" s="2" t="n">
        <v>43188.09645833333</v>
      </c>
      <c r="C2422" t="n">
        <v>1</v>
      </c>
      <c r="D2422" t="n">
        <v>0</v>
      </c>
      <c r="E2422" t="s">
        <v>2425</v>
      </c>
      <c r="F2422" t="s"/>
      <c r="G2422" t="s"/>
      <c r="H2422" t="s"/>
      <c r="I2422" t="s"/>
      <c r="J2422" t="n">
        <v>0</v>
      </c>
      <c r="K2422" t="n">
        <v>0</v>
      </c>
      <c r="L2422" t="n">
        <v>1</v>
      </c>
      <c r="M2422" t="n">
        <v>0</v>
      </c>
    </row>
    <row r="2423" spans="1:13">
      <c r="A2423" s="1">
        <f>HYPERLINK("http://www.twitter.com/NathanBLawrence/status/979180468213075969", "979180468213075969")</f>
        <v/>
      </c>
      <c r="B2423" s="2" t="n">
        <v>43188.09479166667</v>
      </c>
      <c r="C2423" t="n">
        <v>0</v>
      </c>
      <c r="D2423" t="n">
        <v>0</v>
      </c>
      <c r="E2423" t="s">
        <v>2426</v>
      </c>
      <c r="F2423" t="s"/>
      <c r="G2423" t="s"/>
      <c r="H2423" t="s"/>
      <c r="I2423" t="s"/>
      <c r="J2423" t="n">
        <v>-0.4588</v>
      </c>
      <c r="K2423" t="n">
        <v>0.231</v>
      </c>
      <c r="L2423" t="n">
        <v>0.769</v>
      </c>
      <c r="M2423" t="n">
        <v>0</v>
      </c>
    </row>
    <row r="2424" spans="1:13">
      <c r="A2424" s="1">
        <f>HYPERLINK("http://www.twitter.com/NathanBLawrence/status/979169588263956481", "979169588263956481")</f>
        <v/>
      </c>
      <c r="B2424" s="2" t="n">
        <v>43188.06476851852</v>
      </c>
      <c r="C2424" t="n">
        <v>3</v>
      </c>
      <c r="D2424" t="n">
        <v>1</v>
      </c>
      <c r="E2424" t="s">
        <v>2427</v>
      </c>
      <c r="F2424" t="s"/>
      <c r="G2424" t="s"/>
      <c r="H2424" t="s"/>
      <c r="I2424" t="s"/>
      <c r="J2424" t="n">
        <v>-0.5007</v>
      </c>
      <c r="K2424" t="n">
        <v>0.133</v>
      </c>
      <c r="L2424" t="n">
        <v>0.8090000000000001</v>
      </c>
      <c r="M2424" t="n">
        <v>0.058</v>
      </c>
    </row>
    <row r="2425" spans="1:13">
      <c r="A2425" s="1">
        <f>HYPERLINK("http://www.twitter.com/NathanBLawrence/status/979150686955991041", "979150686955991041")</f>
        <v/>
      </c>
      <c r="B2425" s="2" t="n">
        <v>43188.01261574074</v>
      </c>
      <c r="C2425" t="n">
        <v>1</v>
      </c>
      <c r="D2425" t="n">
        <v>0</v>
      </c>
      <c r="E2425" t="s">
        <v>2428</v>
      </c>
      <c r="F2425" t="s"/>
      <c r="G2425" t="s"/>
      <c r="H2425" t="s"/>
      <c r="I2425" t="s"/>
      <c r="J2425" t="n">
        <v>0.4926</v>
      </c>
      <c r="K2425" t="n">
        <v>0</v>
      </c>
      <c r="L2425" t="n">
        <v>0.738</v>
      </c>
      <c r="M2425" t="n">
        <v>0.262</v>
      </c>
    </row>
    <row r="2426" spans="1:13">
      <c r="A2426" s="1">
        <f>HYPERLINK("http://www.twitter.com/NathanBLawrence/status/979138888320118785", "979138888320118785")</f>
        <v/>
      </c>
      <c r="B2426" s="2" t="n">
        <v>43187.98005787037</v>
      </c>
      <c r="C2426" t="n">
        <v>2</v>
      </c>
      <c r="D2426" t="n">
        <v>0</v>
      </c>
      <c r="E2426" t="s">
        <v>2429</v>
      </c>
      <c r="F2426" t="s"/>
      <c r="G2426" t="s"/>
      <c r="H2426" t="s"/>
      <c r="I2426" t="s"/>
      <c r="J2426" t="n">
        <v>0.2023</v>
      </c>
      <c r="K2426" t="n">
        <v>0.093</v>
      </c>
      <c r="L2426" t="n">
        <v>0.769</v>
      </c>
      <c r="M2426" t="n">
        <v>0.137</v>
      </c>
    </row>
    <row r="2427" spans="1:13">
      <c r="A2427" s="1">
        <f>HYPERLINK("http://www.twitter.com/NathanBLawrence/status/979135939850235904", "979135939850235904")</f>
        <v/>
      </c>
      <c r="B2427" s="2" t="n">
        <v>43187.9719212963</v>
      </c>
      <c r="C2427" t="n">
        <v>3</v>
      </c>
      <c r="D2427" t="n">
        <v>0</v>
      </c>
      <c r="E2427" t="s">
        <v>2430</v>
      </c>
      <c r="F2427" t="s"/>
      <c r="G2427" t="s"/>
      <c r="H2427" t="s"/>
      <c r="I2427" t="s"/>
      <c r="J2427" t="n">
        <v>-0.9001</v>
      </c>
      <c r="K2427" t="n">
        <v>0.271</v>
      </c>
      <c r="L2427" t="n">
        <v>0.729</v>
      </c>
      <c r="M2427" t="n">
        <v>0</v>
      </c>
    </row>
    <row r="2428" spans="1:13">
      <c r="A2428" s="1">
        <f>HYPERLINK("http://www.twitter.com/NathanBLawrence/status/979134735992664064", "979134735992664064")</f>
        <v/>
      </c>
      <c r="B2428" s="2" t="n">
        <v>43187.96859953704</v>
      </c>
      <c r="C2428" t="n">
        <v>2</v>
      </c>
      <c r="D2428" t="n">
        <v>0</v>
      </c>
      <c r="E2428" t="s">
        <v>2431</v>
      </c>
      <c r="F2428" t="s"/>
      <c r="G2428" t="s"/>
      <c r="H2428" t="s"/>
      <c r="I2428" t="s"/>
      <c r="J2428" t="n">
        <v>0</v>
      </c>
      <c r="K2428" t="n">
        <v>0</v>
      </c>
      <c r="L2428" t="n">
        <v>1</v>
      </c>
      <c r="M2428" t="n">
        <v>0</v>
      </c>
    </row>
    <row r="2429" spans="1:13">
      <c r="A2429" s="1">
        <f>HYPERLINK("http://www.twitter.com/NathanBLawrence/status/979133729900818433", "979133729900818433")</f>
        <v/>
      </c>
      <c r="B2429" s="2" t="n">
        <v>43187.96582175926</v>
      </c>
      <c r="C2429" t="n">
        <v>1</v>
      </c>
      <c r="D2429" t="n">
        <v>0</v>
      </c>
      <c r="E2429" t="s">
        <v>2432</v>
      </c>
      <c r="F2429" t="s"/>
      <c r="G2429" t="s"/>
      <c r="H2429" t="s"/>
      <c r="I2429" t="s"/>
      <c r="J2429" t="n">
        <v>0</v>
      </c>
      <c r="K2429" t="n">
        <v>0</v>
      </c>
      <c r="L2429" t="n">
        <v>1</v>
      </c>
      <c r="M2429" t="n">
        <v>0</v>
      </c>
    </row>
    <row r="2430" spans="1:13">
      <c r="A2430" s="1">
        <f>HYPERLINK("http://www.twitter.com/NathanBLawrence/status/979132921268326401", "979132921268326401")</f>
        <v/>
      </c>
      <c r="B2430" s="2" t="n">
        <v>43187.96358796296</v>
      </c>
      <c r="C2430" t="n">
        <v>3</v>
      </c>
      <c r="D2430" t="n">
        <v>3</v>
      </c>
      <c r="E2430" t="s">
        <v>2433</v>
      </c>
      <c r="F2430" t="s"/>
      <c r="G2430" t="s"/>
      <c r="H2430" t="s"/>
      <c r="I2430" t="s"/>
      <c r="J2430" t="n">
        <v>0.6353</v>
      </c>
      <c r="K2430" t="n">
        <v>0.041</v>
      </c>
      <c r="L2430" t="n">
        <v>0.799</v>
      </c>
      <c r="M2430" t="n">
        <v>0.16</v>
      </c>
    </row>
    <row r="2431" spans="1:13">
      <c r="A2431" s="1">
        <f>HYPERLINK("http://www.twitter.com/NathanBLawrence/status/979131431795544066", "979131431795544066")</f>
        <v/>
      </c>
      <c r="B2431" s="2" t="n">
        <v>43187.95947916667</v>
      </c>
      <c r="C2431" t="n">
        <v>2</v>
      </c>
      <c r="D2431" t="n">
        <v>0</v>
      </c>
      <c r="E2431" t="s">
        <v>2434</v>
      </c>
      <c r="F2431" t="s"/>
      <c r="G2431" t="s"/>
      <c r="H2431" t="s"/>
      <c r="I2431" t="s"/>
      <c r="J2431" t="n">
        <v>0.7018</v>
      </c>
      <c r="K2431" t="n">
        <v>0.079</v>
      </c>
      <c r="L2431" t="n">
        <v>0.695</v>
      </c>
      <c r="M2431" t="n">
        <v>0.227</v>
      </c>
    </row>
    <row r="2432" spans="1:13">
      <c r="A2432" s="1">
        <f>HYPERLINK("http://www.twitter.com/NathanBLawrence/status/979129128317280261", "979129128317280261")</f>
        <v/>
      </c>
      <c r="B2432" s="2" t="n">
        <v>43187.953125</v>
      </c>
      <c r="C2432" t="n">
        <v>1</v>
      </c>
      <c r="D2432" t="n">
        <v>1</v>
      </c>
      <c r="E2432" t="s">
        <v>2435</v>
      </c>
      <c r="F2432" t="s"/>
      <c r="G2432" t="s"/>
      <c r="H2432" t="s"/>
      <c r="I2432" t="s"/>
      <c r="J2432" t="n">
        <v>-0.2263</v>
      </c>
      <c r="K2432" t="n">
        <v>0.178</v>
      </c>
      <c r="L2432" t="n">
        <v>0.707</v>
      </c>
      <c r="M2432" t="n">
        <v>0.114</v>
      </c>
    </row>
    <row r="2433" spans="1:13">
      <c r="A2433" s="1">
        <f>HYPERLINK("http://www.twitter.com/NathanBLawrence/status/979112081168457728", "979112081168457728")</f>
        <v/>
      </c>
      <c r="B2433" s="2" t="n">
        <v>43187.90607638889</v>
      </c>
      <c r="C2433" t="n">
        <v>6</v>
      </c>
      <c r="D2433" t="n">
        <v>2</v>
      </c>
      <c r="E2433" t="s">
        <v>2436</v>
      </c>
      <c r="F2433" t="s"/>
      <c r="G2433" t="s"/>
      <c r="H2433" t="s"/>
      <c r="I2433" t="s"/>
      <c r="J2433" t="n">
        <v>-0.5423</v>
      </c>
      <c r="K2433" t="n">
        <v>0.179</v>
      </c>
      <c r="L2433" t="n">
        <v>0.821</v>
      </c>
      <c r="M2433" t="n">
        <v>0</v>
      </c>
    </row>
    <row r="2434" spans="1:13">
      <c r="A2434" s="1">
        <f>HYPERLINK("http://www.twitter.com/NathanBLawrence/status/979111881091764224", "979111881091764224")</f>
        <v/>
      </c>
      <c r="B2434" s="2" t="n">
        <v>43187.90553240741</v>
      </c>
      <c r="C2434" t="n">
        <v>4</v>
      </c>
      <c r="D2434" t="n">
        <v>2</v>
      </c>
      <c r="E2434" t="s">
        <v>2437</v>
      </c>
      <c r="F2434" t="s"/>
      <c r="G2434" t="s"/>
      <c r="H2434" t="s"/>
      <c r="I2434" t="s"/>
      <c r="J2434" t="n">
        <v>-0.6705</v>
      </c>
      <c r="K2434" t="n">
        <v>0.159</v>
      </c>
      <c r="L2434" t="n">
        <v>0.841</v>
      </c>
      <c r="M2434" t="n">
        <v>0</v>
      </c>
    </row>
    <row r="2435" spans="1:13">
      <c r="A2435" s="1">
        <f>HYPERLINK("http://www.twitter.com/NathanBLawrence/status/979109920476983296", "979109920476983296")</f>
        <v/>
      </c>
      <c r="B2435" s="2" t="n">
        <v>43187.90011574074</v>
      </c>
      <c r="C2435" t="n">
        <v>2</v>
      </c>
      <c r="D2435" t="n">
        <v>2</v>
      </c>
      <c r="E2435" t="s">
        <v>2438</v>
      </c>
      <c r="F2435" t="s"/>
      <c r="G2435" t="s"/>
      <c r="H2435" t="s"/>
      <c r="I2435" t="s"/>
      <c r="J2435" t="n">
        <v>-0.9231</v>
      </c>
      <c r="K2435" t="n">
        <v>0.296</v>
      </c>
      <c r="L2435" t="n">
        <v>0.704</v>
      </c>
      <c r="M2435" t="n">
        <v>0</v>
      </c>
    </row>
    <row r="2436" spans="1:13">
      <c r="A2436" s="1">
        <f>HYPERLINK("http://www.twitter.com/NathanBLawrence/status/979109176759767041", "979109176759767041")</f>
        <v/>
      </c>
      <c r="B2436" s="2" t="n">
        <v>43187.89806712963</v>
      </c>
      <c r="C2436" t="n">
        <v>3</v>
      </c>
      <c r="D2436" t="n">
        <v>2</v>
      </c>
      <c r="E2436" t="s">
        <v>2439</v>
      </c>
      <c r="F2436" t="s"/>
      <c r="G2436" t="s"/>
      <c r="H2436" t="s"/>
      <c r="I2436" t="s"/>
      <c r="J2436" t="n">
        <v>0.6956</v>
      </c>
      <c r="K2436" t="n">
        <v>0.097</v>
      </c>
      <c r="L2436" t="n">
        <v>0.695</v>
      </c>
      <c r="M2436" t="n">
        <v>0.207</v>
      </c>
    </row>
    <row r="2437" spans="1:13">
      <c r="A2437" s="1">
        <f>HYPERLINK("http://www.twitter.com/NathanBLawrence/status/979108103756173312", "979108103756173312")</f>
        <v/>
      </c>
      <c r="B2437" s="2" t="n">
        <v>43187.89510416667</v>
      </c>
      <c r="C2437" t="n">
        <v>0</v>
      </c>
      <c r="D2437" t="n">
        <v>0</v>
      </c>
      <c r="E2437" t="s">
        <v>2440</v>
      </c>
      <c r="F2437" t="s"/>
      <c r="G2437" t="s"/>
      <c r="H2437" t="s"/>
      <c r="I2437" t="s"/>
      <c r="J2437" t="n">
        <v>0.3382</v>
      </c>
      <c r="K2437" t="n">
        <v>0</v>
      </c>
      <c r="L2437" t="n">
        <v>0.764</v>
      </c>
      <c r="M2437" t="n">
        <v>0.236</v>
      </c>
    </row>
    <row r="2438" spans="1:13">
      <c r="A2438" s="1">
        <f>HYPERLINK("http://www.twitter.com/NathanBLawrence/status/979107839770755072", "979107839770755072")</f>
        <v/>
      </c>
      <c r="B2438" s="2" t="n">
        <v>43187.894375</v>
      </c>
      <c r="C2438" t="n">
        <v>5</v>
      </c>
      <c r="D2438" t="n">
        <v>2</v>
      </c>
      <c r="E2438" t="s">
        <v>2441</v>
      </c>
      <c r="F2438" t="s"/>
      <c r="G2438" t="s"/>
      <c r="H2438" t="s"/>
      <c r="I2438" t="s"/>
      <c r="J2438" t="n">
        <v>-0.2714</v>
      </c>
      <c r="K2438" t="n">
        <v>0.119</v>
      </c>
      <c r="L2438" t="n">
        <v>0.783</v>
      </c>
      <c r="M2438" t="n">
        <v>0.098</v>
      </c>
    </row>
    <row r="2439" spans="1:13">
      <c r="A2439" s="1">
        <f>HYPERLINK("http://www.twitter.com/NathanBLawrence/status/979107278220603393", "979107278220603393")</f>
        <v/>
      </c>
      <c r="B2439" s="2" t="n">
        <v>43187.89282407407</v>
      </c>
      <c r="C2439" t="n">
        <v>6</v>
      </c>
      <c r="D2439" t="n">
        <v>3</v>
      </c>
      <c r="E2439" t="s">
        <v>2442</v>
      </c>
      <c r="F2439" t="s"/>
      <c r="G2439" t="s"/>
      <c r="H2439" t="s"/>
      <c r="I2439" t="s"/>
      <c r="J2439" t="n">
        <v>-0.6958</v>
      </c>
      <c r="K2439" t="n">
        <v>0.146</v>
      </c>
      <c r="L2439" t="n">
        <v>0.827</v>
      </c>
      <c r="M2439" t="n">
        <v>0.027</v>
      </c>
    </row>
    <row r="2440" spans="1:13">
      <c r="A2440" s="1">
        <f>HYPERLINK("http://www.twitter.com/NathanBLawrence/status/978984632036352000", "978984632036352000")</f>
        <v/>
      </c>
      <c r="B2440" s="2" t="n">
        <v>43187.55438657408</v>
      </c>
      <c r="C2440" t="n">
        <v>3</v>
      </c>
      <c r="D2440" t="n">
        <v>0</v>
      </c>
      <c r="E2440" t="s">
        <v>2443</v>
      </c>
      <c r="F2440" t="s"/>
      <c r="G2440" t="s"/>
      <c r="H2440" t="s"/>
      <c r="I2440" t="s"/>
      <c r="J2440" t="n">
        <v>-0.6956</v>
      </c>
      <c r="K2440" t="n">
        <v>0.141</v>
      </c>
      <c r="L2440" t="n">
        <v>0.859</v>
      </c>
      <c r="M2440" t="n">
        <v>0</v>
      </c>
    </row>
    <row r="2441" spans="1:13">
      <c r="A2441" s="1">
        <f>HYPERLINK("http://www.twitter.com/NathanBLawrence/status/978983281109667841", "978983281109667841")</f>
        <v/>
      </c>
      <c r="B2441" s="2" t="n">
        <v>43187.55065972222</v>
      </c>
      <c r="C2441" t="n">
        <v>3</v>
      </c>
      <c r="D2441" t="n">
        <v>0</v>
      </c>
      <c r="E2441" t="s">
        <v>2444</v>
      </c>
      <c r="F2441" t="s"/>
      <c r="G2441" t="s"/>
      <c r="H2441" t="s"/>
      <c r="I2441" t="s"/>
      <c r="J2441" t="n">
        <v>-0.6249</v>
      </c>
      <c r="K2441" t="n">
        <v>0.211</v>
      </c>
      <c r="L2441" t="n">
        <v>0.703</v>
      </c>
      <c r="M2441" t="n">
        <v>0.08599999999999999</v>
      </c>
    </row>
    <row r="2442" spans="1:13">
      <c r="A2442" s="1">
        <f>HYPERLINK("http://www.twitter.com/NathanBLawrence/status/978820344701247488", "978820344701247488")</f>
        <v/>
      </c>
      <c r="B2442" s="2" t="n">
        <v>43187.10104166667</v>
      </c>
      <c r="C2442" t="n">
        <v>2</v>
      </c>
      <c r="D2442" t="n">
        <v>0</v>
      </c>
      <c r="E2442" t="s">
        <v>2445</v>
      </c>
      <c r="F2442" t="s"/>
      <c r="G2442" t="s"/>
      <c r="H2442" t="s"/>
      <c r="I2442" t="s"/>
      <c r="J2442" t="n">
        <v>-0.0987</v>
      </c>
      <c r="K2442" t="n">
        <v>0.132</v>
      </c>
      <c r="L2442" t="n">
        <v>0.763</v>
      </c>
      <c r="M2442" t="n">
        <v>0.104</v>
      </c>
    </row>
    <row r="2443" spans="1:13">
      <c r="A2443" s="1">
        <f>HYPERLINK("http://www.twitter.com/NathanBLawrence/status/978819141409767425", "978819141409767425")</f>
        <v/>
      </c>
      <c r="B2443" s="2" t="n">
        <v>43187.0977199074</v>
      </c>
      <c r="C2443" t="n">
        <v>2</v>
      </c>
      <c r="D2443" t="n">
        <v>0</v>
      </c>
      <c r="E2443" t="s">
        <v>2446</v>
      </c>
      <c r="F2443" t="s"/>
      <c r="G2443" t="s"/>
      <c r="H2443" t="s"/>
      <c r="I2443" t="s"/>
      <c r="J2443" t="n">
        <v>0</v>
      </c>
      <c r="K2443" t="n">
        <v>0</v>
      </c>
      <c r="L2443" t="n">
        <v>1</v>
      </c>
      <c r="M2443" t="n">
        <v>0</v>
      </c>
    </row>
    <row r="2444" spans="1:13">
      <c r="A2444" s="1">
        <f>HYPERLINK("http://www.twitter.com/NathanBLawrence/status/978813082221862912", "978813082221862912")</f>
        <v/>
      </c>
      <c r="B2444" s="2" t="n">
        <v>43187.08099537037</v>
      </c>
      <c r="C2444" t="n">
        <v>2</v>
      </c>
      <c r="D2444" t="n">
        <v>0</v>
      </c>
      <c r="E2444" t="s">
        <v>2447</v>
      </c>
      <c r="F2444" t="s"/>
      <c r="G2444" t="s"/>
      <c r="H2444" t="s"/>
      <c r="I2444" t="s"/>
      <c r="J2444" t="n">
        <v>-0.7178</v>
      </c>
      <c r="K2444" t="n">
        <v>0.428</v>
      </c>
      <c r="L2444" t="n">
        <v>0.572</v>
      </c>
      <c r="M2444" t="n">
        <v>0</v>
      </c>
    </row>
    <row r="2445" spans="1:13">
      <c r="A2445" s="1">
        <f>HYPERLINK("http://www.twitter.com/NathanBLawrence/status/978809698492276738", "978809698492276738")</f>
        <v/>
      </c>
      <c r="B2445" s="2" t="n">
        <v>43187.07166666666</v>
      </c>
      <c r="C2445" t="n">
        <v>2</v>
      </c>
      <c r="D2445" t="n">
        <v>1</v>
      </c>
      <c r="E2445" t="s">
        <v>2448</v>
      </c>
      <c r="F2445" t="s"/>
      <c r="G2445" t="s"/>
      <c r="H2445" t="s"/>
      <c r="I2445" t="s"/>
      <c r="J2445" t="n">
        <v>0.3134</v>
      </c>
      <c r="K2445" t="n">
        <v>0.107</v>
      </c>
      <c r="L2445" t="n">
        <v>0.765</v>
      </c>
      <c r="M2445" t="n">
        <v>0.128</v>
      </c>
    </row>
    <row r="2446" spans="1:13">
      <c r="A2446" s="1">
        <f>HYPERLINK("http://www.twitter.com/NathanBLawrence/status/978754286011256833", "978754286011256833")</f>
        <v/>
      </c>
      <c r="B2446" s="2" t="n">
        <v>43186.91875</v>
      </c>
      <c r="C2446" t="n">
        <v>0</v>
      </c>
      <c r="D2446" t="n">
        <v>0</v>
      </c>
      <c r="E2446" t="s">
        <v>2449</v>
      </c>
      <c r="F2446" t="s"/>
      <c r="G2446" t="s"/>
      <c r="H2446" t="s"/>
      <c r="I2446" t="s"/>
      <c r="J2446" t="n">
        <v>0</v>
      </c>
      <c r="K2446" t="n">
        <v>0</v>
      </c>
      <c r="L2446" t="n">
        <v>1</v>
      </c>
      <c r="M2446" t="n">
        <v>0</v>
      </c>
    </row>
    <row r="2447" spans="1:13">
      <c r="A2447" s="1">
        <f>HYPERLINK("http://www.twitter.com/NathanBLawrence/status/978753272063381504", "978753272063381504")</f>
        <v/>
      </c>
      <c r="B2447" s="2" t="n">
        <v>43186.91596064815</v>
      </c>
      <c r="C2447" t="n">
        <v>2</v>
      </c>
      <c r="D2447" t="n">
        <v>0</v>
      </c>
      <c r="E2447" t="s">
        <v>2450</v>
      </c>
      <c r="F2447" t="s"/>
      <c r="G2447" t="s"/>
      <c r="H2447" t="s"/>
      <c r="I2447" t="s"/>
      <c r="J2447" t="n">
        <v>0.7351</v>
      </c>
      <c r="K2447" t="n">
        <v>0.046</v>
      </c>
      <c r="L2447" t="n">
        <v>0.777</v>
      </c>
      <c r="M2447" t="n">
        <v>0.176</v>
      </c>
    </row>
    <row r="2448" spans="1:13">
      <c r="A2448" s="1">
        <f>HYPERLINK("http://www.twitter.com/NathanBLawrence/status/978752378332688385", "978752378332688385")</f>
        <v/>
      </c>
      <c r="B2448" s="2" t="n">
        <v>43186.9134837963</v>
      </c>
      <c r="C2448" t="n">
        <v>2</v>
      </c>
      <c r="D2448" t="n">
        <v>1</v>
      </c>
      <c r="E2448" t="s">
        <v>2451</v>
      </c>
      <c r="F2448" t="s"/>
      <c r="G2448" t="s"/>
      <c r="H2448" t="s"/>
      <c r="I2448" t="s"/>
      <c r="J2448" t="n">
        <v>0.8478</v>
      </c>
      <c r="K2448" t="n">
        <v>0.07099999999999999</v>
      </c>
      <c r="L2448" t="n">
        <v>0.64</v>
      </c>
      <c r="M2448" t="n">
        <v>0.289</v>
      </c>
    </row>
    <row r="2449" spans="1:13">
      <c r="A2449" s="1">
        <f>HYPERLINK("http://www.twitter.com/NathanBLawrence/status/978751613253844993", "978751613253844993")</f>
        <v/>
      </c>
      <c r="B2449" s="2" t="n">
        <v>43186.91137731481</v>
      </c>
      <c r="C2449" t="n">
        <v>0</v>
      </c>
      <c r="D2449" t="n">
        <v>0</v>
      </c>
      <c r="E2449" t="s">
        <v>2452</v>
      </c>
      <c r="F2449" t="s"/>
      <c r="G2449" t="s"/>
      <c r="H2449" t="s"/>
      <c r="I2449" t="s"/>
      <c r="J2449" t="n">
        <v>0</v>
      </c>
      <c r="K2449" t="n">
        <v>0</v>
      </c>
      <c r="L2449" t="n">
        <v>1</v>
      </c>
      <c r="M2449" t="n">
        <v>0</v>
      </c>
    </row>
    <row r="2450" spans="1:13">
      <c r="A2450" s="1">
        <f>HYPERLINK("http://www.twitter.com/NathanBLawrence/status/978744952627908610", "978744952627908610")</f>
        <v/>
      </c>
      <c r="B2450" s="2" t="n">
        <v>43186.89299768519</v>
      </c>
      <c r="C2450" t="n">
        <v>0</v>
      </c>
      <c r="D2450" t="n">
        <v>0</v>
      </c>
      <c r="E2450" t="s">
        <v>2453</v>
      </c>
      <c r="F2450" t="s"/>
      <c r="G2450" t="s"/>
      <c r="H2450" t="s"/>
      <c r="I2450" t="s"/>
      <c r="J2450" t="n">
        <v>0</v>
      </c>
      <c r="K2450" t="n">
        <v>0</v>
      </c>
      <c r="L2450" t="n">
        <v>1</v>
      </c>
      <c r="M2450" t="n">
        <v>0</v>
      </c>
    </row>
    <row r="2451" spans="1:13">
      <c r="A2451" s="1">
        <f>HYPERLINK("http://www.twitter.com/NathanBLawrence/status/978737917261729792", "978737917261729792")</f>
        <v/>
      </c>
      <c r="B2451" s="2" t="n">
        <v>43186.87358796296</v>
      </c>
      <c r="C2451" t="n">
        <v>0</v>
      </c>
      <c r="D2451" t="n">
        <v>0</v>
      </c>
      <c r="E2451" t="s">
        <v>2454</v>
      </c>
      <c r="F2451" t="s"/>
      <c r="G2451" t="s"/>
      <c r="H2451" t="s"/>
      <c r="I2451" t="s"/>
      <c r="J2451" t="n">
        <v>0</v>
      </c>
      <c r="K2451" t="n">
        <v>0</v>
      </c>
      <c r="L2451" t="n">
        <v>1</v>
      </c>
      <c r="M2451" t="n">
        <v>0</v>
      </c>
    </row>
    <row r="2452" spans="1:13">
      <c r="A2452" s="1">
        <f>HYPERLINK("http://www.twitter.com/NathanBLawrence/status/978734920561459201", "978734920561459201")</f>
        <v/>
      </c>
      <c r="B2452" s="2" t="n">
        <v>43186.8653125</v>
      </c>
      <c r="C2452" t="n">
        <v>3</v>
      </c>
      <c r="D2452" t="n">
        <v>0</v>
      </c>
      <c r="E2452" t="s">
        <v>2455</v>
      </c>
      <c r="F2452" t="s"/>
      <c r="G2452" t="s"/>
      <c r="H2452" t="s"/>
      <c r="I2452" t="s"/>
      <c r="J2452" t="n">
        <v>-0.3612</v>
      </c>
      <c r="K2452" t="n">
        <v>0.135</v>
      </c>
      <c r="L2452" t="n">
        <v>0.865</v>
      </c>
      <c r="M2452" t="n">
        <v>0</v>
      </c>
    </row>
    <row r="2453" spans="1:13">
      <c r="A2453" s="1">
        <f>HYPERLINK("http://www.twitter.com/NathanBLawrence/status/978729985816104960", "978729985816104960")</f>
        <v/>
      </c>
      <c r="B2453" s="2" t="n">
        <v>43186.85170138889</v>
      </c>
      <c r="C2453" t="n">
        <v>0</v>
      </c>
      <c r="D2453" t="n">
        <v>0</v>
      </c>
      <c r="E2453" t="s">
        <v>2456</v>
      </c>
      <c r="F2453" t="s"/>
      <c r="G2453" t="s"/>
      <c r="H2453" t="s"/>
      <c r="I2453" t="s"/>
      <c r="J2453" t="n">
        <v>0</v>
      </c>
      <c r="K2453" t="n">
        <v>0</v>
      </c>
      <c r="L2453" t="n">
        <v>1</v>
      </c>
      <c r="M2453" t="n">
        <v>0</v>
      </c>
    </row>
    <row r="2454" spans="1:13">
      <c r="A2454" s="1">
        <f>HYPERLINK("http://www.twitter.com/NathanBLawrence/status/978650873357324289", "978650873357324289")</f>
        <v/>
      </c>
      <c r="B2454" s="2" t="n">
        <v>43186.6333912037</v>
      </c>
      <c r="C2454" t="n">
        <v>1</v>
      </c>
      <c r="D2454" t="n">
        <v>0</v>
      </c>
      <c r="E2454" t="s">
        <v>2457</v>
      </c>
      <c r="F2454" t="s"/>
      <c r="G2454" t="s"/>
      <c r="H2454" t="s"/>
      <c r="I2454" t="s"/>
      <c r="J2454" t="n">
        <v>0</v>
      </c>
      <c r="K2454" t="n">
        <v>0</v>
      </c>
      <c r="L2454" t="n">
        <v>1</v>
      </c>
      <c r="M2454" t="n">
        <v>0</v>
      </c>
    </row>
    <row r="2455" spans="1:13">
      <c r="A2455" s="1">
        <f>HYPERLINK("http://www.twitter.com/NathanBLawrence/status/978616167584722945", "978616167584722945")</f>
        <v/>
      </c>
      <c r="B2455" s="2" t="n">
        <v>43186.53761574074</v>
      </c>
      <c r="C2455" t="n">
        <v>0</v>
      </c>
      <c r="D2455" t="n">
        <v>0</v>
      </c>
      <c r="E2455" t="s">
        <v>2458</v>
      </c>
      <c r="F2455" t="s"/>
      <c r="G2455" t="s"/>
      <c r="H2455" t="s"/>
      <c r="I2455" t="s"/>
      <c r="J2455" t="n">
        <v>-0.4404</v>
      </c>
      <c r="K2455" t="n">
        <v>0.162</v>
      </c>
      <c r="L2455" t="n">
        <v>0.838</v>
      </c>
      <c r="M2455" t="n">
        <v>0</v>
      </c>
    </row>
    <row r="2456" spans="1:13">
      <c r="A2456" s="1">
        <f>HYPERLINK("http://www.twitter.com/NathanBLawrence/status/978606526364516352", "978606526364516352")</f>
        <v/>
      </c>
      <c r="B2456" s="2" t="n">
        <v>43186.51101851852</v>
      </c>
      <c r="C2456" t="n">
        <v>0</v>
      </c>
      <c r="D2456" t="n">
        <v>0</v>
      </c>
      <c r="E2456" t="s">
        <v>2459</v>
      </c>
      <c r="F2456" t="s"/>
      <c r="G2456" t="s"/>
      <c r="H2456" t="s"/>
      <c r="I2456" t="s"/>
      <c r="J2456" t="n">
        <v>0.7184</v>
      </c>
      <c r="K2456" t="n">
        <v>0.07099999999999999</v>
      </c>
      <c r="L2456" t="n">
        <v>0.751</v>
      </c>
      <c r="M2456" t="n">
        <v>0.178</v>
      </c>
    </row>
    <row r="2457" spans="1:13">
      <c r="A2457" s="1">
        <f>HYPERLINK("http://www.twitter.com/NathanBLawrence/status/978605719317512193", "978605719317512193")</f>
        <v/>
      </c>
      <c r="B2457" s="2" t="n">
        <v>43186.50878472222</v>
      </c>
      <c r="C2457" t="n">
        <v>1</v>
      </c>
      <c r="D2457" t="n">
        <v>0</v>
      </c>
      <c r="E2457" t="s">
        <v>2460</v>
      </c>
      <c r="F2457" t="s"/>
      <c r="G2457" t="s"/>
      <c r="H2457" t="s"/>
      <c r="I2457" t="s"/>
      <c r="J2457" t="n">
        <v>0.8625</v>
      </c>
      <c r="K2457" t="n">
        <v>0</v>
      </c>
      <c r="L2457" t="n">
        <v>0.836</v>
      </c>
      <c r="M2457" t="n">
        <v>0.164</v>
      </c>
    </row>
    <row r="2458" spans="1:13">
      <c r="A2458" s="1">
        <f>HYPERLINK("http://www.twitter.com/NathanBLawrence/status/978605543446269954", "978605543446269954")</f>
        <v/>
      </c>
      <c r="B2458" s="2" t="n">
        <v>43186.50829861111</v>
      </c>
      <c r="C2458" t="n">
        <v>3</v>
      </c>
      <c r="D2458" t="n">
        <v>0</v>
      </c>
      <c r="E2458" t="s">
        <v>2461</v>
      </c>
      <c r="F2458" t="s"/>
      <c r="G2458" t="s"/>
      <c r="H2458" t="s"/>
      <c r="I2458" t="s"/>
      <c r="J2458" t="n">
        <v>-0.1316</v>
      </c>
      <c r="K2458" t="n">
        <v>0.083</v>
      </c>
      <c r="L2458" t="n">
        <v>0.863</v>
      </c>
      <c r="M2458" t="n">
        <v>0.054</v>
      </c>
    </row>
    <row r="2459" spans="1:13">
      <c r="A2459" s="1">
        <f>HYPERLINK("http://www.twitter.com/NathanBLawrence/status/978602351979352065", "978602351979352065")</f>
        <v/>
      </c>
      <c r="B2459" s="2" t="n">
        <v>43186.49949074074</v>
      </c>
      <c r="C2459" t="n">
        <v>0</v>
      </c>
      <c r="D2459" t="n">
        <v>0</v>
      </c>
      <c r="E2459" t="s">
        <v>2462</v>
      </c>
      <c r="F2459" t="s"/>
      <c r="G2459" t="s"/>
      <c r="H2459" t="s"/>
      <c r="I2459" t="s"/>
      <c r="J2459" t="n">
        <v>-0.6908</v>
      </c>
      <c r="K2459" t="n">
        <v>0.177</v>
      </c>
      <c r="L2459" t="n">
        <v>0.762</v>
      </c>
      <c r="M2459" t="n">
        <v>0.061</v>
      </c>
    </row>
    <row r="2460" spans="1:13">
      <c r="A2460" s="1">
        <f>HYPERLINK("http://www.twitter.com/NathanBLawrence/status/978581891778478080", "978581891778478080")</f>
        <v/>
      </c>
      <c r="B2460" s="2" t="n">
        <v>43186.44303240741</v>
      </c>
      <c r="C2460" t="n">
        <v>6</v>
      </c>
      <c r="D2460" t="n">
        <v>1</v>
      </c>
      <c r="E2460" t="s">
        <v>2463</v>
      </c>
      <c r="F2460" t="s"/>
      <c r="G2460" t="s"/>
      <c r="H2460" t="s"/>
      <c r="I2460" t="s"/>
      <c r="J2460" t="n">
        <v>0.7579</v>
      </c>
      <c r="K2460" t="n">
        <v>0.048</v>
      </c>
      <c r="L2460" t="n">
        <v>0.775</v>
      </c>
      <c r="M2460" t="n">
        <v>0.177</v>
      </c>
    </row>
    <row r="2461" spans="1:13">
      <c r="A2461" s="1">
        <f>HYPERLINK("http://www.twitter.com/NathanBLawrence/status/978581890314760192", "978581890314760192")</f>
        <v/>
      </c>
      <c r="B2461" s="2" t="n">
        <v>43186.44303240741</v>
      </c>
      <c r="C2461" t="n">
        <v>4</v>
      </c>
      <c r="D2461" t="n">
        <v>1</v>
      </c>
      <c r="E2461" t="s">
        <v>2464</v>
      </c>
      <c r="F2461" t="s"/>
      <c r="G2461" t="s"/>
      <c r="H2461" t="s"/>
      <c r="I2461" t="s"/>
      <c r="J2461" t="n">
        <v>0.6478</v>
      </c>
      <c r="K2461" t="n">
        <v>0</v>
      </c>
      <c r="L2461" t="n">
        <v>0.905</v>
      </c>
      <c r="M2461" t="n">
        <v>0.095</v>
      </c>
    </row>
    <row r="2462" spans="1:13">
      <c r="A2462" s="1">
        <f>HYPERLINK("http://www.twitter.com/NathanBLawrence/status/978581888771284992", "978581888771284992")</f>
        <v/>
      </c>
      <c r="B2462" s="2" t="n">
        <v>43186.44303240741</v>
      </c>
      <c r="C2462" t="n">
        <v>6</v>
      </c>
      <c r="D2462" t="n">
        <v>5</v>
      </c>
      <c r="E2462" t="s">
        <v>2465</v>
      </c>
      <c r="F2462" t="s"/>
      <c r="G2462" t="s"/>
      <c r="H2462" t="s"/>
      <c r="I2462" t="s"/>
      <c r="J2462" t="n">
        <v>-0.7512</v>
      </c>
      <c r="K2462" t="n">
        <v>0.22</v>
      </c>
      <c r="L2462" t="n">
        <v>0.717</v>
      </c>
      <c r="M2462" t="n">
        <v>0.063</v>
      </c>
    </row>
    <row r="2463" spans="1:13">
      <c r="A2463" s="1">
        <f>HYPERLINK("http://www.twitter.com/NathanBLawrence/status/978467201081634816", "978467201081634816")</f>
        <v/>
      </c>
      <c r="B2463" s="2" t="n">
        <v>43186.12655092592</v>
      </c>
      <c r="C2463" t="n">
        <v>8</v>
      </c>
      <c r="D2463" t="n">
        <v>7</v>
      </c>
      <c r="E2463" t="s">
        <v>2466</v>
      </c>
      <c r="F2463" t="s"/>
      <c r="G2463" t="s"/>
      <c r="H2463" t="s"/>
      <c r="I2463" t="s"/>
      <c r="J2463" t="n">
        <v>0.5859</v>
      </c>
      <c r="K2463" t="n">
        <v>0</v>
      </c>
      <c r="L2463" t="n">
        <v>0.879</v>
      </c>
      <c r="M2463" t="n">
        <v>0.121</v>
      </c>
    </row>
    <row r="2464" spans="1:13">
      <c r="A2464" s="1">
        <f>HYPERLINK("http://www.twitter.com/NathanBLawrence/status/978464706007588864", "978464706007588864")</f>
        <v/>
      </c>
      <c r="B2464" s="2" t="n">
        <v>43186.11966435185</v>
      </c>
      <c r="C2464" t="n">
        <v>2</v>
      </c>
      <c r="D2464" t="n">
        <v>1</v>
      </c>
      <c r="E2464" t="s">
        <v>2467</v>
      </c>
      <c r="F2464" t="s"/>
      <c r="G2464" t="s"/>
      <c r="H2464" t="s"/>
      <c r="I2464" t="s"/>
      <c r="J2464" t="n">
        <v>-0.8588</v>
      </c>
      <c r="K2464" t="n">
        <v>0.233</v>
      </c>
      <c r="L2464" t="n">
        <v>0.719</v>
      </c>
      <c r="M2464" t="n">
        <v>0.048</v>
      </c>
    </row>
    <row r="2465" spans="1:13">
      <c r="A2465" s="1">
        <f>HYPERLINK("http://www.twitter.com/NathanBLawrence/status/978391142231429120", "978391142231429120")</f>
        <v/>
      </c>
      <c r="B2465" s="2" t="n">
        <v>43185.91666666666</v>
      </c>
      <c r="C2465" t="n">
        <v>1</v>
      </c>
      <c r="D2465" t="n">
        <v>0</v>
      </c>
      <c r="E2465" t="s">
        <v>2468</v>
      </c>
      <c r="F2465" t="s"/>
      <c r="G2465" t="s"/>
      <c r="H2465" t="s"/>
      <c r="I2465" t="s"/>
      <c r="J2465" t="n">
        <v>-0.296</v>
      </c>
      <c r="K2465" t="n">
        <v>0.355</v>
      </c>
      <c r="L2465" t="n">
        <v>0.645</v>
      </c>
      <c r="M2465" t="n">
        <v>0</v>
      </c>
    </row>
    <row r="2466" spans="1:13">
      <c r="A2466" s="1">
        <f>HYPERLINK("http://www.twitter.com/NathanBLawrence/status/978380147261927424", "978380147261927424")</f>
        <v/>
      </c>
      <c r="B2466" s="2" t="n">
        <v>43185.88633101852</v>
      </c>
      <c r="C2466" t="n">
        <v>0</v>
      </c>
      <c r="D2466" t="n">
        <v>0</v>
      </c>
      <c r="E2466" t="s">
        <v>2469</v>
      </c>
      <c r="F2466" t="s"/>
      <c r="G2466" t="s"/>
      <c r="H2466" t="s"/>
      <c r="I2466" t="s"/>
      <c r="J2466" t="n">
        <v>-0.4588</v>
      </c>
      <c r="K2466" t="n">
        <v>0.188</v>
      </c>
      <c r="L2466" t="n">
        <v>0.8120000000000001</v>
      </c>
      <c r="M2466" t="n">
        <v>0</v>
      </c>
    </row>
    <row r="2467" spans="1:13">
      <c r="A2467" s="1">
        <f>HYPERLINK("http://www.twitter.com/NathanBLawrence/status/978367214125568000", "978367214125568000")</f>
        <v/>
      </c>
      <c r="B2467" s="2" t="n">
        <v>43185.85063657408</v>
      </c>
      <c r="C2467" t="n">
        <v>1</v>
      </c>
      <c r="D2467" t="n">
        <v>0</v>
      </c>
      <c r="E2467" t="s">
        <v>2470</v>
      </c>
      <c r="F2467" t="s"/>
      <c r="G2467" t="s"/>
      <c r="H2467" t="s"/>
      <c r="I2467" t="s"/>
      <c r="J2467" t="n">
        <v>-0.1586</v>
      </c>
      <c r="K2467" t="n">
        <v>0.137</v>
      </c>
      <c r="L2467" t="n">
        <v>0.746</v>
      </c>
      <c r="M2467" t="n">
        <v>0.117</v>
      </c>
    </row>
    <row r="2468" spans="1:13">
      <c r="A2468" s="1">
        <f>HYPERLINK("http://www.twitter.com/NathanBLawrence/status/978365737327833088", "978365737327833088")</f>
        <v/>
      </c>
      <c r="B2468" s="2" t="n">
        <v>43185.8465625</v>
      </c>
      <c r="C2468" t="n">
        <v>1</v>
      </c>
      <c r="D2468" t="n">
        <v>0</v>
      </c>
      <c r="E2468" t="s">
        <v>2471</v>
      </c>
      <c r="F2468" t="s"/>
      <c r="G2468" t="s"/>
      <c r="H2468" t="s"/>
      <c r="I2468" t="s"/>
      <c r="J2468" t="n">
        <v>0.7542</v>
      </c>
      <c r="K2468" t="n">
        <v>0.117</v>
      </c>
      <c r="L2468" t="n">
        <v>0.587</v>
      </c>
      <c r="M2468" t="n">
        <v>0.295</v>
      </c>
    </row>
    <row r="2469" spans="1:13">
      <c r="A2469" s="1">
        <f>HYPERLINK("http://www.twitter.com/NathanBLawrence/status/978363146296594432", "978363146296594432")</f>
        <v/>
      </c>
      <c r="B2469" s="2" t="n">
        <v>43185.83940972222</v>
      </c>
      <c r="C2469" t="n">
        <v>2</v>
      </c>
      <c r="D2469" t="n">
        <v>1</v>
      </c>
      <c r="E2469" t="s">
        <v>2472</v>
      </c>
      <c r="F2469" t="s"/>
      <c r="G2469" t="s"/>
      <c r="H2469" t="s"/>
      <c r="I2469" t="s"/>
      <c r="J2469" t="n">
        <v>-0</v>
      </c>
      <c r="K2469" t="n">
        <v>0.131</v>
      </c>
      <c r="L2469" t="n">
        <v>0.758</v>
      </c>
      <c r="M2469" t="n">
        <v>0.111</v>
      </c>
    </row>
    <row r="2470" spans="1:13">
      <c r="A2470" s="1">
        <f>HYPERLINK("http://www.twitter.com/NathanBLawrence/status/978362200560717824", "978362200560717824")</f>
        <v/>
      </c>
      <c r="B2470" s="2" t="n">
        <v>43185.83680555555</v>
      </c>
      <c r="C2470" t="n">
        <v>1</v>
      </c>
      <c r="D2470" t="n">
        <v>1</v>
      </c>
      <c r="E2470" t="s">
        <v>2473</v>
      </c>
      <c r="F2470" t="s"/>
      <c r="G2470" t="s"/>
      <c r="H2470" t="s"/>
      <c r="I2470" t="s"/>
      <c r="J2470" t="n">
        <v>-0.765</v>
      </c>
      <c r="K2470" t="n">
        <v>0.226</v>
      </c>
      <c r="L2470" t="n">
        <v>0.774</v>
      </c>
      <c r="M2470" t="n">
        <v>0</v>
      </c>
    </row>
    <row r="2471" spans="1:13">
      <c r="A2471" s="1">
        <f>HYPERLINK("http://www.twitter.com/NathanBLawrence/status/978360684055547904", "978360684055547904")</f>
        <v/>
      </c>
      <c r="B2471" s="2" t="n">
        <v>43185.83261574074</v>
      </c>
      <c r="C2471" t="n">
        <v>1</v>
      </c>
      <c r="D2471" t="n">
        <v>0</v>
      </c>
      <c r="E2471" t="s">
        <v>2474</v>
      </c>
      <c r="F2471" t="s"/>
      <c r="G2471" t="s"/>
      <c r="H2471" t="s"/>
      <c r="I2471" t="s"/>
      <c r="J2471" t="n">
        <v>0.5574</v>
      </c>
      <c r="K2471" t="n">
        <v>0</v>
      </c>
      <c r="L2471" t="n">
        <v>0.909</v>
      </c>
      <c r="M2471" t="n">
        <v>0.091</v>
      </c>
    </row>
    <row r="2472" spans="1:13">
      <c r="A2472" s="1">
        <f>HYPERLINK("http://www.twitter.com/NathanBLawrence/status/978338981371957248", "978338981371957248")</f>
        <v/>
      </c>
      <c r="B2472" s="2" t="n">
        <v>43185.77273148148</v>
      </c>
      <c r="C2472" t="n">
        <v>5</v>
      </c>
      <c r="D2472" t="n">
        <v>0</v>
      </c>
      <c r="E2472" t="s">
        <v>2475</v>
      </c>
      <c r="F2472" t="s"/>
      <c r="G2472" t="s"/>
      <c r="H2472" t="s"/>
      <c r="I2472" t="s"/>
      <c r="J2472" t="n">
        <v>0.4939</v>
      </c>
      <c r="K2472" t="n">
        <v>0</v>
      </c>
      <c r="L2472" t="n">
        <v>0.819</v>
      </c>
      <c r="M2472" t="n">
        <v>0.181</v>
      </c>
    </row>
    <row r="2473" spans="1:13">
      <c r="A2473" s="1">
        <f>HYPERLINK("http://www.twitter.com/NathanBLawrence/status/978313259173470210", "978313259173470210")</f>
        <v/>
      </c>
      <c r="B2473" s="2" t="n">
        <v>43185.70174768518</v>
      </c>
      <c r="C2473" t="n">
        <v>1</v>
      </c>
      <c r="D2473" t="n">
        <v>0</v>
      </c>
      <c r="E2473" t="s">
        <v>2476</v>
      </c>
      <c r="F2473" t="s"/>
      <c r="G2473" t="s"/>
      <c r="H2473" t="s"/>
      <c r="I2473" t="s"/>
      <c r="J2473" t="n">
        <v>-0.434</v>
      </c>
      <c r="K2473" t="n">
        <v>0.128</v>
      </c>
      <c r="L2473" t="n">
        <v>0.822</v>
      </c>
      <c r="M2473" t="n">
        <v>0.05</v>
      </c>
    </row>
    <row r="2474" spans="1:13">
      <c r="A2474" s="1">
        <f>HYPERLINK("http://www.twitter.com/NathanBLawrence/status/977971853695291399", "977971853695291399")</f>
        <v/>
      </c>
      <c r="B2474" s="2" t="n">
        <v>43184.75965277778</v>
      </c>
      <c r="C2474" t="n">
        <v>0</v>
      </c>
      <c r="D2474" t="n">
        <v>0</v>
      </c>
      <c r="E2474" t="s">
        <v>2477</v>
      </c>
      <c r="F2474" t="s"/>
      <c r="G2474" t="s"/>
      <c r="H2474" t="s"/>
      <c r="I2474" t="s"/>
      <c r="J2474" t="n">
        <v>0.7345</v>
      </c>
      <c r="K2474" t="n">
        <v>0</v>
      </c>
      <c r="L2474" t="n">
        <v>0.764</v>
      </c>
      <c r="M2474" t="n">
        <v>0.236</v>
      </c>
    </row>
    <row r="2475" spans="1:13">
      <c r="A2475" s="1">
        <f>HYPERLINK("http://www.twitter.com/NathanBLawrence/status/977669154743443456", "977669154743443456")</f>
        <v/>
      </c>
      <c r="B2475" s="2" t="n">
        <v>43183.92436342593</v>
      </c>
      <c r="C2475" t="n">
        <v>1</v>
      </c>
      <c r="D2475" t="n">
        <v>0</v>
      </c>
      <c r="E2475" t="s">
        <v>2478</v>
      </c>
      <c r="F2475" t="s"/>
      <c r="G2475" t="s"/>
      <c r="H2475" t="s"/>
      <c r="I2475" t="s"/>
      <c r="J2475" t="n">
        <v>0.5411</v>
      </c>
      <c r="K2475" t="n">
        <v>0</v>
      </c>
      <c r="L2475" t="n">
        <v>0.696</v>
      </c>
      <c r="M2475" t="n">
        <v>0.304</v>
      </c>
    </row>
    <row r="2476" spans="1:13">
      <c r="A2476" s="1">
        <f>HYPERLINK("http://www.twitter.com/NathanBLawrence/status/977568992578719750", "977568992578719750")</f>
        <v/>
      </c>
      <c r="B2476" s="2" t="n">
        <v>43183.64796296296</v>
      </c>
      <c r="C2476" t="n">
        <v>1</v>
      </c>
      <c r="D2476" t="n">
        <v>0</v>
      </c>
      <c r="E2476" t="s">
        <v>2479</v>
      </c>
      <c r="F2476" t="s"/>
      <c r="G2476" t="s"/>
      <c r="H2476" t="s"/>
      <c r="I2476" t="s"/>
      <c r="J2476" t="n">
        <v>-0.6404</v>
      </c>
      <c r="K2476" t="n">
        <v>0.187</v>
      </c>
      <c r="L2476" t="n">
        <v>0.752</v>
      </c>
      <c r="M2476" t="n">
        <v>0.061</v>
      </c>
    </row>
    <row r="2477" spans="1:13">
      <c r="A2477" s="1">
        <f>HYPERLINK("http://www.twitter.com/NathanBLawrence/status/977568006749523968", "977568006749523968")</f>
        <v/>
      </c>
      <c r="B2477" s="2" t="n">
        <v>43183.64524305556</v>
      </c>
      <c r="C2477" t="n">
        <v>1</v>
      </c>
      <c r="D2477" t="n">
        <v>0</v>
      </c>
      <c r="E2477" t="s">
        <v>2480</v>
      </c>
      <c r="F2477" t="s"/>
      <c r="G2477" t="s"/>
      <c r="H2477" t="s"/>
      <c r="I2477" t="s"/>
      <c r="J2477" t="n">
        <v>-0.6808</v>
      </c>
      <c r="K2477" t="n">
        <v>0.157</v>
      </c>
      <c r="L2477" t="n">
        <v>0.843</v>
      </c>
      <c r="M2477" t="n">
        <v>0</v>
      </c>
    </row>
    <row r="2478" spans="1:13">
      <c r="A2478" s="1">
        <f>HYPERLINK("http://www.twitter.com/NathanBLawrence/status/977566618522914816", "977566618522914816")</f>
        <v/>
      </c>
      <c r="B2478" s="2" t="n">
        <v>43183.64141203704</v>
      </c>
      <c r="C2478" t="n">
        <v>0</v>
      </c>
      <c r="D2478" t="n">
        <v>0</v>
      </c>
      <c r="E2478" t="s">
        <v>2481</v>
      </c>
      <c r="F2478" t="s"/>
      <c r="G2478" t="s"/>
      <c r="H2478" t="s"/>
      <c r="I2478" t="s"/>
      <c r="J2478" t="n">
        <v>0.872</v>
      </c>
      <c r="K2478" t="n">
        <v>0.06</v>
      </c>
      <c r="L2478" t="n">
        <v>0.644</v>
      </c>
      <c r="M2478" t="n">
        <v>0.296</v>
      </c>
    </row>
    <row r="2479" spans="1:13">
      <c r="A2479" s="1">
        <f>HYPERLINK("http://www.twitter.com/NathanBLawrence/status/977564669786382339", "977564669786382339")</f>
        <v/>
      </c>
      <c r="B2479" s="2" t="n">
        <v>43183.63604166666</v>
      </c>
      <c r="C2479" t="n">
        <v>2</v>
      </c>
      <c r="D2479" t="n">
        <v>1</v>
      </c>
      <c r="E2479" t="s">
        <v>2482</v>
      </c>
      <c r="F2479" t="s"/>
      <c r="G2479" t="s"/>
      <c r="H2479" t="s"/>
      <c r="I2479" t="s"/>
      <c r="J2479" t="n">
        <v>-0.4341</v>
      </c>
      <c r="K2479" t="n">
        <v>0.08</v>
      </c>
      <c r="L2479" t="n">
        <v>0.92</v>
      </c>
      <c r="M2479" t="n">
        <v>0</v>
      </c>
    </row>
    <row r="2480" spans="1:13">
      <c r="A2480" s="1">
        <f>HYPERLINK("http://www.twitter.com/NathanBLawrence/status/977563812348952576", "977563812348952576")</f>
        <v/>
      </c>
      <c r="B2480" s="2" t="n">
        <v>43183.63366898148</v>
      </c>
      <c r="C2480" t="n">
        <v>0</v>
      </c>
      <c r="D2480" t="n">
        <v>0</v>
      </c>
      <c r="E2480" t="s">
        <v>2483</v>
      </c>
      <c r="F2480" t="s"/>
      <c r="G2480" t="s"/>
      <c r="H2480" t="s"/>
      <c r="I2480" t="s"/>
      <c r="J2480" t="n">
        <v>-0.296</v>
      </c>
      <c r="K2480" t="n">
        <v>0.155</v>
      </c>
      <c r="L2480" t="n">
        <v>0.845</v>
      </c>
      <c r="M2480" t="n">
        <v>0</v>
      </c>
    </row>
    <row r="2481" spans="1:13">
      <c r="A2481" s="1">
        <f>HYPERLINK("http://www.twitter.com/NathanBLawrence/status/977563752286564353", "977563752286564353")</f>
        <v/>
      </c>
      <c r="B2481" s="2" t="n">
        <v>43183.63350694445</v>
      </c>
      <c r="C2481" t="n">
        <v>2</v>
      </c>
      <c r="D2481" t="n">
        <v>1</v>
      </c>
      <c r="E2481" t="s">
        <v>2484</v>
      </c>
      <c r="F2481" t="s"/>
      <c r="G2481" t="s"/>
      <c r="H2481" t="s"/>
      <c r="I2481" t="s"/>
      <c r="J2481" t="n">
        <v>0</v>
      </c>
      <c r="K2481" t="n">
        <v>0</v>
      </c>
      <c r="L2481" t="n">
        <v>1</v>
      </c>
      <c r="M2481" t="n">
        <v>0</v>
      </c>
    </row>
    <row r="2482" spans="1:13">
      <c r="A2482" s="1">
        <f>HYPERLINK("http://www.twitter.com/NathanBLawrence/status/977339549104857089", "977339549104857089")</f>
        <v/>
      </c>
      <c r="B2482" s="2" t="n">
        <v>43183.01482638889</v>
      </c>
      <c r="C2482" t="n">
        <v>2</v>
      </c>
      <c r="D2482" t="n">
        <v>0</v>
      </c>
      <c r="E2482" t="s">
        <v>2485</v>
      </c>
      <c r="F2482" t="s"/>
      <c r="G2482" t="s"/>
      <c r="H2482" t="s"/>
      <c r="I2482" t="s"/>
      <c r="J2482" t="n">
        <v>-0.6124000000000001</v>
      </c>
      <c r="K2482" t="n">
        <v>0.167</v>
      </c>
      <c r="L2482" t="n">
        <v>0.833</v>
      </c>
      <c r="M2482" t="n">
        <v>0</v>
      </c>
    </row>
    <row r="2483" spans="1:13">
      <c r="A2483" s="1">
        <f>HYPERLINK("http://www.twitter.com/NathanBLawrence/status/977310058383060992", "977310058383060992")</f>
        <v/>
      </c>
      <c r="B2483" s="2" t="n">
        <v>43182.93344907407</v>
      </c>
      <c r="C2483" t="n">
        <v>0</v>
      </c>
      <c r="D2483" t="n">
        <v>0</v>
      </c>
      <c r="E2483" t="s">
        <v>2486</v>
      </c>
      <c r="F2483" t="s"/>
      <c r="G2483" t="s"/>
      <c r="H2483" t="s"/>
      <c r="I2483" t="s"/>
      <c r="J2483" t="n">
        <v>-0.8826000000000001</v>
      </c>
      <c r="K2483" t="n">
        <v>0.272</v>
      </c>
      <c r="L2483" t="n">
        <v>0.6820000000000001</v>
      </c>
      <c r="M2483" t="n">
        <v>0.046</v>
      </c>
    </row>
    <row r="2484" spans="1:13">
      <c r="A2484" s="1">
        <f>HYPERLINK("http://www.twitter.com/NathanBLawrence/status/977309870939627520", "977309870939627520")</f>
        <v/>
      </c>
      <c r="B2484" s="2" t="n">
        <v>43182.93292824074</v>
      </c>
      <c r="C2484" t="n">
        <v>0</v>
      </c>
      <c r="D2484" t="n">
        <v>0</v>
      </c>
      <c r="E2484" t="s">
        <v>2487</v>
      </c>
      <c r="F2484" t="s"/>
      <c r="G2484" t="s"/>
      <c r="H2484" t="s"/>
      <c r="I2484" t="s"/>
      <c r="J2484" t="n">
        <v>-0.8901</v>
      </c>
      <c r="K2484" t="n">
        <v>0.266</v>
      </c>
      <c r="L2484" t="n">
        <v>0.6889999999999999</v>
      </c>
      <c r="M2484" t="n">
        <v>0.044</v>
      </c>
    </row>
    <row r="2485" spans="1:13">
      <c r="A2485" s="1">
        <f>HYPERLINK("http://www.twitter.com/NathanBLawrence/status/977304586254979072", "977304586254979072")</f>
        <v/>
      </c>
      <c r="B2485" s="2" t="n">
        <v>43182.9183449074</v>
      </c>
      <c r="C2485" t="n">
        <v>1</v>
      </c>
      <c r="D2485" t="n">
        <v>1</v>
      </c>
      <c r="E2485" t="s">
        <v>2488</v>
      </c>
      <c r="F2485" t="s"/>
      <c r="G2485" t="s"/>
      <c r="H2485" t="s"/>
      <c r="I2485" t="s"/>
      <c r="J2485" t="n">
        <v>-0.1027</v>
      </c>
      <c r="K2485" t="n">
        <v>0.328</v>
      </c>
      <c r="L2485" t="n">
        <v>0.365</v>
      </c>
      <c r="M2485" t="n">
        <v>0.307</v>
      </c>
    </row>
    <row r="2486" spans="1:13">
      <c r="A2486" s="1">
        <f>HYPERLINK("http://www.twitter.com/NathanBLawrence/status/977304317962178565", "977304317962178565")</f>
        <v/>
      </c>
      <c r="B2486" s="2" t="n">
        <v>43182.91760416667</v>
      </c>
      <c r="C2486" t="n">
        <v>4</v>
      </c>
      <c r="D2486" t="n">
        <v>2</v>
      </c>
      <c r="E2486" t="s">
        <v>2489</v>
      </c>
      <c r="F2486" t="s"/>
      <c r="G2486" t="s"/>
      <c r="H2486" t="s"/>
      <c r="I2486" t="s"/>
      <c r="J2486" t="n">
        <v>-0.7574</v>
      </c>
      <c r="K2486" t="n">
        <v>0.209</v>
      </c>
      <c r="L2486" t="n">
        <v>0.743</v>
      </c>
      <c r="M2486" t="n">
        <v>0.048</v>
      </c>
    </row>
    <row r="2487" spans="1:13">
      <c r="A2487" s="1">
        <f>HYPERLINK("http://www.twitter.com/NathanBLawrence/status/977280854589427713", "977280854589427713")</f>
        <v/>
      </c>
      <c r="B2487" s="2" t="n">
        <v>43182.85285879629</v>
      </c>
      <c r="C2487" t="n">
        <v>1</v>
      </c>
      <c r="D2487" t="n">
        <v>0</v>
      </c>
      <c r="E2487" t="s">
        <v>2490</v>
      </c>
      <c r="F2487" t="s"/>
      <c r="G2487" t="s"/>
      <c r="H2487" t="s"/>
      <c r="I2487" t="s"/>
      <c r="J2487" t="n">
        <v>-0.743</v>
      </c>
      <c r="K2487" t="n">
        <v>0.154</v>
      </c>
      <c r="L2487" t="n">
        <v>0.846</v>
      </c>
      <c r="M2487" t="n">
        <v>0</v>
      </c>
    </row>
    <row r="2488" spans="1:13">
      <c r="A2488" s="1">
        <f>HYPERLINK("http://www.twitter.com/NathanBLawrence/status/977279586022121474", "977279586022121474")</f>
        <v/>
      </c>
      <c r="B2488" s="2" t="n">
        <v>43182.84935185185</v>
      </c>
      <c r="C2488" t="n">
        <v>1</v>
      </c>
      <c r="D2488" t="n">
        <v>0</v>
      </c>
      <c r="E2488" t="s">
        <v>2491</v>
      </c>
      <c r="F2488" t="s"/>
      <c r="G2488" t="s"/>
      <c r="H2488" t="s"/>
      <c r="I2488" t="s"/>
      <c r="J2488" t="n">
        <v>-0.6597</v>
      </c>
      <c r="K2488" t="n">
        <v>0.375</v>
      </c>
      <c r="L2488" t="n">
        <v>0.625</v>
      </c>
      <c r="M2488" t="n">
        <v>0</v>
      </c>
    </row>
    <row r="2489" spans="1:13">
      <c r="A2489" s="1">
        <f>HYPERLINK("http://www.twitter.com/NathanBLawrence/status/977016354325876736", "977016354325876736")</f>
        <v/>
      </c>
      <c r="B2489" s="2" t="n">
        <v>43182.12297453704</v>
      </c>
      <c r="C2489" t="n">
        <v>2</v>
      </c>
      <c r="D2489" t="n">
        <v>1</v>
      </c>
      <c r="E2489" t="s">
        <v>2492</v>
      </c>
      <c r="F2489" t="s"/>
      <c r="G2489" t="s"/>
      <c r="H2489" t="s"/>
      <c r="I2489" t="s"/>
      <c r="J2489" t="n">
        <v>0.1139</v>
      </c>
      <c r="K2489" t="n">
        <v>0</v>
      </c>
      <c r="L2489" t="n">
        <v>0.917</v>
      </c>
      <c r="M2489" t="n">
        <v>0.083</v>
      </c>
    </row>
    <row r="2490" spans="1:13">
      <c r="A2490" s="1">
        <f>HYPERLINK("http://www.twitter.com/NathanBLawrence/status/976995699282898945", "976995699282898945")</f>
        <v/>
      </c>
      <c r="B2490" s="2" t="n">
        <v>43182.0659837963</v>
      </c>
      <c r="C2490" t="n">
        <v>0</v>
      </c>
      <c r="D2490" t="n">
        <v>0</v>
      </c>
      <c r="E2490" t="s">
        <v>2493</v>
      </c>
      <c r="F2490" t="s"/>
      <c r="G2490" t="s"/>
      <c r="H2490" t="s"/>
      <c r="I2490" t="s"/>
      <c r="J2490" t="n">
        <v>0</v>
      </c>
      <c r="K2490" t="n">
        <v>0</v>
      </c>
      <c r="L2490" t="n">
        <v>1</v>
      </c>
      <c r="M2490" t="n">
        <v>0</v>
      </c>
    </row>
    <row r="2491" spans="1:13">
      <c r="A2491" s="1">
        <f>HYPERLINK("http://www.twitter.com/NathanBLawrence/status/976993840530907136", "976993840530907136")</f>
        <v/>
      </c>
      <c r="B2491" s="2" t="n">
        <v>43182.06084490741</v>
      </c>
      <c r="C2491" t="n">
        <v>0</v>
      </c>
      <c r="D2491" t="n">
        <v>0</v>
      </c>
      <c r="E2491" t="s">
        <v>2494</v>
      </c>
      <c r="F2491" t="s"/>
      <c r="G2491" t="s"/>
      <c r="H2491" t="s"/>
      <c r="I2491" t="s"/>
      <c r="J2491" t="n">
        <v>-0.4767</v>
      </c>
      <c r="K2491" t="n">
        <v>0.283</v>
      </c>
      <c r="L2491" t="n">
        <v>0.585</v>
      </c>
      <c r="M2491" t="n">
        <v>0.132</v>
      </c>
    </row>
    <row r="2492" spans="1:13">
      <c r="A2492" s="1">
        <f>HYPERLINK("http://www.twitter.com/NathanBLawrence/status/976982970048401408", "976982970048401408")</f>
        <v/>
      </c>
      <c r="B2492" s="2" t="n">
        <v>43182.03085648148</v>
      </c>
      <c r="C2492" t="n">
        <v>0</v>
      </c>
      <c r="D2492" t="n">
        <v>0</v>
      </c>
      <c r="E2492" t="s">
        <v>2495</v>
      </c>
      <c r="F2492" t="s"/>
      <c r="G2492" t="s"/>
      <c r="H2492" t="s"/>
      <c r="I2492" t="s"/>
      <c r="J2492" t="n">
        <v>0.2023</v>
      </c>
      <c r="K2492" t="n">
        <v>0</v>
      </c>
      <c r="L2492" t="n">
        <v>0.87</v>
      </c>
      <c r="M2492" t="n">
        <v>0.13</v>
      </c>
    </row>
    <row r="2493" spans="1:13">
      <c r="A2493" s="1">
        <f>HYPERLINK("http://www.twitter.com/NathanBLawrence/status/976887017203208192", "976887017203208192")</f>
        <v/>
      </c>
      <c r="B2493" s="2" t="n">
        <v>43181.76607638889</v>
      </c>
      <c r="C2493" t="n">
        <v>0</v>
      </c>
      <c r="D2493" t="n">
        <v>0</v>
      </c>
      <c r="E2493" t="s">
        <v>2496</v>
      </c>
      <c r="F2493" t="s"/>
      <c r="G2493" t="s"/>
      <c r="H2493" t="s"/>
      <c r="I2493" t="s"/>
      <c r="J2493" t="n">
        <v>0.5266999999999999</v>
      </c>
      <c r="K2493" t="n">
        <v>0.065</v>
      </c>
      <c r="L2493" t="n">
        <v>0.769</v>
      </c>
      <c r="M2493" t="n">
        <v>0.166</v>
      </c>
    </row>
    <row r="2494" spans="1:13">
      <c r="A2494" s="1">
        <f>HYPERLINK("http://www.twitter.com/NathanBLawrence/status/976605017615622145", "976605017615622145")</f>
        <v/>
      </c>
      <c r="B2494" s="2" t="n">
        <v>43180.9879050926</v>
      </c>
      <c r="C2494" t="n">
        <v>2</v>
      </c>
      <c r="D2494" t="n">
        <v>0</v>
      </c>
      <c r="E2494" t="s">
        <v>2497</v>
      </c>
      <c r="F2494" t="s"/>
      <c r="G2494" t="s"/>
      <c r="H2494" t="s"/>
      <c r="I2494" t="s"/>
      <c r="J2494" t="n">
        <v>0</v>
      </c>
      <c r="K2494" t="n">
        <v>0</v>
      </c>
      <c r="L2494" t="n">
        <v>1</v>
      </c>
      <c r="M2494" t="n">
        <v>0</v>
      </c>
    </row>
    <row r="2495" spans="1:13">
      <c r="A2495" s="1">
        <f>HYPERLINK("http://www.twitter.com/NathanBLawrence/status/976569441432604673", "976569441432604673")</f>
        <v/>
      </c>
      <c r="B2495" s="2" t="n">
        <v>43180.8897337963</v>
      </c>
      <c r="C2495" t="n">
        <v>0</v>
      </c>
      <c r="D2495" t="n">
        <v>0</v>
      </c>
      <c r="E2495" t="s">
        <v>2498</v>
      </c>
      <c r="F2495" t="s"/>
      <c r="G2495" t="s"/>
      <c r="H2495" t="s"/>
      <c r="I2495" t="s"/>
      <c r="J2495" t="n">
        <v>0</v>
      </c>
      <c r="K2495" t="n">
        <v>0</v>
      </c>
      <c r="L2495" t="n">
        <v>1</v>
      </c>
      <c r="M2495" t="n">
        <v>0</v>
      </c>
    </row>
    <row r="2496" spans="1:13">
      <c r="A2496" s="1">
        <f>HYPERLINK("http://www.twitter.com/NathanBLawrence/status/976513019915141120", "976513019915141120")</f>
        <v/>
      </c>
      <c r="B2496" s="2" t="n">
        <v>43180.73403935185</v>
      </c>
      <c r="C2496" t="n">
        <v>0</v>
      </c>
      <c r="D2496" t="n">
        <v>0</v>
      </c>
      <c r="E2496" t="s">
        <v>2499</v>
      </c>
      <c r="F2496" t="s"/>
      <c r="G2496" t="s"/>
      <c r="H2496" t="s"/>
      <c r="I2496" t="s"/>
      <c r="J2496" t="n">
        <v>0.8977000000000001</v>
      </c>
      <c r="K2496" t="n">
        <v>0</v>
      </c>
      <c r="L2496" t="n">
        <v>0.521</v>
      </c>
      <c r="M2496" t="n">
        <v>0.479</v>
      </c>
    </row>
    <row r="2497" spans="1:13">
      <c r="A2497" s="1">
        <f>HYPERLINK("http://www.twitter.com/NathanBLawrence/status/976279569266176001", "976279569266176001")</f>
        <v/>
      </c>
      <c r="B2497" s="2" t="n">
        <v>43180.08983796297</v>
      </c>
      <c r="C2497" t="n">
        <v>2</v>
      </c>
      <c r="D2497" t="n">
        <v>0</v>
      </c>
      <c r="E2497" t="s">
        <v>2500</v>
      </c>
      <c r="F2497" t="s"/>
      <c r="G2497" t="s"/>
      <c r="H2497" t="s"/>
      <c r="I2497" t="s"/>
      <c r="J2497" t="n">
        <v>0</v>
      </c>
      <c r="K2497" t="n">
        <v>0</v>
      </c>
      <c r="L2497" t="n">
        <v>1</v>
      </c>
      <c r="M2497" t="n">
        <v>0</v>
      </c>
    </row>
    <row r="2498" spans="1:13">
      <c r="A2498" s="1">
        <f>HYPERLINK("http://www.twitter.com/NathanBLawrence/status/976191365947248640", "976191365947248640")</f>
        <v/>
      </c>
      <c r="B2498" s="2" t="n">
        <v>43179.84644675926</v>
      </c>
      <c r="C2498" t="n">
        <v>1</v>
      </c>
      <c r="D2498" t="n">
        <v>0</v>
      </c>
      <c r="E2498" t="s">
        <v>2501</v>
      </c>
      <c r="F2498" t="s"/>
      <c r="G2498" t="s"/>
      <c r="H2498" t="s"/>
      <c r="I2498" t="s"/>
      <c r="J2498" t="n">
        <v>-0.6369</v>
      </c>
      <c r="K2498" t="n">
        <v>0.215</v>
      </c>
      <c r="L2498" t="n">
        <v>0.785</v>
      </c>
      <c r="M2498" t="n">
        <v>0</v>
      </c>
    </row>
    <row r="2499" spans="1:13">
      <c r="A2499" s="1">
        <f>HYPERLINK("http://www.twitter.com/NathanBLawrence/status/976100498146291712", "976100498146291712")</f>
        <v/>
      </c>
      <c r="B2499" s="2" t="n">
        <v>43179.59569444445</v>
      </c>
      <c r="C2499" t="n">
        <v>2</v>
      </c>
      <c r="D2499" t="n">
        <v>1</v>
      </c>
      <c r="E2499" t="s">
        <v>2502</v>
      </c>
      <c r="F2499" t="s"/>
      <c r="G2499" t="s"/>
      <c r="H2499" t="s"/>
      <c r="I2499" t="s"/>
      <c r="J2499" t="n">
        <v>-0.2411</v>
      </c>
      <c r="K2499" t="n">
        <v>0.061</v>
      </c>
      <c r="L2499" t="n">
        <v>0.9389999999999999</v>
      </c>
      <c r="M2499" t="n">
        <v>0</v>
      </c>
    </row>
    <row r="2500" spans="1:13">
      <c r="A2500" s="1">
        <f>HYPERLINK("http://www.twitter.com/NathanBLawrence/status/975917825306095617", "975917825306095617")</f>
        <v/>
      </c>
      <c r="B2500" s="2" t="n">
        <v>43179.0916087963</v>
      </c>
      <c r="C2500" t="n">
        <v>0</v>
      </c>
      <c r="D2500" t="n">
        <v>0</v>
      </c>
      <c r="E2500" t="s">
        <v>2503</v>
      </c>
      <c r="F2500" t="s"/>
      <c r="G2500" t="s"/>
      <c r="H2500" t="s"/>
      <c r="I2500" t="s"/>
      <c r="J2500" t="n">
        <v>-0.0503</v>
      </c>
      <c r="K2500" t="n">
        <v>0.131</v>
      </c>
      <c r="L2500" t="n">
        <v>0.742</v>
      </c>
      <c r="M2500" t="n">
        <v>0.127</v>
      </c>
    </row>
    <row r="2501" spans="1:13">
      <c r="A2501" s="1">
        <f>HYPERLINK("http://www.twitter.com/NathanBLawrence/status/975917021371265025", "975917021371265025")</f>
        <v/>
      </c>
      <c r="B2501" s="2" t="n">
        <v>43179.08939814815</v>
      </c>
      <c r="C2501" t="n">
        <v>10</v>
      </c>
      <c r="D2501" t="n">
        <v>6</v>
      </c>
      <c r="E2501" t="s">
        <v>2504</v>
      </c>
      <c r="F2501" t="s"/>
      <c r="G2501" t="s"/>
      <c r="H2501" t="s"/>
      <c r="I2501" t="s"/>
      <c r="J2501" t="n">
        <v>0.1321</v>
      </c>
      <c r="K2501" t="n">
        <v>0.147</v>
      </c>
      <c r="L2501" t="n">
        <v>0.728</v>
      </c>
      <c r="M2501" t="n">
        <v>0.125</v>
      </c>
    </row>
    <row r="2502" spans="1:13">
      <c r="A2502" s="1">
        <f>HYPERLINK("http://www.twitter.com/NathanBLawrence/status/975912101804900352", "975912101804900352")</f>
        <v/>
      </c>
      <c r="B2502" s="2" t="n">
        <v>43179.07582175926</v>
      </c>
      <c r="C2502" t="n">
        <v>3</v>
      </c>
      <c r="D2502" t="n">
        <v>2</v>
      </c>
      <c r="E2502" t="s">
        <v>2505</v>
      </c>
      <c r="F2502" t="s"/>
      <c r="G2502" t="s"/>
      <c r="H2502" t="s"/>
      <c r="I2502" t="s"/>
      <c r="J2502" t="n">
        <v>-0.4404</v>
      </c>
      <c r="K2502" t="n">
        <v>0.11</v>
      </c>
      <c r="L2502" t="n">
        <v>0.852</v>
      </c>
      <c r="M2502" t="n">
        <v>0.038</v>
      </c>
    </row>
    <row r="2503" spans="1:13">
      <c r="A2503" s="1">
        <f>HYPERLINK("http://www.twitter.com/NathanBLawrence/status/975869279953391617", "975869279953391617")</f>
        <v/>
      </c>
      <c r="B2503" s="2" t="n">
        <v>43178.95765046297</v>
      </c>
      <c r="C2503" t="n">
        <v>1</v>
      </c>
      <c r="D2503" t="n">
        <v>0</v>
      </c>
      <c r="E2503" t="s">
        <v>2506</v>
      </c>
      <c r="F2503" t="s"/>
      <c r="G2503" t="s"/>
      <c r="H2503" t="s"/>
      <c r="I2503" t="s"/>
      <c r="J2503" t="n">
        <v>-0.7423999999999999</v>
      </c>
      <c r="K2503" t="n">
        <v>0.321</v>
      </c>
      <c r="L2503" t="n">
        <v>0.576</v>
      </c>
      <c r="M2503" t="n">
        <v>0.103</v>
      </c>
    </row>
    <row r="2504" spans="1:13">
      <c r="A2504" s="1">
        <f>HYPERLINK("http://www.twitter.com/NathanBLawrence/status/975859457354846208", "975859457354846208")</f>
        <v/>
      </c>
      <c r="B2504" s="2" t="n">
        <v>43178.93054398148</v>
      </c>
      <c r="C2504" t="n">
        <v>2</v>
      </c>
      <c r="D2504" t="n">
        <v>0</v>
      </c>
      <c r="E2504" t="s">
        <v>2507</v>
      </c>
      <c r="F2504" t="s"/>
      <c r="G2504" t="s"/>
      <c r="H2504" t="s"/>
      <c r="I2504" t="s"/>
      <c r="J2504" t="n">
        <v>0.4389</v>
      </c>
      <c r="K2504" t="n">
        <v>0.15</v>
      </c>
      <c r="L2504" t="n">
        <v>0.5639999999999999</v>
      </c>
      <c r="M2504" t="n">
        <v>0.286</v>
      </c>
    </row>
    <row r="2505" spans="1:13">
      <c r="A2505" s="1">
        <f>HYPERLINK("http://www.twitter.com/NathanBLawrence/status/975850115691941888", "975850115691941888")</f>
        <v/>
      </c>
      <c r="B2505" s="2" t="n">
        <v>43178.90476851852</v>
      </c>
      <c r="C2505" t="n">
        <v>0</v>
      </c>
      <c r="D2505" t="n">
        <v>0</v>
      </c>
      <c r="E2505" t="s">
        <v>2508</v>
      </c>
      <c r="F2505" t="s"/>
      <c r="G2505" t="s"/>
      <c r="H2505" t="s"/>
      <c r="I2505" t="s"/>
      <c r="J2505" t="n">
        <v>0.1058</v>
      </c>
      <c r="K2505" t="n">
        <v>0.14</v>
      </c>
      <c r="L2505" t="n">
        <v>0.661</v>
      </c>
      <c r="M2505" t="n">
        <v>0.199</v>
      </c>
    </row>
    <row r="2506" spans="1:13">
      <c r="A2506" s="1">
        <f>HYPERLINK("http://www.twitter.com/NathanBLawrence/status/975849912939241472", "975849912939241472")</f>
        <v/>
      </c>
      <c r="B2506" s="2" t="n">
        <v>43178.90421296296</v>
      </c>
      <c r="C2506" t="n">
        <v>0</v>
      </c>
      <c r="D2506" t="n">
        <v>0</v>
      </c>
      <c r="E2506" t="s">
        <v>2509</v>
      </c>
      <c r="F2506" t="s"/>
      <c r="G2506" t="s"/>
      <c r="H2506" t="s"/>
      <c r="I2506" t="s"/>
      <c r="J2506" t="n">
        <v>-0.8067</v>
      </c>
      <c r="K2506" t="n">
        <v>0.22</v>
      </c>
      <c r="L2506" t="n">
        <v>0.733</v>
      </c>
      <c r="M2506" t="n">
        <v>0.047</v>
      </c>
    </row>
    <row r="2507" spans="1:13">
      <c r="A2507" s="1">
        <f>HYPERLINK("http://www.twitter.com/NathanBLawrence/status/975848728455237634", "975848728455237634")</f>
        <v/>
      </c>
      <c r="B2507" s="2" t="n">
        <v>43178.9009375</v>
      </c>
      <c r="C2507" t="n">
        <v>2</v>
      </c>
      <c r="D2507" t="n">
        <v>2</v>
      </c>
      <c r="E2507" t="s">
        <v>2510</v>
      </c>
      <c r="F2507" t="s"/>
      <c r="G2507" t="s"/>
      <c r="H2507" t="s"/>
      <c r="I2507" t="s"/>
      <c r="J2507" t="n">
        <v>-0.0516</v>
      </c>
      <c r="K2507" t="n">
        <v>0.108</v>
      </c>
      <c r="L2507" t="n">
        <v>0.759</v>
      </c>
      <c r="M2507" t="n">
        <v>0.133</v>
      </c>
    </row>
    <row r="2508" spans="1:13">
      <c r="A2508" s="1">
        <f>HYPERLINK("http://www.twitter.com/NathanBLawrence/status/975847576443543552", "975847576443543552")</f>
        <v/>
      </c>
      <c r="B2508" s="2" t="n">
        <v>43178.89776620371</v>
      </c>
      <c r="C2508" t="n">
        <v>4</v>
      </c>
      <c r="D2508" t="n">
        <v>3</v>
      </c>
      <c r="E2508" t="s">
        <v>2511</v>
      </c>
      <c r="F2508" t="s"/>
      <c r="G2508" t="s"/>
      <c r="H2508" t="s"/>
      <c r="I2508" t="s"/>
      <c r="J2508" t="n">
        <v>-0.5255</v>
      </c>
      <c r="K2508" t="n">
        <v>0.138</v>
      </c>
      <c r="L2508" t="n">
        <v>0.8129999999999999</v>
      </c>
      <c r="M2508" t="n">
        <v>0.049</v>
      </c>
    </row>
    <row r="2509" spans="1:13">
      <c r="A2509" s="1">
        <f>HYPERLINK("http://www.twitter.com/NathanBLawrence/status/975770156742963201", "975770156742963201")</f>
        <v/>
      </c>
      <c r="B2509" s="2" t="n">
        <v>43178.68412037037</v>
      </c>
      <c r="C2509" t="n">
        <v>0</v>
      </c>
      <c r="D2509" t="n">
        <v>0</v>
      </c>
      <c r="E2509" t="s">
        <v>2512</v>
      </c>
      <c r="F2509" t="s"/>
      <c r="G2509" t="s"/>
      <c r="H2509" t="s"/>
      <c r="I2509" t="s"/>
      <c r="J2509" t="n">
        <v>0.2732</v>
      </c>
      <c r="K2509" t="n">
        <v>0</v>
      </c>
      <c r="L2509" t="n">
        <v>0.946</v>
      </c>
      <c r="M2509" t="n">
        <v>0.054</v>
      </c>
    </row>
    <row r="2510" spans="1:13">
      <c r="A2510" s="1">
        <f>HYPERLINK("http://www.twitter.com/NathanBLawrence/status/975770116955701248", "975770116955701248")</f>
        <v/>
      </c>
      <c r="B2510" s="2" t="n">
        <v>43178.6840162037</v>
      </c>
      <c r="C2510" t="n">
        <v>2</v>
      </c>
      <c r="D2510" t="n">
        <v>0</v>
      </c>
      <c r="E2510" t="s">
        <v>2513</v>
      </c>
      <c r="F2510" t="s"/>
      <c r="G2510" t="s"/>
      <c r="H2510" t="s"/>
      <c r="I2510" t="s"/>
      <c r="J2510" t="n">
        <v>0.578</v>
      </c>
      <c r="K2510" t="n">
        <v>0</v>
      </c>
      <c r="L2510" t="n">
        <v>0.825</v>
      </c>
      <c r="M2510" t="n">
        <v>0.175</v>
      </c>
    </row>
    <row r="2511" spans="1:13">
      <c r="A2511" s="1">
        <f>HYPERLINK("http://www.twitter.com/NathanBLawrence/status/975490605219504128", "975490605219504128")</f>
        <v/>
      </c>
      <c r="B2511" s="2" t="n">
        <v>43177.91270833334</v>
      </c>
      <c r="C2511" t="n">
        <v>0</v>
      </c>
      <c r="D2511" t="n">
        <v>0</v>
      </c>
      <c r="E2511" t="s">
        <v>2514</v>
      </c>
      <c r="F2511" t="s"/>
      <c r="G2511" t="s"/>
      <c r="H2511" t="s"/>
      <c r="I2511" t="s"/>
      <c r="J2511" t="n">
        <v>0.4588</v>
      </c>
      <c r="K2511" t="n">
        <v>0</v>
      </c>
      <c r="L2511" t="n">
        <v>0.893</v>
      </c>
      <c r="M2511" t="n">
        <v>0.107</v>
      </c>
    </row>
    <row r="2512" spans="1:13">
      <c r="A2512" s="1">
        <f>HYPERLINK("http://www.twitter.com/NathanBLawrence/status/975489494748225536", "975489494748225536")</f>
        <v/>
      </c>
      <c r="B2512" s="2" t="n">
        <v>43177.9096412037</v>
      </c>
      <c r="C2512" t="n">
        <v>0</v>
      </c>
      <c r="D2512" t="n">
        <v>0</v>
      </c>
      <c r="E2512" t="s">
        <v>2515</v>
      </c>
      <c r="F2512" t="s"/>
      <c r="G2512" t="s"/>
      <c r="H2512" t="s"/>
      <c r="I2512" t="s"/>
      <c r="J2512" t="n">
        <v>0</v>
      </c>
      <c r="K2512" t="n">
        <v>0</v>
      </c>
      <c r="L2512" t="n">
        <v>1</v>
      </c>
      <c r="M2512" t="n">
        <v>0</v>
      </c>
    </row>
    <row r="2513" spans="1:13">
      <c r="A2513" s="1">
        <f>HYPERLINK("http://www.twitter.com/NathanBLawrence/status/975212389477113857", "975212389477113857")</f>
        <v/>
      </c>
      <c r="B2513" s="2" t="n">
        <v>43177.14497685185</v>
      </c>
      <c r="C2513" t="n">
        <v>0</v>
      </c>
      <c r="D2513" t="n">
        <v>0</v>
      </c>
      <c r="E2513" t="s">
        <v>2516</v>
      </c>
      <c r="F2513" t="s"/>
      <c r="G2513" t="s"/>
      <c r="H2513" t="s"/>
      <c r="I2513" t="s"/>
      <c r="J2513" t="n">
        <v>0</v>
      </c>
      <c r="K2513" t="n">
        <v>0</v>
      </c>
      <c r="L2513" t="n">
        <v>1</v>
      </c>
      <c r="M2513" t="n">
        <v>0</v>
      </c>
    </row>
    <row r="2514" spans="1:13">
      <c r="A2514" s="1">
        <f>HYPERLINK("http://www.twitter.com/NathanBLawrence/status/974778863694831616", "974778863694831616")</f>
        <v/>
      </c>
      <c r="B2514" s="2" t="n">
        <v>43175.94868055556</v>
      </c>
      <c r="C2514" t="n">
        <v>1</v>
      </c>
      <c r="D2514" t="n">
        <v>0</v>
      </c>
      <c r="E2514" t="s">
        <v>2517</v>
      </c>
      <c r="F2514" t="s"/>
      <c r="G2514" t="s"/>
      <c r="H2514" t="s"/>
      <c r="I2514" t="s"/>
      <c r="J2514" t="n">
        <v>0.7063</v>
      </c>
      <c r="K2514" t="n">
        <v>0</v>
      </c>
      <c r="L2514" t="n">
        <v>0.732</v>
      </c>
      <c r="M2514" t="n">
        <v>0.268</v>
      </c>
    </row>
    <row r="2515" spans="1:13">
      <c r="A2515" s="1">
        <f>HYPERLINK("http://www.twitter.com/NathanBLawrence/status/974762116270915588", "974762116270915588")</f>
        <v/>
      </c>
      <c r="B2515" s="2" t="n">
        <v>43175.90246527778</v>
      </c>
      <c r="C2515" t="n">
        <v>0</v>
      </c>
      <c r="D2515" t="n">
        <v>0</v>
      </c>
      <c r="E2515" t="s">
        <v>2518</v>
      </c>
      <c r="F2515" t="s"/>
      <c r="G2515" t="s"/>
      <c r="H2515" t="s"/>
      <c r="I2515" t="s"/>
      <c r="J2515" t="n">
        <v>0.2263</v>
      </c>
      <c r="K2515" t="n">
        <v>0</v>
      </c>
      <c r="L2515" t="n">
        <v>0.927</v>
      </c>
      <c r="M2515" t="n">
        <v>0.073</v>
      </c>
    </row>
    <row r="2516" spans="1:13">
      <c r="A2516" s="1">
        <f>HYPERLINK("http://www.twitter.com/NathanBLawrence/status/974759460043452416", "974759460043452416")</f>
        <v/>
      </c>
      <c r="B2516" s="2" t="n">
        <v>43175.89513888889</v>
      </c>
      <c r="C2516" t="n">
        <v>0</v>
      </c>
      <c r="D2516" t="n">
        <v>0</v>
      </c>
      <c r="E2516" t="s">
        <v>2519</v>
      </c>
      <c r="F2516" t="s"/>
      <c r="G2516" t="s"/>
      <c r="H2516" t="s"/>
      <c r="I2516" t="s"/>
      <c r="J2516" t="n">
        <v>0</v>
      </c>
      <c r="K2516" t="n">
        <v>0</v>
      </c>
      <c r="L2516" t="n">
        <v>1</v>
      </c>
      <c r="M2516" t="n">
        <v>0</v>
      </c>
    </row>
    <row r="2517" spans="1:13">
      <c r="A2517" s="1">
        <f>HYPERLINK("http://www.twitter.com/NathanBLawrence/status/974759252047917056", "974759252047917056")</f>
        <v/>
      </c>
      <c r="B2517" s="2" t="n">
        <v>43175.89456018519</v>
      </c>
      <c r="C2517" t="n">
        <v>0</v>
      </c>
      <c r="D2517" t="n">
        <v>0</v>
      </c>
      <c r="E2517" t="s">
        <v>2520</v>
      </c>
      <c r="F2517" t="s"/>
      <c r="G2517" t="s"/>
      <c r="H2517" t="s"/>
      <c r="I2517" t="s"/>
      <c r="J2517" t="n">
        <v>0.6939</v>
      </c>
      <c r="K2517" t="n">
        <v>0.062</v>
      </c>
      <c r="L2517" t="n">
        <v>0.798</v>
      </c>
      <c r="M2517" t="n">
        <v>0.14</v>
      </c>
    </row>
    <row r="2518" spans="1:13">
      <c r="A2518" s="1">
        <f>HYPERLINK("http://www.twitter.com/NathanBLawrence/status/974750261544660997", "974750261544660997")</f>
        <v/>
      </c>
      <c r="B2518" s="2" t="n">
        <v>43175.86974537037</v>
      </c>
      <c r="C2518" t="n">
        <v>0</v>
      </c>
      <c r="D2518" t="n">
        <v>0</v>
      </c>
      <c r="E2518" t="s">
        <v>2521</v>
      </c>
      <c r="F2518" t="s"/>
      <c r="G2518" t="s"/>
      <c r="H2518" t="s"/>
      <c r="I2518" t="s"/>
      <c r="J2518" t="n">
        <v>0</v>
      </c>
      <c r="K2518" t="n">
        <v>0</v>
      </c>
      <c r="L2518" t="n">
        <v>1</v>
      </c>
      <c r="M2518" t="n">
        <v>0</v>
      </c>
    </row>
    <row r="2519" spans="1:13">
      <c r="A2519" s="1">
        <f>HYPERLINK("http://www.twitter.com/NathanBLawrence/status/974750133702352896", "974750133702352896")</f>
        <v/>
      </c>
      <c r="B2519" s="2" t="n">
        <v>43175.86939814815</v>
      </c>
      <c r="C2519" t="n">
        <v>0</v>
      </c>
      <c r="D2519" t="n">
        <v>0</v>
      </c>
      <c r="E2519" t="s">
        <v>2522</v>
      </c>
      <c r="F2519" t="s"/>
      <c r="G2519" t="s"/>
      <c r="H2519" t="s"/>
      <c r="I2519" t="s"/>
      <c r="J2519" t="n">
        <v>0</v>
      </c>
      <c r="K2519" t="n">
        <v>0</v>
      </c>
      <c r="L2519" t="n">
        <v>1</v>
      </c>
      <c r="M2519" t="n">
        <v>0</v>
      </c>
    </row>
    <row r="2520" spans="1:13">
      <c r="A2520" s="1">
        <f>HYPERLINK("http://www.twitter.com/NathanBLawrence/status/974749670684708864", "974749670684708864")</f>
        <v/>
      </c>
      <c r="B2520" s="2" t="n">
        <v>43175.868125</v>
      </c>
      <c r="C2520" t="n">
        <v>4</v>
      </c>
      <c r="D2520" t="n">
        <v>2</v>
      </c>
      <c r="E2520" t="s">
        <v>2523</v>
      </c>
      <c r="F2520" t="s"/>
      <c r="G2520" t="s"/>
      <c r="H2520" t="s"/>
      <c r="I2520" t="s"/>
      <c r="J2520" t="n">
        <v>0.25</v>
      </c>
      <c r="K2520" t="n">
        <v>0.095</v>
      </c>
      <c r="L2520" t="n">
        <v>0.739</v>
      </c>
      <c r="M2520" t="n">
        <v>0.165</v>
      </c>
    </row>
    <row r="2521" spans="1:13">
      <c r="A2521" s="1">
        <f>HYPERLINK("http://www.twitter.com/NathanBLawrence/status/974748072805851138", "974748072805851138")</f>
        <v/>
      </c>
      <c r="B2521" s="2" t="n">
        <v>43175.86371527778</v>
      </c>
      <c r="C2521" t="n">
        <v>0</v>
      </c>
      <c r="D2521" t="n">
        <v>0</v>
      </c>
      <c r="E2521" t="s">
        <v>2524</v>
      </c>
      <c r="F2521" t="s"/>
      <c r="G2521" t="s"/>
      <c r="H2521" t="s"/>
      <c r="I2521" t="s"/>
      <c r="J2521" t="n">
        <v>0</v>
      </c>
      <c r="K2521" t="n">
        <v>0</v>
      </c>
      <c r="L2521" t="n">
        <v>1</v>
      </c>
      <c r="M2521" t="n">
        <v>0</v>
      </c>
    </row>
    <row r="2522" spans="1:13">
      <c r="A2522" s="1">
        <f>HYPERLINK("http://www.twitter.com/NathanBLawrence/status/974748039637295104", "974748039637295104")</f>
        <v/>
      </c>
      <c r="B2522" s="2" t="n">
        <v>43175.86362268519</v>
      </c>
      <c r="C2522" t="n">
        <v>0</v>
      </c>
      <c r="D2522" t="n">
        <v>0</v>
      </c>
      <c r="E2522" t="s">
        <v>2525</v>
      </c>
      <c r="F2522" t="s"/>
      <c r="G2522" t="s"/>
      <c r="H2522" t="s"/>
      <c r="I2522" t="s"/>
      <c r="J2522" t="n">
        <v>-0.7579</v>
      </c>
      <c r="K2522" t="n">
        <v>0.185</v>
      </c>
      <c r="L2522" t="n">
        <v>0.8149999999999999</v>
      </c>
      <c r="M2522" t="n">
        <v>0</v>
      </c>
    </row>
    <row r="2523" spans="1:13">
      <c r="A2523" s="1">
        <f>HYPERLINK("http://www.twitter.com/NathanBLawrence/status/974747982150225921", "974747982150225921")</f>
        <v/>
      </c>
      <c r="B2523" s="2" t="n">
        <v>43175.86346064815</v>
      </c>
      <c r="C2523" t="n">
        <v>0</v>
      </c>
      <c r="D2523" t="n">
        <v>0</v>
      </c>
      <c r="E2523" t="s">
        <v>2526</v>
      </c>
      <c r="F2523" t="s"/>
      <c r="G2523" t="s"/>
      <c r="H2523" t="s"/>
      <c r="I2523" t="s"/>
      <c r="J2523" t="n">
        <v>-0.1779</v>
      </c>
      <c r="K2523" t="n">
        <v>0.043</v>
      </c>
      <c r="L2523" t="n">
        <v>0.927</v>
      </c>
      <c r="M2523" t="n">
        <v>0.03</v>
      </c>
    </row>
    <row r="2524" spans="1:13">
      <c r="A2524" s="1">
        <f>HYPERLINK("http://www.twitter.com/NathanBLawrence/status/974733919848402945", "974733919848402945")</f>
        <v/>
      </c>
      <c r="B2524" s="2" t="n">
        <v>43175.82465277778</v>
      </c>
      <c r="C2524" t="n">
        <v>0</v>
      </c>
      <c r="D2524" t="n">
        <v>0</v>
      </c>
      <c r="E2524" t="s">
        <v>2527</v>
      </c>
      <c r="F2524" t="s"/>
      <c r="G2524" t="s"/>
      <c r="H2524" t="s"/>
      <c r="I2524" t="s"/>
      <c r="J2524" t="n">
        <v>-0.128</v>
      </c>
      <c r="K2524" t="n">
        <v>0.076</v>
      </c>
      <c r="L2524" t="n">
        <v>0.859</v>
      </c>
      <c r="M2524" t="n">
        <v>0.064</v>
      </c>
    </row>
    <row r="2525" spans="1:13">
      <c r="A2525" s="1">
        <f>HYPERLINK("http://www.twitter.com/NathanBLawrence/status/974732214675091456", "974732214675091456")</f>
        <v/>
      </c>
      <c r="B2525" s="2" t="n">
        <v>43175.81995370371</v>
      </c>
      <c r="C2525" t="n">
        <v>0</v>
      </c>
      <c r="D2525" t="n">
        <v>0</v>
      </c>
      <c r="E2525" t="s">
        <v>2528</v>
      </c>
      <c r="F2525" t="s"/>
      <c r="G2525" t="s"/>
      <c r="H2525" t="s"/>
      <c r="I2525" t="s"/>
      <c r="J2525" t="n">
        <v>0</v>
      </c>
      <c r="K2525" t="n">
        <v>0</v>
      </c>
      <c r="L2525" t="n">
        <v>1</v>
      </c>
      <c r="M2525" t="n">
        <v>0</v>
      </c>
    </row>
    <row r="2526" spans="1:13">
      <c r="A2526" s="1">
        <f>HYPERLINK("http://www.twitter.com/NathanBLawrence/status/974727979409575937", "974727979409575937")</f>
        <v/>
      </c>
      <c r="B2526" s="2" t="n">
        <v>43175.80826388889</v>
      </c>
      <c r="C2526" t="n">
        <v>5</v>
      </c>
      <c r="D2526" t="n">
        <v>3</v>
      </c>
      <c r="E2526" t="s">
        <v>2529</v>
      </c>
      <c r="F2526" t="s"/>
      <c r="G2526" t="s"/>
      <c r="H2526" t="s"/>
      <c r="I2526" t="s"/>
      <c r="J2526" t="n">
        <v>-0.6597</v>
      </c>
      <c r="K2526" t="n">
        <v>0.203</v>
      </c>
      <c r="L2526" t="n">
        <v>0.6899999999999999</v>
      </c>
      <c r="M2526" t="n">
        <v>0.108</v>
      </c>
    </row>
    <row r="2527" spans="1:13">
      <c r="A2527" s="1">
        <f>HYPERLINK("http://www.twitter.com/NathanBLawrence/status/974723436877615104", "974723436877615104")</f>
        <v/>
      </c>
      <c r="B2527" s="2" t="n">
        <v>43175.79572916667</v>
      </c>
      <c r="C2527" t="n">
        <v>0</v>
      </c>
      <c r="D2527" t="n">
        <v>0</v>
      </c>
      <c r="E2527" t="s">
        <v>2530</v>
      </c>
      <c r="F2527" t="s"/>
      <c r="G2527" t="s"/>
      <c r="H2527" t="s"/>
      <c r="I2527" t="s"/>
      <c r="J2527" t="n">
        <v>-0.0772</v>
      </c>
      <c r="K2527" t="n">
        <v>0.157</v>
      </c>
      <c r="L2527" t="n">
        <v>0.843</v>
      </c>
      <c r="M2527" t="n">
        <v>0</v>
      </c>
    </row>
    <row r="2528" spans="1:13">
      <c r="A2528" s="1">
        <f>HYPERLINK("http://www.twitter.com/NathanBLawrence/status/974685883088736257", "974685883088736257")</f>
        <v/>
      </c>
      <c r="B2528" s="2" t="n">
        <v>43175.6920949074</v>
      </c>
      <c r="C2528" t="n">
        <v>0</v>
      </c>
      <c r="D2528" t="n">
        <v>0</v>
      </c>
      <c r="E2528" t="s">
        <v>2531</v>
      </c>
      <c r="F2528" t="s"/>
      <c r="G2528" t="s"/>
      <c r="H2528" t="s"/>
      <c r="I2528" t="s"/>
      <c r="J2528" t="n">
        <v>0.25</v>
      </c>
      <c r="K2528" t="n">
        <v>0</v>
      </c>
      <c r="L2528" t="n">
        <v>0.833</v>
      </c>
      <c r="M2528" t="n">
        <v>0.167</v>
      </c>
    </row>
    <row r="2529" spans="1:13">
      <c r="A2529" s="1">
        <f>HYPERLINK("http://www.twitter.com/NathanBLawrence/status/974658210324975617", "974658210324975617")</f>
        <v/>
      </c>
      <c r="B2529" s="2" t="n">
        <v>43175.61574074074</v>
      </c>
      <c r="C2529" t="n">
        <v>0</v>
      </c>
      <c r="D2529" t="n">
        <v>0</v>
      </c>
      <c r="E2529" t="s">
        <v>2532</v>
      </c>
      <c r="F2529" t="s"/>
      <c r="G2529" t="s"/>
      <c r="H2529" t="s"/>
      <c r="I2529" t="s"/>
      <c r="J2529" t="n">
        <v>0</v>
      </c>
      <c r="K2529" t="n">
        <v>0</v>
      </c>
      <c r="L2529" t="n">
        <v>1</v>
      </c>
      <c r="M2529" t="n">
        <v>0</v>
      </c>
    </row>
    <row r="2530" spans="1:13">
      <c r="A2530" s="1">
        <f>HYPERLINK("http://www.twitter.com/NathanBLawrence/status/974658019693858816", "974658019693858816")</f>
        <v/>
      </c>
      <c r="B2530" s="2" t="n">
        <v>43175.61520833334</v>
      </c>
      <c r="C2530" t="n">
        <v>2</v>
      </c>
      <c r="D2530" t="n">
        <v>0</v>
      </c>
      <c r="E2530" t="s">
        <v>2533</v>
      </c>
      <c r="F2530" t="s"/>
      <c r="G2530" t="s"/>
      <c r="H2530" t="s"/>
      <c r="I2530" t="s"/>
      <c r="J2530" t="n">
        <v>0</v>
      </c>
      <c r="K2530" t="n">
        <v>0</v>
      </c>
      <c r="L2530" t="n">
        <v>1</v>
      </c>
      <c r="M2530" t="n">
        <v>0</v>
      </c>
    </row>
    <row r="2531" spans="1:13">
      <c r="A2531" s="1">
        <f>HYPERLINK("http://www.twitter.com/NathanBLawrence/status/974652097483374593", "974652097483374593")</f>
        <v/>
      </c>
      <c r="B2531" s="2" t="n">
        <v>43175.59886574074</v>
      </c>
      <c r="C2531" t="n">
        <v>0</v>
      </c>
      <c r="D2531" t="n">
        <v>0</v>
      </c>
      <c r="E2531" t="s">
        <v>2534</v>
      </c>
      <c r="F2531" t="s"/>
      <c r="G2531" t="s"/>
      <c r="H2531" t="s"/>
      <c r="I2531" t="s"/>
      <c r="J2531" t="n">
        <v>-0.7968</v>
      </c>
      <c r="K2531" t="n">
        <v>0.242</v>
      </c>
      <c r="L2531" t="n">
        <v>0.6909999999999999</v>
      </c>
      <c r="M2531" t="n">
        <v>0.067</v>
      </c>
    </row>
    <row r="2532" spans="1:13">
      <c r="A2532" s="1">
        <f>HYPERLINK("http://www.twitter.com/NathanBLawrence/status/974633114134859777", "974633114134859777")</f>
        <v/>
      </c>
      <c r="B2532" s="2" t="n">
        <v>43175.54648148148</v>
      </c>
      <c r="C2532" t="n">
        <v>3</v>
      </c>
      <c r="D2532" t="n">
        <v>1</v>
      </c>
      <c r="E2532" t="s">
        <v>2535</v>
      </c>
      <c r="F2532">
        <f>HYPERLINK("http://pbs.twimg.com/media/DYaXFgmWAAEoZzH.jpg", "http://pbs.twimg.com/media/DYaXFgmWAAEoZzH.jpg")</f>
        <v/>
      </c>
      <c r="G2532" t="s"/>
      <c r="H2532" t="s"/>
      <c r="I2532" t="s"/>
      <c r="J2532" t="n">
        <v>0.0772</v>
      </c>
      <c r="K2532" t="n">
        <v>0.095</v>
      </c>
      <c r="L2532" t="n">
        <v>0.798</v>
      </c>
      <c r="M2532" t="n">
        <v>0.106</v>
      </c>
    </row>
    <row r="2533" spans="1:13">
      <c r="A2533" s="1">
        <f>HYPERLINK("http://www.twitter.com/NathanBLawrence/status/974633113258209282", "974633113258209282")</f>
        <v/>
      </c>
      <c r="B2533" s="2" t="n">
        <v>43175.54648148148</v>
      </c>
      <c r="C2533" t="n">
        <v>2</v>
      </c>
      <c r="D2533" t="n">
        <v>0</v>
      </c>
      <c r="E2533" t="s">
        <v>2536</v>
      </c>
      <c r="F2533" t="s"/>
      <c r="G2533" t="s"/>
      <c r="H2533" t="s"/>
      <c r="I2533" t="s"/>
      <c r="J2533" t="n">
        <v>-0.1431</v>
      </c>
      <c r="K2533" t="n">
        <v>0.097</v>
      </c>
      <c r="L2533" t="n">
        <v>0.835</v>
      </c>
      <c r="M2533" t="n">
        <v>0.068</v>
      </c>
    </row>
    <row r="2534" spans="1:13">
      <c r="A2534" s="1">
        <f>HYPERLINK("http://www.twitter.com/NathanBLawrence/status/974633112226410497", "974633112226410497")</f>
        <v/>
      </c>
      <c r="B2534" s="2" t="n">
        <v>43175.54648148148</v>
      </c>
      <c r="C2534" t="n">
        <v>0</v>
      </c>
      <c r="D2534" t="n">
        <v>1</v>
      </c>
      <c r="E2534" t="s">
        <v>2537</v>
      </c>
      <c r="F2534" t="s"/>
      <c r="G2534" t="s"/>
      <c r="H2534" t="s"/>
      <c r="I2534" t="s"/>
      <c r="J2534" t="n">
        <v>-0.4215</v>
      </c>
      <c r="K2534" t="n">
        <v>0.101</v>
      </c>
      <c r="L2534" t="n">
        <v>0.899</v>
      </c>
      <c r="M2534" t="n">
        <v>0</v>
      </c>
    </row>
    <row r="2535" spans="1:13">
      <c r="A2535" s="1">
        <f>HYPERLINK("http://www.twitter.com/NathanBLawrence/status/974615971418771456", "974615971418771456")</f>
        <v/>
      </c>
      <c r="B2535" s="2" t="n">
        <v>43175.49917824074</v>
      </c>
      <c r="C2535" t="n">
        <v>0</v>
      </c>
      <c r="D2535" t="n">
        <v>0</v>
      </c>
      <c r="E2535" t="s">
        <v>2538</v>
      </c>
      <c r="F2535" t="s"/>
      <c r="G2535" t="s"/>
      <c r="H2535" t="s"/>
      <c r="I2535" t="s"/>
      <c r="J2535" t="n">
        <v>0</v>
      </c>
      <c r="K2535" t="n">
        <v>0</v>
      </c>
      <c r="L2535" t="n">
        <v>1</v>
      </c>
      <c r="M2535" t="n">
        <v>0</v>
      </c>
    </row>
    <row r="2536" spans="1:13">
      <c r="A2536" s="1">
        <f>HYPERLINK("http://www.twitter.com/NathanBLawrence/status/974594980894445568", "974594980894445568")</f>
        <v/>
      </c>
      <c r="B2536" s="2" t="n">
        <v>43175.44126157407</v>
      </c>
      <c r="C2536" t="n">
        <v>3</v>
      </c>
      <c r="D2536" t="n">
        <v>1</v>
      </c>
      <c r="E2536" t="s">
        <v>2539</v>
      </c>
      <c r="F2536">
        <f>HYPERLINK("http://pbs.twimg.com/media/DYZ0950XcAAx-sJ.jpg", "http://pbs.twimg.com/media/DYZ0950XcAAx-sJ.jpg")</f>
        <v/>
      </c>
      <c r="G2536" t="s"/>
      <c r="H2536" t="s"/>
      <c r="I2536" t="s"/>
      <c r="J2536" t="n">
        <v>0</v>
      </c>
      <c r="K2536" t="n">
        <v>0</v>
      </c>
      <c r="L2536" t="n">
        <v>1</v>
      </c>
      <c r="M2536" t="n">
        <v>0</v>
      </c>
    </row>
    <row r="2537" spans="1:13">
      <c r="A2537" s="1">
        <f>HYPERLINK("http://www.twitter.com/NathanBLawrence/status/974426695569739776", "974426695569739776")</f>
        <v/>
      </c>
      <c r="B2537" s="2" t="n">
        <v>43174.976875</v>
      </c>
      <c r="C2537" t="n">
        <v>5</v>
      </c>
      <c r="D2537" t="n">
        <v>1</v>
      </c>
      <c r="E2537" t="s">
        <v>2540</v>
      </c>
      <c r="F2537" t="s"/>
      <c r="G2537" t="s"/>
      <c r="H2537" t="s"/>
      <c r="I2537" t="s"/>
      <c r="J2537" t="n">
        <v>-0.4019</v>
      </c>
      <c r="K2537" t="n">
        <v>0.194</v>
      </c>
      <c r="L2537" t="n">
        <v>0.737</v>
      </c>
      <c r="M2537" t="n">
        <v>0.06900000000000001</v>
      </c>
    </row>
    <row r="2538" spans="1:13">
      <c r="A2538" s="1">
        <f>HYPERLINK("http://www.twitter.com/NathanBLawrence/status/974426170870718467", "974426170870718467")</f>
        <v/>
      </c>
      <c r="B2538" s="2" t="n">
        <v>43174.97542824074</v>
      </c>
      <c r="C2538" t="n">
        <v>2</v>
      </c>
      <c r="D2538" t="n">
        <v>1</v>
      </c>
      <c r="E2538" t="s">
        <v>2541</v>
      </c>
      <c r="F2538" t="s"/>
      <c r="G2538" t="s"/>
      <c r="H2538" t="s"/>
      <c r="I2538" t="s"/>
      <c r="J2538" t="n">
        <v>-0.0516</v>
      </c>
      <c r="K2538" t="n">
        <v>0.028</v>
      </c>
      <c r="L2538" t="n">
        <v>0.972</v>
      </c>
      <c r="M2538" t="n">
        <v>0</v>
      </c>
    </row>
    <row r="2539" spans="1:13">
      <c r="A2539" s="1">
        <f>HYPERLINK("http://www.twitter.com/NathanBLawrence/status/974384449264738306", "974384449264738306")</f>
        <v/>
      </c>
      <c r="B2539" s="2" t="n">
        <v>43174.86030092592</v>
      </c>
      <c r="C2539" t="n">
        <v>2</v>
      </c>
      <c r="D2539" t="n">
        <v>0</v>
      </c>
      <c r="E2539" t="s">
        <v>2542</v>
      </c>
      <c r="F2539" t="s"/>
      <c r="G2539" t="s"/>
      <c r="H2539" t="s"/>
      <c r="I2539" t="s"/>
      <c r="J2539" t="n">
        <v>0.4272</v>
      </c>
      <c r="K2539" t="n">
        <v>0.052</v>
      </c>
      <c r="L2539" t="n">
        <v>0.828</v>
      </c>
      <c r="M2539" t="n">
        <v>0.12</v>
      </c>
    </row>
    <row r="2540" spans="1:13">
      <c r="A2540" s="1">
        <f>HYPERLINK("http://www.twitter.com/NathanBLawrence/status/974383585452085248", "974383585452085248")</f>
        <v/>
      </c>
      <c r="B2540" s="2" t="n">
        <v>43174.85791666667</v>
      </c>
      <c r="C2540" t="n">
        <v>0</v>
      </c>
      <c r="D2540" t="n">
        <v>0</v>
      </c>
      <c r="E2540" t="s">
        <v>2543</v>
      </c>
      <c r="F2540" t="s"/>
      <c r="G2540" t="s"/>
      <c r="H2540" t="s"/>
      <c r="I2540" t="s"/>
      <c r="J2540" t="n">
        <v>0</v>
      </c>
      <c r="K2540" t="n">
        <v>0</v>
      </c>
      <c r="L2540" t="n">
        <v>1</v>
      </c>
      <c r="M2540" t="n">
        <v>0</v>
      </c>
    </row>
    <row r="2541" spans="1:13">
      <c r="A2541" s="1">
        <f>HYPERLINK("http://www.twitter.com/NathanBLawrence/status/974380923004358657", "974380923004358657")</f>
        <v/>
      </c>
      <c r="B2541" s="2" t="n">
        <v>43174.85056712963</v>
      </c>
      <c r="C2541" t="n">
        <v>6</v>
      </c>
      <c r="D2541" t="n">
        <v>3</v>
      </c>
      <c r="E2541" t="s">
        <v>2544</v>
      </c>
      <c r="F2541" t="s"/>
      <c r="G2541" t="s"/>
      <c r="H2541" t="s"/>
      <c r="I2541" t="s"/>
      <c r="J2541" t="n">
        <v>-0.5502</v>
      </c>
      <c r="K2541" t="n">
        <v>0.131</v>
      </c>
      <c r="L2541" t="n">
        <v>0.787</v>
      </c>
      <c r="M2541" t="n">
        <v>0.082</v>
      </c>
    </row>
    <row r="2542" spans="1:13">
      <c r="A2542" s="1">
        <f>HYPERLINK("http://www.twitter.com/NathanBLawrence/status/974372348047577088", "974372348047577088")</f>
        <v/>
      </c>
      <c r="B2542" s="2" t="n">
        <v>43174.82690972222</v>
      </c>
      <c r="C2542" t="n">
        <v>3</v>
      </c>
      <c r="D2542" t="n">
        <v>0</v>
      </c>
      <c r="E2542" t="s">
        <v>2545</v>
      </c>
      <c r="F2542" t="s"/>
      <c r="G2542" t="s"/>
      <c r="H2542" t="s"/>
      <c r="I2542" t="s"/>
      <c r="J2542" t="n">
        <v>0.2263</v>
      </c>
      <c r="K2542" t="n">
        <v>0</v>
      </c>
      <c r="L2542" t="n">
        <v>0.954</v>
      </c>
      <c r="M2542" t="n">
        <v>0.046</v>
      </c>
    </row>
    <row r="2543" spans="1:13">
      <c r="A2543" s="1">
        <f>HYPERLINK("http://www.twitter.com/NathanBLawrence/status/974357788393689088", "974357788393689088")</f>
        <v/>
      </c>
      <c r="B2543" s="2" t="n">
        <v>43174.78673611111</v>
      </c>
      <c r="C2543" t="n">
        <v>6</v>
      </c>
      <c r="D2543" t="n">
        <v>2</v>
      </c>
      <c r="E2543" t="s">
        <v>2546</v>
      </c>
      <c r="F2543" t="s"/>
      <c r="G2543" t="s"/>
      <c r="H2543" t="s"/>
      <c r="I2543" t="s"/>
      <c r="J2543" t="n">
        <v>-0.4215</v>
      </c>
      <c r="K2543" t="n">
        <v>0.109</v>
      </c>
      <c r="L2543" t="n">
        <v>0.891</v>
      </c>
      <c r="M2543" t="n">
        <v>0</v>
      </c>
    </row>
    <row r="2544" spans="1:13">
      <c r="A2544" s="1">
        <f>HYPERLINK("http://www.twitter.com/NathanBLawrence/status/974352267766837253", "974352267766837253")</f>
        <v/>
      </c>
      <c r="B2544" s="2" t="n">
        <v>43174.77149305555</v>
      </c>
      <c r="C2544" t="n">
        <v>2</v>
      </c>
      <c r="D2544" t="n">
        <v>0</v>
      </c>
      <c r="E2544" t="s">
        <v>2547</v>
      </c>
      <c r="F2544" t="s"/>
      <c r="G2544" t="s"/>
      <c r="H2544" t="s"/>
      <c r="I2544" t="s"/>
      <c r="J2544" t="n">
        <v>0.368</v>
      </c>
      <c r="K2544" t="n">
        <v>0</v>
      </c>
      <c r="L2544" t="n">
        <v>0.76</v>
      </c>
      <c r="M2544" t="n">
        <v>0.24</v>
      </c>
    </row>
    <row r="2545" spans="1:13">
      <c r="A2545" s="1">
        <f>HYPERLINK("http://www.twitter.com/NathanBLawrence/status/974351474351398912", "974351474351398912")</f>
        <v/>
      </c>
      <c r="B2545" s="2" t="n">
        <v>43174.76930555556</v>
      </c>
      <c r="C2545" t="n">
        <v>6</v>
      </c>
      <c r="D2545" t="n">
        <v>6</v>
      </c>
      <c r="E2545" t="s">
        <v>2548</v>
      </c>
      <c r="F2545">
        <f>HYPERLINK("http://pbs.twimg.com/media/DYWW6BeX4AERLOI.jpg", "http://pbs.twimg.com/media/DYWW6BeX4AERLOI.jpg")</f>
        <v/>
      </c>
      <c r="G2545" t="s"/>
      <c r="H2545" t="s"/>
      <c r="I2545" t="s"/>
      <c r="J2545" t="n">
        <v>0</v>
      </c>
      <c r="K2545" t="n">
        <v>0</v>
      </c>
      <c r="L2545" t="n">
        <v>1</v>
      </c>
      <c r="M2545" t="n">
        <v>0</v>
      </c>
    </row>
    <row r="2546" spans="1:13">
      <c r="A2546" s="1">
        <f>HYPERLINK("http://www.twitter.com/NathanBLawrence/status/974296622699073537", "974296622699073537")</f>
        <v/>
      </c>
      <c r="B2546" s="2" t="n">
        <v>43174.61795138889</v>
      </c>
      <c r="C2546" t="n">
        <v>0</v>
      </c>
      <c r="D2546" t="n">
        <v>0</v>
      </c>
      <c r="E2546" t="s">
        <v>2549</v>
      </c>
      <c r="F2546" t="s"/>
      <c r="G2546" t="s"/>
      <c r="H2546" t="s"/>
      <c r="I2546" t="s"/>
      <c r="J2546" t="n">
        <v>0.3612</v>
      </c>
      <c r="K2546" t="n">
        <v>0</v>
      </c>
      <c r="L2546" t="n">
        <v>0.889</v>
      </c>
      <c r="M2546" t="n">
        <v>0.111</v>
      </c>
    </row>
    <row r="2547" spans="1:13">
      <c r="A2547" s="1">
        <f>HYPERLINK("http://www.twitter.com/NathanBLawrence/status/974294796482293761", "974294796482293761")</f>
        <v/>
      </c>
      <c r="B2547" s="2" t="n">
        <v>43174.6129050926</v>
      </c>
      <c r="C2547" t="n">
        <v>3</v>
      </c>
      <c r="D2547" t="n">
        <v>0</v>
      </c>
      <c r="E2547" t="s">
        <v>2550</v>
      </c>
      <c r="F2547" t="s"/>
      <c r="G2547" t="s"/>
      <c r="H2547" t="s"/>
      <c r="I2547" t="s"/>
      <c r="J2547" t="n">
        <v>-0.5079</v>
      </c>
      <c r="K2547" t="n">
        <v>0.172</v>
      </c>
      <c r="L2547" t="n">
        <v>0.734</v>
      </c>
      <c r="M2547" t="n">
        <v>0.094</v>
      </c>
    </row>
    <row r="2548" spans="1:13">
      <c r="A2548" s="1">
        <f>HYPERLINK("http://www.twitter.com/NathanBLawrence/status/974284638985375749", "974284638985375749")</f>
        <v/>
      </c>
      <c r="B2548" s="2" t="n">
        <v>43174.58487268518</v>
      </c>
      <c r="C2548" t="n">
        <v>3</v>
      </c>
      <c r="D2548" t="n">
        <v>0</v>
      </c>
      <c r="E2548" t="s">
        <v>2551</v>
      </c>
      <c r="F2548" t="s"/>
      <c r="G2548" t="s"/>
      <c r="H2548" t="s"/>
      <c r="I2548" t="s"/>
      <c r="J2548" t="n">
        <v>-0.6124000000000001</v>
      </c>
      <c r="K2548" t="n">
        <v>0.179</v>
      </c>
      <c r="L2548" t="n">
        <v>0.821</v>
      </c>
      <c r="M2548" t="n">
        <v>0</v>
      </c>
    </row>
    <row r="2549" spans="1:13">
      <c r="A2549" s="1">
        <f>HYPERLINK("http://www.twitter.com/NathanBLawrence/status/974281605845061632", "974281605845061632")</f>
        <v/>
      </c>
      <c r="B2549" s="2" t="n">
        <v>43174.57650462963</v>
      </c>
      <c r="C2549" t="n">
        <v>0</v>
      </c>
      <c r="D2549" t="n">
        <v>0</v>
      </c>
      <c r="E2549" t="s">
        <v>2552</v>
      </c>
      <c r="F2549" t="s"/>
      <c r="G2549" t="s"/>
      <c r="H2549" t="s"/>
      <c r="I2549" t="s"/>
      <c r="J2549" t="n">
        <v>0</v>
      </c>
      <c r="K2549" t="n">
        <v>0</v>
      </c>
      <c r="L2549" t="n">
        <v>1</v>
      </c>
      <c r="M2549" t="n">
        <v>0</v>
      </c>
    </row>
    <row r="2550" spans="1:13">
      <c r="A2550" s="1">
        <f>HYPERLINK("http://www.twitter.com/NathanBLawrence/status/974281374994698240", "974281374994698240")</f>
        <v/>
      </c>
      <c r="B2550" s="2" t="n">
        <v>43174.57586805556</v>
      </c>
      <c r="C2550" t="n">
        <v>4</v>
      </c>
      <c r="D2550" t="n">
        <v>1</v>
      </c>
      <c r="E2550" t="s">
        <v>2553</v>
      </c>
      <c r="F2550" t="s"/>
      <c r="G2550" t="s"/>
      <c r="H2550" t="s"/>
      <c r="I2550" t="s"/>
      <c r="J2550" t="n">
        <v>-0.5106000000000001</v>
      </c>
      <c r="K2550" t="n">
        <v>0.131</v>
      </c>
      <c r="L2550" t="n">
        <v>0.8</v>
      </c>
      <c r="M2550" t="n">
        <v>0.06900000000000001</v>
      </c>
    </row>
    <row r="2551" spans="1:13">
      <c r="A2551" s="1">
        <f>HYPERLINK("http://www.twitter.com/NathanBLawrence/status/974281373795213312", "974281373795213312")</f>
        <v/>
      </c>
      <c r="B2551" s="2" t="n">
        <v>43174.57586805556</v>
      </c>
      <c r="C2551" t="n">
        <v>2</v>
      </c>
      <c r="D2551" t="n">
        <v>1</v>
      </c>
      <c r="E2551" t="s">
        <v>2554</v>
      </c>
      <c r="F2551" t="s"/>
      <c r="G2551" t="s"/>
      <c r="H2551" t="s"/>
      <c r="I2551" t="s"/>
      <c r="J2551" t="n">
        <v>0.0258</v>
      </c>
      <c r="K2551" t="n">
        <v>0</v>
      </c>
      <c r="L2551" t="n">
        <v>0.956</v>
      </c>
      <c r="M2551" t="n">
        <v>0.044</v>
      </c>
    </row>
    <row r="2552" spans="1:13">
      <c r="A2552" s="1">
        <f>HYPERLINK("http://www.twitter.com/NathanBLawrence/status/974281372654358529", "974281372654358529")</f>
        <v/>
      </c>
      <c r="B2552" s="2" t="n">
        <v>43174.57586805556</v>
      </c>
      <c r="C2552" t="n">
        <v>1</v>
      </c>
      <c r="D2552" t="n">
        <v>1</v>
      </c>
      <c r="E2552" t="s">
        <v>2555</v>
      </c>
      <c r="F2552" t="s"/>
      <c r="G2552" t="s"/>
      <c r="H2552" t="s"/>
      <c r="I2552" t="s"/>
      <c r="J2552" t="n">
        <v>0.4023</v>
      </c>
      <c r="K2552" t="n">
        <v>0</v>
      </c>
      <c r="L2552" t="n">
        <v>0.829</v>
      </c>
      <c r="M2552" t="n">
        <v>0.171</v>
      </c>
    </row>
    <row r="2553" spans="1:13">
      <c r="A2553" s="1">
        <f>HYPERLINK("http://www.twitter.com/NathanBLawrence/status/974281371630923777", "974281371630923777")</f>
        <v/>
      </c>
      <c r="B2553" s="2" t="n">
        <v>43174.57585648148</v>
      </c>
      <c r="C2553" t="n">
        <v>2</v>
      </c>
      <c r="D2553" t="n">
        <v>2</v>
      </c>
      <c r="E2553" t="s">
        <v>2556</v>
      </c>
      <c r="F2553" t="s"/>
      <c r="G2553" t="s"/>
      <c r="H2553" t="s"/>
      <c r="I2553" t="s"/>
      <c r="J2553" t="n">
        <v>0</v>
      </c>
      <c r="K2553" t="n">
        <v>0</v>
      </c>
      <c r="L2553" t="n">
        <v>1</v>
      </c>
      <c r="M2553" t="n">
        <v>0</v>
      </c>
    </row>
    <row r="2554" spans="1:13">
      <c r="A2554" s="1">
        <f>HYPERLINK("http://www.twitter.com/NathanBLawrence/status/974276958224896000", "974276958224896000")</f>
        <v/>
      </c>
      <c r="B2554" s="2" t="n">
        <v>43174.56368055556</v>
      </c>
      <c r="C2554" t="n">
        <v>8</v>
      </c>
      <c r="D2554" t="n">
        <v>3</v>
      </c>
      <c r="E2554" t="s">
        <v>2557</v>
      </c>
      <c r="F2554" t="s"/>
      <c r="G2554" t="s"/>
      <c r="H2554" t="s"/>
      <c r="I2554" t="s"/>
      <c r="J2554" t="n">
        <v>-0.5502</v>
      </c>
      <c r="K2554" t="n">
        <v>0.131</v>
      </c>
      <c r="L2554" t="n">
        <v>0.787</v>
      </c>
      <c r="M2554" t="n">
        <v>0.082</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2018-05-08T06:23:27Z</dcterms:created>
  <dcterms:modified xmlns:dcterms="http://purl.org/dc/terms/" xmlns:xsi="http://www.w3.org/2001/XMLSchema-instance" xsi:type="dcterms:W3CDTF">2018-05-08T06:23:27Z</dcterms:modified>
</cp:coreProperties>
</file>