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<sst xmlns="http://schemas.openxmlformats.org/spreadsheetml/2006/main" uniqueCount="3189">
  <si>
    <t>id</t>
  </si>
  <si>
    <t>created_at</t>
  </si>
  <si>
    <t>fav</t>
  </si>
  <si>
    <t>rt</t>
  </si>
  <si>
    <t>text</t>
  </si>
  <si>
    <t>media1</t>
  </si>
  <si>
    <t>media2</t>
  </si>
  <si>
    <t>media3</t>
  </si>
  <si>
    <t>media4</t>
  </si>
  <si>
    <t>compound</t>
  </si>
  <si>
    <t>neg</t>
  </si>
  <si>
    <t>neu</t>
  </si>
  <si>
    <t>pos</t>
  </si>
  <si>
    <t>RT @magathemaga1: The problem is the house lied. 
They can’t establish credibility as THEY NEVER EVEN CROSS EXAMINED THE WITNESS 
House t…</t>
  </si>
  <si>
    <t>Oh for Christ"s sake https://t.co/EidDEN9Y7o</t>
  </si>
  <si>
    <t>RT @grcfay: @Lautergeist @blackwidow07 @Markknight45 @magathemaga1 @VisioDeiFromLA @Avenge_mypeople @EricGreitens @TeamGreitens @Rep_TRicha…</t>
  </si>
  <si>
    <t>I love this idea https://t.co/kwxQILm4zw</t>
  </si>
  <si>
    <t>Never give up. https://t.co/7r0hKz8C0U</t>
  </si>
  <si>
    <t>RT @charliekirk11: Harvard will host its first ever “black only” graduation ceremony
This is racist and a disgrace to all racial progress…</t>
  </si>
  <si>
    <t>Stupid stupid stupid ... Watching this stuff at work ... #MakeupFix https://t.co/6QSESJf5fH</t>
  </si>
  <si>
    <t>RT @Str8DonLemon: @ST_Designs @CaseyNolen @tonymess She isnt a victim.
KS ADMITS HER MEMORY ISN'T RELIABLE - AUDIO!
"...The Memory that I…</t>
  </si>
  <si>
    <t>You poor man.  At least you got to take Mrs out on a date!
❤️❤️❤️
@MarcCox971 
#MarcCoxMorningShow</t>
  </si>
  <si>
    <t>Come on #MoLeg!  This is NOT what we hired you to do!  #ElectionsHaveConsequences
We were on to your shenanigans and hired @GovGreitensMO to clean up your shit-box https://t.co/Bmx8JLnmZY</t>
  </si>
  <si>
    <t>@TheNewRight @jallman971 I always assumed a MUSKrat was stinky</t>
  </si>
  <si>
    <t>RT @TheNewRight: BREAKING: Facebook reacts to #RadioFreeAllman suggestion that they pay to go to the zoo
@jallman971 @RadioFreeAllman http…</t>
  </si>
  <si>
    <t>RT @RAWPWR99FATBOY: @RadioFreeAllman @jallman971 
Not a penny over $4.99 ...
#Zootopia</t>
  </si>
  <si>
    <t>Fucking talk text.
It was an Irish Setter</t>
  </si>
  <si>
    <t>The guy in front of me has a girlfriend in the passenger seat with the most beautiful red hair.  And that's when I noticed it wasn't his girlfriend.  It wasn't Irish Setter.</t>
  </si>
  <si>
    <t>We will have a serious discussion this weekend about leaving Netflix in the next month or two.  We are right in the middle of a series... https://t.co/YFqKiU2q88</t>
  </si>
  <si>
    <t>Not much of a case when your key witness says THIS:
#greitens https://t.co/s4YPjYwiGd</t>
  </si>
  <si>
    <t>RT @blackwidow07: @VisioDeiFromLA @RealTravisCook @Markknight45 @magathemaga1 @Avenge_mypeople @grcfay @EricGreitens @TeamGreitens @Rep_TRi…</t>
  </si>
  <si>
    <t>RT @Sticknstones4: @RealTravisCook @blackwidow07 @Markknight45 @magathemaga1 @VisioDeiFromLA @Avenge_mypeople @grcfay @EricGreitens @TeamGr…</t>
  </si>
  <si>
    <t>RT @Hope4Hopeless1: @RealTravisCook @blackwidow07 @Markknight45 @magathemaga1 @VisioDeiFromLA @Avenge_mypeople @grcfay @EricGreitens @TeamG…</t>
  </si>
  <si>
    <t>@Socialismsucks2 @Margare03880660 @lilydaisyjoy @RadioFreeAllman Screen capture them and post them here!  He's blocked all of us</t>
  </si>
  <si>
    <t>@FOX2now We're getting clients out of Netflix starting tomorrow</t>
  </si>
  <si>
    <t>.#DrainTheMissouriSwamp! https://t.co/JnWH7GsVcu</t>
  </si>
  <si>
    <t>@HonkyTonkJew The Pink Panther is skulkin' about somewhere</t>
  </si>
  <si>
    <t>@88YahamaKeys Yes but now #KimShady can be called by the defense LOLOLOLOL!!</t>
  </si>
  <si>
    <t>@blackwidow07 @Markknight45 @magathemaga1 @VisioDeiFromLA @Avenge_mypeople @grcfay @EricGreitens @TeamGreitens @Rep_TRichardson @joel_capizzi @RSF_LAW @SKOLBLUE1 @RealTravisCook @EdBigCon @Hope4Hopeless1 @strmsptr @MOHouseGOP Seriously??  And I was just thinking how Missouri might have just saved face.  Wow, was I wrong</t>
  </si>
  <si>
    <t>I'm beyond nerd now.  Watching LIVE! #Volcano action and eating some Creamette Salad (with @SPAMbrand ) 
https://t.co/A5nF9o3Vg7</t>
  </si>
  <si>
    <t>Oh Lort.  Another one.  
#HereWeGoAgainWithTheLies
#Greitens #GreitensTrial 
She's claiming RAPE when there isn't a victim or any evidence of anything other than consensual, B&amp;amp;D sex https://t.co/nW7tphD9Ej</t>
  </si>
  <si>
    <t>@Beatlebaby64 @88YahamaKeys 😲😲😲😲</t>
  </si>
  <si>
    <t>Contributions?  Or Payola?? https://t.co/gluemkNwkU</t>
  </si>
  <si>
    <t>@88YahamaKeys @Beatlebaby64 Oh how sad 😂😂😂</t>
  </si>
  <si>
    <t>RT @88YahamaKeys: @magathemaga1 @ATeamMom1 @TheNewRight @Lautergeist @jallman971 @Aletheia_4Truth @gomurphy @Margare03880660 @juliematthews…</t>
  </si>
  <si>
    <t>RT @sigi_hill: @Str8DonLemon @JohnLamping @EricGreitens @melody_grover @BigJShoota @Cernovich @NameRedacted7 @tracybeanz @Thomas1774Paine @…</t>
  </si>
  <si>
    <t>@rachelz971 Someone over at Entercom's scratching their heads.  I sent SODA</t>
  </si>
  <si>
    <t>@JenEnnenbach @jenniferkrneta @Jimi971 @Beatlebaby64 @juliematthews50 4.5" heels?!  I fall in flats! https://t.co/nj0y6uLLeO</t>
  </si>
  <si>
    <t>What was the word @rachelz971 ?  My damn phone rang</t>
  </si>
  <si>
    <t>I'm down with that
#ImpeachObama
#ImpeachObama
#ImpeachObama
#ImpeachObama
#ImpeachObama
#ImpeachObama
#ImpeachObama
#ImpeachObama 
#ImpeachObama
#ImpeachObama
#ImpeachObama
#ImpeachObama 
#ImpeachObama
#ImpeachObama
#ImpeachObama
#ImpeachObama https://t.co/qGnEgUpldw</t>
  </si>
  <si>
    <t>@Jimi971 @Beatlebaby64 @JenEnnenbach @juliematthews50 @jenniferkrneta LOLZ!!! 🤣🤣🤣</t>
  </si>
  <si>
    <t>I'm all a-twitter!
❤️❤️❤️❤️❤️❤️ https://t.co/VEjKQHkgWU</t>
  </si>
  <si>
    <t>Right.  And sleeping with a cobra makes me sleep deeper, knowing no one's gonna rape me at night
#MoLeg #MoneyBagsAl #KimShady @stlcao @HereLiesMoon  #HereLIESMoon #Moon🌛 #greitens @EricGreitens #MoGov #TaxCreditScam @scottfaughn @staceynewman #StaveyKNEWMan https://t.co/RLvOU7KMDU</t>
  </si>
  <si>
    <t>RT @Beatlebaby64: I kinda wish we'd stop differentiating "first woman, first Eskimo, first biracial transgender cloned Martian," and just f…</t>
  </si>
  <si>
    <t>Sick, sick burn! https://t.co/ZqPDeUyFBJ</t>
  </si>
  <si>
    <t>GANG ~ it was late last night when this thread from @Hume came out.  Read through, then RT individually w/your thoughts! 🙄
#ThugDismissed
#GamesPeoplePlay
@RadioFreeAllman #RFA https://t.co/dUUiCDoBA8</t>
  </si>
  <si>
    <t>@TheDiamondFam @markmeyer11 @jaredjewelelrs The beauty with the pendant on it!  Yep ~ Alex and (??forgot his name, dang it!) got me right. 
It's perfect.  Lots of comments on the unusual chain.</t>
  </si>
  <si>
    <t>RT @sigi_hill: @Str8DonLemon @Mikelkehoe @mikeparson @Eric_Schmitt @MattStoneABC @blackwidow07 @Neilin1Neil @dbongino @DRUDGE @BillEigel @J…</t>
  </si>
  <si>
    <t>Whose side is she on?! https://t.co/49kULWn77u</t>
  </si>
  <si>
    <t>RT @Str8DonLemon: What deal did @Mikelkehoe cut with @mikeparson to enable this coup in #Greitens 
Also LIHTC ????
Somebody should be fol…</t>
  </si>
  <si>
    <t>@joel_capizzi @Str8DonLemon @RealTravisCook @Avenge_mypeople @JCPenknife @blackwidow07 @philip_saulter @HotPokerPrinces @TessonFerryGOP @LarrySchweikart @smart_hillbilly .#LadderBoy</t>
  </si>
  <si>
    <t>@Beatlebaby64 @JenEnnenbach @Jimi971 @juliematthews50 @jenniferkrneta We have TWO!!</t>
  </si>
  <si>
    <t>RT @RadioFreeAllman: Calling all @jallman971 followers come on over to the new ‘RFA Twitter!! Thank you !</t>
  </si>
  <si>
    <t>RT @RadioFreeAllman: Good times at #RadioFreeAllman! https://t.co/kyFjjALDDe</t>
  </si>
  <si>
    <t>@kbailey971  https://t.co/1mcKmLnoYE</t>
  </si>
  <si>
    <t>@Bren05_ @Beatlebaby64  https://t.co/KG7xt3OxnP</t>
  </si>
  <si>
    <t>It's SO friggin' cold in my office, I'm going to put the baseboard radiator on in Tim's office and sit there &amp;amp; warm up!</t>
  </si>
  <si>
    <t>Hillary thinks she's so effing funny, rubbing our noses in her stinking pile of Russian horseshit while speaking at Yale
@HillaryClinton
#CUNextTuesday https://t.co/3cK7nzwRsH</t>
  </si>
  <si>
    <t>This is so you @TheNewRight 
@RadioFreeAllman #RFA https://t.co/wo3q7vWJeK</t>
  </si>
  <si>
    <t>Funny, but sad.
Except I've met most y'all.  And some of you are definitely STRANGER 
#AttentionWhore https://t.co/Wv8vMQQumF</t>
  </si>
  <si>
    <t>Please God, let this happen in my lifetime https://t.co/sCwF50nVWP</t>
  </si>
  <si>
    <t>Holy hell...the payoff is worth it https://t.co/JlbbFCFWRC</t>
  </si>
  <si>
    <t>@AskPadre @RadioFreeAllman Looks good on you Padre!</t>
  </si>
  <si>
    <t>Because he's FISCALLY RESPONSIBLE
@AP4Liberty 
#AustinPetersenForSenate
#FireClaire🔥 https://t.co/iPIvpp8zPy</t>
  </si>
  <si>
    <t>OMG DO IT I DOUBLE-DOG DARE YOU! https://t.co/1HVaIYbJS1</t>
  </si>
  <si>
    <t>RT @you: @realDonaldTrump Do you believe Donald?</t>
  </si>
  <si>
    <t>Hume's Fan Club 🤘🤘 https://t.co/FYzSW3jLkx</t>
  </si>
  <si>
    <t>@KyleKashuv Just betting you'll have a whole mailbox full of college offers unlike some others in your school in the public's eye
Nice work young man!</t>
  </si>
  <si>
    <t>.#PeterSENForSENate !!! https://t.co/nwDTz0e3MN</t>
  </si>
  <si>
    <t>@RadioFreeAllman @hume Let's see if he answers that 2am phone call.</t>
  </si>
  <si>
    <t>@RadioFreeAllman @hume Would be interesting to hear his voice read those Tweets ...</t>
  </si>
  <si>
    <t>@jenniferkrneta @shockerdom2 @muellersaide @RadioFreeAllman No shit ~</t>
  </si>
  <si>
    <t>Wait a second.  I know this guy!  I've seen this before ...
#RFA #RadioFreeAllman
@RadioFreeAllman
#SomeoneHasAManCrush
#TrollDismissed
#ButtFetishMuchDave https://t.co/4g3RR0x65A</t>
  </si>
  <si>
    <t>Ooooh, something tells me we're about to have #TheBigReveal
@shockerdom1
@shockerdom2
@muellersaide
@ ?????
#RFA #RadioFreeAllman
@RadioFreeAllman https://t.co/PWv9c1Kkcb</t>
  </si>
  <si>
    <t>ANOTHER account?!  My God, this guy wasn't kidding!  
@AlmanFree @shockerdom1 @shockerdom2  &amp;amp; @Muellersaide?
Is this cat on FB talking like this to teen girls in his hood?  
#RadioFreeAllman 
#SomeoneHasAManCrush
#Dipshidiot
#TrollDismissed
@RadioFreeAllman https://t.co/SZAWfoftX8</t>
  </si>
  <si>
    <t>Retweet without further comment because what @AlmanFree @shockerdom1 @muellersaide said was beyond heinous.  
Only a really fat, partially bearded, bald, ugly guy probably molested by his mom could say such a thing about someone else's mom https://t.co/N6KDHVyV14</t>
  </si>
  <si>
    <t>@TheNewRight @Kleenex @RadioFreeAllman Too far? 🙄</t>
  </si>
  <si>
    <t>I've seen this profile before, so now we have @AlmanFree @shockerdom1 AND @Muellersaide? 
What other accounts does he have?  What does this guy do for a living that he can diddle 1k accounts, among other things
#RFA #RadioFreeAllman
#SaulGoodMan
#TrollDismissed https://t.co/810QaiNoVw</t>
  </si>
  <si>
    <t>.#Cults, #Racism, #HatefulViews
As my momma would say, "You hate in yourself that which you hate in others".  Basically #transference
#TrollDismissed #RFA
#SomebodysGotAManCrush
#GamesPeoplePlay https://t.co/iv2tygZC5G</t>
  </si>
  <si>
    <t>.#Pfffffffffftttt I can't even surpass @Hume's comment here
 @AlmanFree or @shockerdom1
 or whatever he calls himself 
#TrollDismissed 
#SaulGoodMan
#ButtFetishMuchDave
@RadioFreeAllman #RFA https://t.co/yUwfmKYNHJ</t>
  </si>
  <si>
    <t>Keeping those hands busy with 1k accounts sure beats joeying to your nemesis visage, right @shockerdom1 @Kleenex
@RadioFreeAllman #RFA #RadioFreeAllman
#TrollDismissed #GamesPeoplePlay https://t.co/rNRAnES067</t>
  </si>
  <si>
    <t>Like a #SNLSkit #ImALawyer #SaulGoodMan #Dipshidiot 
#StreetOfDreams
@RadioFreeAllman  #RFA
#RadioFreeAllman
#HotPokerTweetGang
#TrollDismissed https://t.co/WOjfBUd1PC</t>
  </si>
  <si>
    <t>Why, @Hume?  #PrayTell
#TrollDismissed
#ParodyAccount101
#GamesPeoplePlay
@RadioFreeAllman #RFA
#RadioFreeAllman https://t.co/KYKNj5qHM3</t>
  </si>
  <si>
    <t>When @Hume is bored, s/he will find SOMETHING to do
This #Dipshidiot thinks he's so fucking genius with his #FakeAccount, trying to pass himself off as the REAL @RadioFreeAllman #RFA
#GamesPeoplePlay
#TrollDismissed
@shockerdom1 https://t.co/dzy3WqSzKN</t>
  </si>
  <si>
    <t>So, it's okay to write shit like this when you're a #FakeAccount trying to pass yourself off as a legit, real person
#SadLonelyLiberal
#TrollDismissed #RFA @shockerdom1 #GamesPeoplePlay
@RadioFreeAllman https://t.co/vPWLofVfAi</t>
  </si>
  <si>
    <t>What the fu....?!  Who unfollows @Hume after following him/her?  
#QuePasa #RFA #GamesPeoplePlay 
#TrollDismissed
Does @RadioFreeAllman know about these shenanigans?
#RFA #RadioFreeAllman https://t.co/QfbsU4jEEb</t>
  </si>
  <si>
    <t>You really have to look close to distinguish between the faux account &amp;amp; the real deal.  
#TrollDismissed
#FakeAccount
#RFA #RadioFreeAllman
@RadioFreeAllman https://t.co/ZzLTW56ysA</t>
  </si>
  <si>
    <t>Go HERE to watch live feed of Kilauea Volcano ~ like me
https://t.co/6eeIOl9v1b</t>
  </si>
  <si>
    <t>LOLZ This thread ~ a new #JamieAllman hater (read: man-crusher) is about to be as exposed as #HumaAbedin's pedophile husband 
Read the whole thread ~ don't it by skipping ahead https://t.co/dUUiCDoBA8</t>
  </si>
  <si>
    <t>@rachelz971 Ewww Rach!  Less crunchy?  May as well just eat mashed potatoes! 😃😅🤣 https://t.co/x69Jq4VDOT</t>
  </si>
  <si>
    <t>RT @YearOfZero: I hear STERLING BANK is a great place to bank!
#MoLeg #MoGov #Greitens #Missouri #stlouis #MoSen https://t.co/7wkigEyvAC</t>
  </si>
  <si>
    <t>Nah, the Queen's seat would not have been obstructed if someone sat in that seat.  Ruin it for everyone @people ~ we all knew it was an honorary spot for #Diana https://t.co/bD1PQ2j5md</t>
  </si>
  <si>
    <t>THIS is a HUGE problem @stlcao
#ThanksKimShady #KimShady 
#StLouisCity 
 https://t.co/CrP8pJR1sL</t>
  </si>
  <si>
    <t>RT @AnnCoulter: .@SteveScalise: Please fire the pollster who told you to say the omnibus bill provided a "DOWNPAYMENT" on the wall.  Everyo…</t>
  </si>
  <si>
    <t>@Beatlebaby64 @jenniferkrneta Oh, I don't disagree sis, but when you want a potato chip...!</t>
  </si>
  <si>
    <t>RT @YearOfZero: Top 5 reasons KC STAR IS FAKE NEWS  
1. Cuz they are 
2. Cuz they are 
3. Cuz they are 
4. Cuz they are 
5. Cuz they are…</t>
  </si>
  <si>
    <t>.@KCStar is #FakeNews &amp;amp; their editorials are allegedly paid for by those are benefiting from the #MoTaxScam #greitens #MoGov @EricGreitens blew apart https://t.co/S4niLxRFrW</t>
  </si>
  <si>
    <t>The Trail ~ but WHO'S #TheFunder?!
#greitens #GreitensTrial 
#MoTaxScam
#MoLeg
#MoGov
@DRUDGE_REPORT 
@seanhannity 
@marklevinshow https://t.co/EH7lAT9qEm</t>
  </si>
  <si>
    <t>@Beatlebaby64 @Jimi971 @jenniferkrneta @juliematthews50 I was lagging still from Thursday so a full belly of Mongolian BBQ &amp;amp; sushi put me right in to a food coma</t>
  </si>
  <si>
    <t>RT @KTHopkins: https://t.co/1x7V57Xxxc</t>
  </si>
  <si>
    <t>WHAAAAAAT
#RemoveKimGardner
#KimShady 
#GreitensTrial 
#MoGov
#MoLeg https://t.co/yT0yeqVIgV</t>
  </si>
  <si>
    <t>The videos, pictures are incredible.  The sound of lava "fountaining" is the sound of nightmares
#KilaueaVolcano https://t.co/r68CVMXRr1</t>
  </si>
  <si>
    <t>Fissure 20 has been extremely active...
#KilaueaVolcano https://t.co/rXr8ToajE5</t>
  </si>
  <si>
    <t>RT @GayRepublicSwag: Do you support giving the government the power to take away the people's Second Amendment? Vote and retweet. #guncontr…</t>
  </si>
  <si>
    <t>Oh Lord ... https://t.co/JPeLroyDAP</t>
  </si>
  <si>
    <t>@Jimi971 @Beatlebaby64 @jenniferkrneta @juliematthews50 Congrats, dad!  Yep, I can remember the craziness over my graduation day.  I don't recall much of the night, though.  The ONE time my parents let me drink, but we had to turn in our keys to the host parents...</t>
  </si>
  <si>
    <t>https://t.co/TXmPEcWReZ</t>
  </si>
  <si>
    <t>https://t.co/VYCh72Zw31</t>
  </si>
  <si>
    <t>https://t.co/U9ZXjiCtPT</t>
  </si>
  <si>
    <t>Someone ( @ChrisHayesTV ) is DOING THE HARD WORK. 
We need NATIONAL RECOGNITION for what's really happening to @EricGreitens #MoGov and get to the bottom of these tax schemes
#MoLeg #GreitensWitchHunt
@DRUDGE_REPORT 
@marklevinshow 
@seanhannity 
#KimShady @stlcao</t>
  </si>
  <si>
    <t>Follow the Money Trail.
Don't think for one second this is over.  #MoLeg still hates #MoGov for cutting off their #GravyTrain https://t.co/0frUrUSHX1</t>
  </si>
  <si>
    <t>@jenniferkrneta I'll eat Baked Lays in a pinch, like, if it's all to choose from between that and Funyums</t>
  </si>
  <si>
    <t>When you see something like this, you just have to wonder about our education system.
#MoHR2 
#MoLeg https://t.co/iIcjLkwPIS</t>
  </si>
  <si>
    <t>Let's make this a thing.
Thoughts, peeps? https://t.co/pSesKcARYP</t>
  </si>
  <si>
    <t>@rachelz971 Wavy Lays are better. 
Ruffles disintegrate under mastication too quick.  Wavy Lays hold up just a smidge longer.
Pringles are the perfect road trip food.  They don't taste like they used to before the Food Police started bitching about trans fat etc, though.  Salt &amp;amp; Vinegar!!</t>
  </si>
  <si>
    <t>@Jimi971 @Beatlebaby64 @jenniferkrneta @juliematthews50 I'm up.</t>
  </si>
  <si>
    <t>Hold my Diet Coke he said... https://t.co/tF9urjUS4N</t>
  </si>
  <si>
    <t>How bad MS-13 is when the @ChurchOfSatan doesn't want anything to do with you
🤣😂😆😅😂😁😀😅🤣😆 https://t.co/vceFMzC26K</t>
  </si>
  <si>
    <t>@TheNewRight I got you there, didn't I</t>
  </si>
  <si>
    <t>We recorded the #Preakness &amp;amp; went to dinner.  Just watched the race again for the 3rd time ~ if this had been a longer track, #Justify  would have been beaten, but fate...</t>
  </si>
  <si>
    <t>@EvaLovasco @AP4Liberty @clairecmc An agnostic, who balances law against the Constitution, will ensure freedom OF religion, not FROM.</t>
  </si>
  <si>
    <t>Why do we have such a problem with teens &amp;amp; rage?!  I'm looking at YOU, parents...
https://t.co/23bStX9V5q</t>
  </si>
  <si>
    <t>@HonkyTonkJew @ShwMeGrl Two of his ex's we're at the wedding.</t>
  </si>
  <si>
    <t>@skoalbandit1776 You forgot lazy, ugly ... shut up bitch, go fix me a turkey pot pie</t>
  </si>
  <si>
    <t>@true_pundit I looked at the actual polling info &amp;amp; Dems still hold the lead, but most are WELL within the margin of error.  AND the points are narrowing weekly!</t>
  </si>
  <si>
    <t>@ShwMeGrl @HonkyTonkJew Jeebus, if Harry's the empath &amp;amp; RMM is truly the Narc some say she is, I see two kids (1for insurance that her place is marked) and 8 years.</t>
  </si>
  <si>
    <t>@Moi26884077 @DailyMailUK @MailOnline Hahaha!  Yes!!</t>
  </si>
  <si>
    <t>@DailyMailUK @MailOnline Who?  Where?</t>
  </si>
  <si>
    <t>@joelcurrier @stltoday And the media is there.  Disgusting.</t>
  </si>
  <si>
    <t>Does @NancyPelosi KNOW she's lying, conflating &amp;amp; playing loose with the truth when she does this sort of shit? 
 https://t.co/UuJYSioA7S</t>
  </si>
  <si>
    <t>RT @YearOfZero: Why don’t you audit the Low Income Housing Tax Credit or how much month was spent on lying Kim Gardner’s farce?
#moleg #mo…</t>
  </si>
  <si>
    <t>RT @AmyMek: DEMAND RACIST ANTI-COP JHADI RESIGNS FROM NJ SCHOOL BOARD!
CALL Tel: 973-762-5600
Stephanie Lawson-Muhammad, a NJ Board of Ed…</t>
  </si>
  <si>
    <t>@clarkeys6l @ninekiller I saw her actually laughing one time &amp;amp; her face was so much more acceptable</t>
  </si>
  <si>
    <t>I loved his address.  He brought it all back to #love.
#RoyalWedding https://t.co/ncAeGWkAFn</t>
  </si>
  <si>
    <t>Ouch!  We got the "point" Cap'n!
@AP4Liberty #FireClaire🔥 
#PeterSENForSENate
#MoSen
#TeamLiberty https://t.co/1mo1N9A48I</t>
  </si>
  <si>
    <t>Let's get @AGJoshHawley @HawleyMO to gracefully bow out &amp;amp; support @AP4Liberty 
Josh was a reluctant recruit for #MoSen; we don't need any more of #ClaireBear's shenanigans in tipping elections her way
#PeterSENForSENate
#FireClaire🔥 
@clairecmc https://t.co/b5J4UgHTIZ</t>
  </si>
  <si>
    <t>@CurtisKingsley @TheNewRight West Point: Doody, Honor, Country 😂😂</t>
  </si>
  <si>
    <t>RT @RagingGayCons: BREAKING NEWS: Not a single NRA member has ever committed a school shooting. Yet, leftists blame the NRA &amp;amp; millions of i…</t>
  </si>
  <si>
    <t>Uhm, that looks nasty!  What is it?? https://t.co/3BBqFXAZdx</t>
  </si>
  <si>
    <t>I pray for this man regularly https://t.co/V4ZmvbDkNt</t>
  </si>
  <si>
    <t>Sorry.  Couldn't help myself https://t.co/ixEZb5e16H</t>
  </si>
  <si>
    <t>Whoa ... so someone DID misuse The Mission Continues donor list...
#Greitens political enemies used it to attack him!  Why is THIS not against the law?! https://t.co/4USDKktu6E</t>
  </si>
  <si>
    <t>.#PeterSENForSENate
#FireClaire🔥
#AustinPetersenForSenate
@AP4Liberty https://t.co/aZAraIRRMy</t>
  </si>
  <si>
    <t>RT @caesar718: #KimShady just can’t admit she attempted to prosecute a case w/ no evidence, hired an invstgr who lied on the stand, trying…</t>
  </si>
  <si>
    <t>Not even going to lie.  Been watching this #RoyalWedding for an hour &amp;amp; non-stop tears.</t>
  </si>
  <si>
    <t>RT @aveirjapan: https://t.co/OFaKhiTeW2</t>
  </si>
  <si>
    <t>RT @realDonaldTrump: Reports are there was indeed at least one FBI representative implanted, for political purposes, into my campaign for p…</t>
  </si>
  <si>
    <t>DROP IT.  
#greitens
#MoLeg https://t.co/9KyZWYlhyl</t>
  </si>
  <si>
    <t>RT @silverado6060: @farmerfar55 @AP4Liberty @ShaneTHazel @JoinTravisAllen @RealErinCruz @tedcruz @chiproytx @kelliwardaz  https://t.co/UHTF…</t>
  </si>
  <si>
    <t>I'm watching her with different eyes than most
#RoyalWedding 
https://t.co/FwNOOLOZl1</t>
  </si>
  <si>
    <t>Fucking American TV people. https://t.co/TtLjX79joh</t>
  </si>
  <si>
    <t>Her mom tho 💗 https://t.co/qjhIyvD3Ts</t>
  </si>
  <si>
    <t>@HonkyTonkJew I mean, wtf is she talking to Charles about, constantly?!  🤤</t>
  </si>
  <si>
    <t>I'm digging Bishop Michael Curry.
#RoyalWedding</t>
  </si>
  <si>
    <t>Oh my God.  They seriously believe this crap. https://t.co/nKfW3o3V7Z</t>
  </si>
  <si>
    <t>RT @iamRyanJaycox: Digital radio now more popular than Dinosaur FM Radio. This is why @RadioFreeAllman is RADIO FREE! https://t.co/X2EPyNyd…</t>
  </si>
  <si>
    <t>@ninekiller Dude.  Mine just gets longer &amp;amp; flatter.</t>
  </si>
  <si>
    <t>I think I'm in love with @ThomasWictor 
@RealCandaceO
https://t.co/u8lLbCERNM</t>
  </si>
  <si>
    <t>SIGN THIS!! https://t.co/uekRDB6e6H</t>
  </si>
  <si>
    <t>@Beatlebaby64 Pfffft!</t>
  </si>
  <si>
    <t>SUCK IT GREITENS HATERS!!
 https://t.co/c5tizdA19Z</t>
  </si>
  <si>
    <t>@RadioFreeAllman @brawil86 @TOP9TailFox @Beatlebaby64 @jallman971 @iamRyanJaycox @AmfellinAlicia @juliematthews50 @ninekiller Well CRAP.  I have Tix to the #KSHEPigRoast!</t>
  </si>
  <si>
    <t>@Beatlebaby64 @TOP9TailFox @RadioFreeAllman @jallman971 @iamRyanJaycox @AmfellinAlicia @brawil86 @juliematthews50 @ninekiller Haha Shar!!</t>
  </si>
  <si>
    <t>@ninekiller @TOP9TailFox @RadioFreeAllman @Beatlebaby64 @jallman971 @iamRyanJaycox @AmfellinAlicia @brawil86 @juliematthews50 😆😆😆😃</t>
  </si>
  <si>
    <t>@Bren05_ I could use a little hair of the dog myself</t>
  </si>
  <si>
    <t>I'm hungry.</t>
  </si>
  <si>
    <t>So, he's agreeing with Trump that MS-13 are animals?  Because if we don't do something about them coming here, they'd use JL's baby &amp;amp; wife as human pin cushions and rape tools to deliver their message of hate &amp;amp; evil https://t.co/arQTwCLIi8</t>
  </si>
  <si>
    <t>What April said!
@AP4Liberty is the CLEAR choice to beat @clairecmc #ClaireBear in #MoSen.  He's a #ConstitutionalConservative who believes in separation of the Fed &amp;amp; State.  He's also a Native Missourians
#PeterSENForSENate
#FireClaire🔥 https://t.co/JY3YhKDk5l</t>
  </si>
  <si>
    <t>RT @RealSaavedra: Ladies and gentleman,
I present to you, @AnaNavarro... https://t.co/dTIpwZR0lD</t>
  </si>
  <si>
    <t>@TOP9TailFox @Beatlebaby64 @RadioFreeAllman @jallman971 @iamRyanJaycox @AmfellinAlicia @brawil86 @juliematthews50 @ninekiller If you followed me, you'd have known 😉😉
Now, just follow @RadioFreeAllman !</t>
  </si>
  <si>
    <t>@jhm1701 @juliematthews50 Thanks, doll!</t>
  </si>
  <si>
    <t>The RAGE I feel when this client calls me quarterly for faxed copies of their statements they get monthly in the mail AND have access to ONLINE but admit they are "too lazy" to do it themselves.  
So I have to waste toner/paper bc you're a FUCKING LAZY ASS
#GotIt</t>
  </si>
  <si>
    <t>RT @SallyMayweather: https://t.co/9xY31bNhza</t>
  </si>
  <si>
    <t>Well, now.  That's a really good question @CatoInstitute ~ please enlighten us
          💥💥POOF💥💥 https://t.co/NFDxHtqGAt</t>
  </si>
  <si>
    <t>RT @Oil_Guns_Merica: Get ready for two weeks of ignorant people boycotting businesses who had absolutely nothing to do with what happened i…</t>
  </si>
  <si>
    <t>Everyone keep a screencap of this.  Like Parkland, initial reports like this will be "debunked", explained away, or the student demonized as being "hysterical" https://t.co/pR0zXOIYNp</t>
  </si>
  <si>
    <t>Hanging out with @Margare03880660 at #HappyHour!
@RadioFreeAllman 
#RFA https://t.co/lPdGbk8Cj9</t>
  </si>
  <si>
    <t>After the show with @BlackTopMojo at #Fubar #TheLou
These guys were so appreciative of our support ~ I look forward to them breaking big and I can look back on this nite &amp;amp; say "I saw them when..." https://t.co/m59e2G7wsk</t>
  </si>
  <si>
    <t>Hanging out with my bud &amp;amp; sort-of co-worker @KrisVanh0use at the #RFA #HappyHour
@RadioFreeAllman https://t.co/XgVLL0U86M</t>
  </si>
  <si>
    <t>Art and treasure
@RadioFreeAllman 
#HappyHour
#ManOfLaMancha
#RFA https://t.co/ftRldNjHsR</t>
  </si>
  <si>
    <t>The #RadioFreeAllman Studio #ChillPhone
@RadioFreeAllman https://t.co/rE6ZgiSv2S</t>
  </si>
  <si>
    <t>Here, all this time I thought I was the stalker
@RadioFreeAllman 
@Beatlebaby64 
#AitE
#ResistWeMunch https://t.co/MrnVVKAgO3</t>
  </si>
  <si>
    <t>Good people are magnetically drawn together
#AitE
#RFA
#HappyHour
#GaslightStudio https://t.co/cI9lDCfziZ</t>
  </si>
  <si>
    <t>RT @VisioDeiFromLA: You deleted the tweet because you got caught straight up lying.
The press is the enemy of the American people.
Never…</t>
  </si>
  <si>
    <t>RT @ChrisLoesch: So, you tweeted how horrible it was for Trump to call murderous #MS13 gang members “animals” but forgot to scrub your time…</t>
  </si>
  <si>
    <t>@JackPosobiec He seemed so ... Normal.</t>
  </si>
  <si>
    <t>@juliematthews50 👍👍👍</t>
  </si>
  <si>
    <t>What's all this talk about @POTUS calling #MS13 animals &amp;amp; Libs freaking out about it? https://t.co/gLWEuWenBU</t>
  </si>
  <si>
    <t>RT @JenEnnenbach: Ah, the party of peace and #tolerance Man yelling about President @realDonaldTrump opens fire at #Trump resort #Miami
ht…</t>
  </si>
  <si>
    <t>RT @PrisonPlanet: HE
👏
WAS
👏
TALKING
👏
ABOUT 
👏
MURDEROUS
👏
MS-13
👏
GANG
👏
MEMBERS
👏
YOU
👏
UTTER 
👏
CLOWN
👏 https://t.…</t>
  </si>
  <si>
    <t>Ouch!  Candace!!  
Putting things in perspective https://t.co/VV0HV9STI1</t>
  </si>
  <si>
    <t>RT @AP4Liberty: After traveling all over Missouri the last year, I stopped in Jeff City to share what I've been hearing from people with ou…</t>
  </si>
  <si>
    <t>Listening to @AP4Liberty #PeterSENForSENate on #TheMarcCoxMorningShow
@MarcCox971 @971FMTalk 
#FireClaire🔥</t>
  </si>
  <si>
    <t>@Beatlebaby64 Yes, we're cherubic!</t>
  </si>
  <si>
    <t>What I did last night, after @RadioFreeAllman Happy Hour last night until about 12am 
@DivineSorrowSTL 
@BlackTopMojo 
@JoyousWolfMusic 
This morning, I'm looking rough... https://t.co/t7r9ElXMz5</t>
  </si>
  <si>
    <t>Just us, hanging out with @RadioFreeAllman (AGAIN!)
@juliematthews50 
@Beatlebaby64 https://t.co/P3HROgUvoa</t>
  </si>
  <si>
    <t>Challenge accepted!
RETWEET THIS EVERYONE, even if you don't know what's going on https://t.co/BePIYvdqGn</t>
  </si>
  <si>
    <t>RT @HaubrichNoir: I think @anniefreyshow @tonycolombo971 and Church should do cha-cha slide for the camera. Video or we don't believe you!…</t>
  </si>
  <si>
    <t>RT @TheNewRight: in case you don’t know who Mark Kasen is:
#RadioFreeAllman https://t.co/cPPuGBYsGj</t>
  </si>
  <si>
    <t>@Beatlebaby64 @RadioFreeAllman @jallman971 @iamRyanJaycox @AmfellinAlicia @brawil86 @juliematthews50 @ninekiller So much fun, the studio looks great ... can't wait to see what's in the future</t>
  </si>
  <si>
    <t>Sign this petition!  Brand new!!
 https://t.co/XnbY7q10HE</t>
  </si>
  <si>
    <t>Get you some 9
#SupportLocalMusicians https://t.co/cHvqMifR1Y</t>
  </si>
  <si>
    <t>Pfffft!  "Fallout of release" ?!  It's all been released already!  Why is everyone falling all over themselves to protect #PhilipSneed #HereLIESMoon @HereLiesMoon #MoonValjean🌛 ?!
And let"s investigate @staceynewman &amp;amp; #RabbiSusanTalve's involvement in this! https://t.co/wfezfTm8WS</t>
  </si>
  <si>
    <t>@ninekiller Right?  Piss off, eh @nytimes</t>
  </si>
  <si>
    <t>@ResethO @AP4Liberty @clairecmc @HawleyMO Come on @AGJoshHawley @HawleyMO 
Do the RIGHT thing.  Get on board with @AP4Liberty, donate from your election chest, help him beat @clairecmc #ClaireBear !
#FireClaire🔥 #PeterSENForSENate 
#AustinPetersenForSenate
#MoSen</t>
  </si>
  <si>
    <t>I need to get this +after I get my #RFA gear)
@ninekiller @juliematthews50 @Beatlebaby64 @RadioFreeAllman 
#ninekiller https://t.co/0LPOjptwyN</t>
  </si>
  <si>
    <t>Yep, needs this, too.  For some reason I don't think @ninekiller is getting residuals off this stuff https://t.co/oGE8XnIqUM</t>
  </si>
  <si>
    <t>RT @AskPadre: Truth. https://t.co/g4iwDCKU0n</t>
  </si>
  <si>
    <t>What Julie said
@ninekiller 
#SupportLocalMusicians https://t.co/y7tBvXUI1q</t>
  </si>
  <si>
    <t>@juliematthews50 @Beatlebaby64 Here's MY bird (hard to see this little thing as lethal) https://t.co/gnbCVWHdvZ</t>
  </si>
  <si>
    <t>@juliematthews50 @ninekiller @Drumrunner2012 @ATeamMom1 @jallman971 I'll pass, thanks.  I'm all about the mountains!!</t>
  </si>
  <si>
    <t>And y'all think #FlyoverCountry's boring
#GreitensTrial @EricGreitens 
#StaceyKNEWman @staceynewman
@scottfaughn #KimShady 
@stlcao #MoLeg #MoGov #MoneybagsAl 
https://t.co/9sfFmwNSZv</t>
  </si>
  <si>
    <t>Honest to God, I don't know if much more awesome can be in this picture https://t.co/cruHZRS5La</t>
  </si>
  <si>
    <t>@KamalaHarris Seattle</t>
  </si>
  <si>
    <t>Hahahaha!!  So true!  Where you @ @AGJoshHawley @HawleyMO 
#AreYouChicken?
@AP4Liberty #FireClaire🔥
#PeterSENForSENate https://t.co/BTSabklqFP</t>
  </si>
  <si>
    <t>RT @RealEagleWings: 🚌 Georgia Gov. Candidate Michael Williams plans on driving a ‘Deportation Bus’  wants to fill up with undocumented Immi…</t>
  </si>
  <si>
    <t>Ties to cut tax credits by #Greitens... https://t.co/58ukyz3esL</t>
  </si>
  <si>
    <t>In this photo, @staceynewman #StaceyKNEWman has a hairstyle by #KittySneed that looks suspiciously like @realDonaldTrump https://t.co/ecWHprDagU</t>
  </si>
  <si>
    <t>.#FindTheFunder https://t.co/cxHLfl5IVf</t>
  </si>
  <si>
    <t>.#FindTheFunder https://t.co/7jQ327b80t</t>
  </si>
  <si>
    <t>IRS Form 8300 was filed, right #MoneyBagsAl #AlWatkins?
Wouldn't want the @IRSnews to think you were HIDING anything in the #Greitens case
@scottfaughn @HereLiesMoon 
#HereLIESMoon https://t.co/8UK88HJaM9</t>
  </si>
  <si>
    <t>Oh for Christ's sake, @Politico
Give it a fucking rest https://t.co/bQmErSJQKT</t>
  </si>
  <si>
    <t>https://t.co/x4hu7Epmgy</t>
  </si>
  <si>
    <t>What'cha doin' tomorrow?  Come buy me a drink! 😄
#RadioFreeAllman #RFA 
@RadioFreeAllman #AitE 
#AllmanInTheEvening
#ResistWeMunch
@jallman971</t>
  </si>
  <si>
    <t>Please answer the question https://t.co/TqQY6OGP0t</t>
  </si>
  <si>
    <t>Just 10 years ago, this was on TV.  Since then, large-scale development has continued on the Big Island.  One thing about a major disaster there: People will die, too so not a lot of insurance claim 😐😐😐
https://t.co/HGuMRB91Kj</t>
  </si>
  <si>
    <t>@TheNewRight Dude ~ I'm not havin' any of that</t>
  </si>
  <si>
    <t>You mean #StormyDaniel's PIMP because no one gets to her except thru him https://t.co/dhMM66gQ0P</t>
  </si>
  <si>
    <t>Attorney #JeremyWooten said. "Mr Tisaby did not perjure himself &amp;amp; I think the evidence will leave the @SLMPD to not charge Mr Tisaby with any wrongdoing."
Except for swearing no notes were taken in 😺's deposition &amp;amp; being videotaped taking notes... 
https://t.co/8ih8IxfG7u</t>
  </si>
  <si>
    <t>This is crazy ~ imagine this happening in your neighborhood!! 
#KilaueaVolcano https://t.co/9xsrlwMGtw</t>
  </si>
  <si>
    <t>L'il o'le @davidhogg111 https://t.co/hxw5VPMH86</t>
  </si>
  <si>
    <t>@TheNewRight  https://t.co/ikovkIGWjT</t>
  </si>
  <si>
    <t>RT @KatTheHammer1: "The most controversial thing I've ever done was decide to think with my brain instead of my skin tone." 
 ~@RealCandac…</t>
  </si>
  <si>
    <t>Explain, please https://t.co/V3vgfQl8UV</t>
  </si>
  <si>
    <t>RT @PrisonPlanet: "If the standard is that Childish Gambino can blow someone's brains out in the first 20 seconds of his video to 125M view…</t>
  </si>
  <si>
    <t>O wonder if @Walmart knows what  the old disco tune #RingMyBell REALLY means?  I'm guessing not! https://t.co/ye8kD8UPmo</t>
  </si>
  <si>
    <t>Keep an eye over your shoulder.  You won't hear us coming
#MoLeg
#OccupyJeffCity https://t.co/4GBync7z2Y</t>
  </si>
  <si>
    <t>Such a fucking LIE!!! https://t.co/jvZ8qCu9dM</t>
  </si>
  <si>
    <t>Says the guy who voted for George Washington, pfffft 
@officialKeef 
https://t.co/19eEU7TDWO</t>
  </si>
  <si>
    <t>@KrisVanh0use @staceynewman @charlesjaco1 @jallman971 @RadioFreeAllman The App or the poker?! 😉😉😉</t>
  </si>
  <si>
    <t>And, if you act now, you'll get a free fireplace poker delivered to your home 😉😆😅😄
I wonder if @staceynewman &amp;amp; @charlesjaco1 downloaded it yet?
#RadioFreeAllman #RFA
@jallman971 @RadioFreeAllman https://t.co/ptulb8K0D6</t>
  </si>
  <si>
    <t>Comment, @TwitterSupport  @TwitterSafety @Twitter? https://t.co/Oiw3VETyZc</t>
  </si>
  <si>
    <t>California needs help and it starts with new foster parents.  Like this guy. https://t.co/sMjTsa26XQ</t>
  </si>
  <si>
    <t>@JerryBrownGov @realDonaldTrump Screw you Governor Moonbeam you fascist, America-hating piece of shit.  I hope you are happy when California slinters off and leaves you idiots on your fascist island all alone</t>
  </si>
  <si>
    <t>Unbelievable editing by @mitchellreports to make the story for their narrative.
Jesus, these people are shameless
&amp;amp; want this country to fail. https://t.co/0y1IqKhCTN</t>
  </si>
  <si>
    <t>@Beatlebaby64 Nah ~ my kids didn't know.  Under pressure.  If I was bulemic maybe it would have draped nicely around my neck bone.</t>
  </si>
  <si>
    <t>@RAWPWR99FATBOY Oooh, I love books!  Why I was surprised they did this.  The pendant, with their birthstones is pretty, also engraved.  But that 15" chain ~ no way.  I looked ridiculous with it on!  No one buys 15" chains for a 50+ yr old MOM!  In AMERICA!</t>
  </si>
  <si>
    <t>@markmeyer11 @jaredjewelelrs Guess which was the "standard" chain &amp;amp; which one I ended up buying at @TheDiamondFam ? https://t.co/ob9CHfO5qZ</t>
  </si>
  <si>
    <t>When I walked in those people were so robotic with their canned, scripted, FAKE greetings oh my God just make me sick</t>
  </si>
  <si>
    <t>I'm sorry that I'm not a typical Jared Shopper I don't have $35 or $40 just laying around to buy a sterling silver chain</t>
  </si>
  <si>
    <t>My kids tried to do a nice thing for me for Mother's Day and now I look like a total ungrateful bitch because I can't wear this</t>
  </si>
  <si>
    <t>I can't even tell you how pissed off I am about this.  The sales tool took total advantage of my son who doesn't know anything about jewelry to get rid of that overstock, stupid-size chain!  It's like a choker on me!</t>
  </si>
  <si>
    <t>Can I tell y'all how much I hate hate hate @jaredjewelelrs ?
My sons bought a Mother's Day gift for me.  Salestool put a little girl's size chain on it.  
They won't accept it back, exchange it or give in store credit. 
Tried to sell me a $35 #Pandora chain</t>
  </si>
  <si>
    <t>RT @JackPosobiec: It’s becoming more and more clear John Brennan ran a Russian false flag operation against the Trump campaign, using eleme…</t>
  </si>
  <si>
    <t>Another #GoodGuyWithAGun stops a #BadGuyWithAGun in a #GunFreeZone https://t.co/pfsoIuMr5t</t>
  </si>
  <si>
    <t>Retweet with a comment &amp;amp; tag @staceynewman &amp;amp; @charlesjaco1  because they both blocked me.
Hrrrrmph.
@jallman971 #RFA #RadioFreeAllman https://t.co/3E3VW9B073</t>
  </si>
  <si>
    <t>These sore losers need to get over themselves.  People like @BillKristol  don't speak for everyday Americans. https://t.co/xOafBMos0u</t>
  </si>
  <si>
    <t>Thank you @1007TheViper for coming back in to my work life
😎😎😎😎😎
@BlackTopMojo 
@TOADM 
@threedaysgrace 
OMG NOW @Sevendust ?!
I just eargasm'd https://t.co/w1NrXBunZ5</t>
  </si>
  <si>
    <t>Hey Android Users!  We now have the #RadioFreeAllman #RFA APP!
SEARCH Ryan's name there in the Play Sto'
@jallman971 #Unchained
#WithoutFilter #NoBosses 
Someone Retweet With Comment &amp;amp; tag @staceynewman @charlesjaco1   because those bitches blocked me https://t.co/5ZcbOGY7Qe</t>
  </si>
  <si>
    <t>Walked in the door this morning to a ringing phone and went to 100 mph all morning.  Now, I'm back to playing on my phone...waiting on mail, things, appointments &amp;amp; people.</t>
  </si>
  <si>
    <t>Well, it certainly seems to be a #BlueWave, trickling down the drain 
😎😎😎😎 https://t.co/YV740842Ls</t>
  </si>
  <si>
    <t>@Jimi971 @anniefreyshow @Tricia_971 @kbailey971 @Beatlebaby64 You mean #ANNIEway , right @Jimi971 ?</t>
  </si>
  <si>
    <t>Although I'm all in for another, I really enjoyed you at the Debate @PeterPfeifer18 !
Plus, you're local and seem kinda cool.
#FireClaire🔥 
#MOSEN</t>
  </si>
  <si>
    <t>So Twitter has so much money they can monitor every convo here &amp;amp; will deem it "important" or "vald"?
Hahahahahahaha https://t.co/s7hmSvap4m</t>
  </si>
  <si>
    <t>@CaptYonah That whole thing gave me a headache</t>
  </si>
  <si>
    <t>Curious ~ maybe @ABCNetwork can answer that.  If not, maybe @therealroseanne can just keep doin' her thing https://t.co/XEjIXURfS2</t>
  </si>
  <si>
    <t>@TheNewRight @JimTalent @RadioFreeAllman This format ROCKS 🤘🤘🤘</t>
  </si>
  <si>
    <t>Yep.  All the Taco's fault https://t.co/8M6cQzRCdd</t>
  </si>
  <si>
    <t>RT @CStamper_: More bad news for Soros-backed prosecutor Kim Gardner &amp;amp; her handpicked investigator Tisaby: Tisaby is now under investigatio…</t>
  </si>
  <si>
    <t>.#StaceyKnewman @staceynewman 
#KimShady @stlcao https://t.co/WDEsFo4aYn</t>
  </si>
  <si>
    <t>RT @AP4Liberty: Why not take @HawleyMO at his word? He didn't even want to be doing this. Why force him? I'm hungry, experienced, competent…</t>
  </si>
  <si>
    <t>@kbailey971 @anniefreyshow @Tricia_971 Y'all just beautiful !</t>
  </si>
  <si>
    <t>@88YahamaKeys @BillKristol @ATeamMom1 @AnnetteRR @juliematthews50 @TheNewRight @GovMikeHuckabee @dianejneff1 @Pantszilla77 @DiamondandSilk @SpeakerTimJones @toddstarnes 😉😀😃😂😅😄😃🤣😆😊😀😎😎😎😎</t>
  </si>
  <si>
    <t>@RAWPWR99FATBOY @ninekiller It's the only way I drive the Mazda.  I have to feel the catch</t>
  </si>
  <si>
    <t>RT @TyEducatingLibs: A black man was harassed by @Cheesecake Factory employees, reportedly being called a “stupid n*****” all because he wa…</t>
  </si>
  <si>
    <t>RT @KyleKashuv: Parkland school cop Scot Peterson gets $8,702 a month in pension https://t.co/D8RmsPWDjA</t>
  </si>
  <si>
    <t>Yeah, like we believe ANYTHING that comes out of #KimShady 's lying mouth
 https://t.co/S3dMcTh9nN</t>
  </si>
  <si>
    <t>.@CNN are swamp gas. https://t.co/jJqzVcgzD8</t>
  </si>
  <si>
    <t>RT @VisioDeiFromLA: Where did Scott get his Money?
I know you guys are buddies.
#moleg #mogov #Greitens https://t.co/08IU676rSh</t>
  </si>
  <si>
    <t>RT @nonfiction40: BREAKING: Its not a brace HRC is wearing, she’s hiding her email server and acting like it’s not even obvious. 
#MAGA #W…</t>
  </si>
  <si>
    <t>RT @kcmotalkradio: Missouri U.S. Senate candidate Austin Petersen @AP4Liberty joins @PeteMundo to discuss why he can beat Josh Hawley and C…</t>
  </si>
  <si>
    <t>Caught, green-handed https://t.co/B0v28GalVB</t>
  </si>
  <si>
    <t>RT @RepLeeZeldin: Say it w me former CIA Director: H...A...M...A...S. Kids as human shields, $500 payments if successfully shot, guns to pp…</t>
  </si>
  <si>
    <t>@Beatlebaby64 @AP4Liberty @EvaLovasco @TonyForNY Chicken &amp;amp; waffles ~ lots of chicken gravy https://t.co/c0hbiWPQqU</t>
  </si>
  <si>
    <t>RT @AmstadtJoe: @AmeliaPenniman @HawleyMO Drop out and let someone who gives a damn take on Claire. The real deal @AP4Liberty https://t.co/…</t>
  </si>
  <si>
    <t>Ooooooouuuch... someone feels he's entitled, or not at all interested.
@AGJoshHawley
@HawleyMO
#MoSen
@AP4Liberty #FireClaire
https://t.co/NJe4RAfSEr</t>
  </si>
  <si>
    <t>So glad I have @1007TheViper
Back in my office!  I went with joy when I checked the website today
"Run to the Hills" by @IronMaiden  https://t.co/fuROeYqjAd</t>
  </si>
  <si>
    <t>Calling them ALL at lunch
#MoLeg #MoGov
#Greitens @EricGreitens 
#SayNoToGreitensImpeachment
We're watching all y'all #SwampBeast people 
Remember for whom you work https://t.co/5wf36qMbfy</t>
  </si>
  <si>
    <t>Hi @timremole ~ I hope you say NO to impeachment &amp;amp; remove yourself from the Swamp ~ your career depends on it.  We, the unwashed masses are on to you 
#DrainTheMoSwamp
#SayNoToGreitensImpeachment
@EricGreitens #MoGov #MoLeg https://t.co/3psDCDcNkN</t>
  </si>
  <si>
    <t>Are you FOR Missourians, Becky?  Or are you a #SwampBeast, only looking out for your interests?
#NoOnImpeachmentOfGreitens unless you want to be exposed and termed out, babe. https://t.co/5h4uFqSZpR</t>
  </si>
  <si>
    <t>Read ALL of this shit!  Crazy how crooked our #MoGOP #MoLeg really are!  They're working hand-in-hand with the DemonRATS!  No wonder they hate @EricGreitens #Greitens and want him dead (figuratively)
#MoGov #AndrewNewman @staceynewman #StaceyKNEWman https://t.co/JDINytlwrV</t>
  </si>
  <si>
    <t>RT @VisioDeiFromLA: (5) Next on Deck
Bill Eigel 
Will he screw over #Missouri Voters by impeaching?
Call him up, email him and tweet him…</t>
  </si>
  <si>
    <t>Gavin Rossdale is the worst fucking singer in the world, category male</t>
  </si>
  <si>
    <t>If you can't come to #PikeCoLincolnDays in #BowlingGreenMo, here you go!
@AP4Liberty @APLibertyXpress 
#PeterSENForSENate
#FireClaire🔥 https://t.co/ivZSUmwhJc</t>
  </si>
  <si>
    <t>@KyleKashuv  https://t.co/idIc4KfzSy</t>
  </si>
  <si>
    <t>RT @ScottPresler: RACIST DEMOCRATS: A black man wearing a Make American Great Again hat was reportedly verbally attacked by staff at Cheese…</t>
  </si>
  <si>
    <t>I don't see color here, but that's just me https://t.co/MGEMxsDscq</t>
  </si>
  <si>
    <t>"There are no other rights if you can't defend them"
"Don't like guns?  Don't BUY guns"
#2A #GunControlTakesPractice https://t.co/y2N9NidosM</t>
  </si>
  <si>
    <t>Just another reason to hate Jay-Z 
He's a Satanist, and so is his creepy wife https://t.co/2bQFSS0Rps</t>
  </si>
  <si>
    <t>He's my guy. Come to Pike Co Lincoln Days in Bowling Green &amp;amp; hear @AP4Liberty for yourself.
He's the only one who can beat @AGJoshHawley and beat @clairecmc #ClaireBear 
#FireClair🔥 
@APLibertyXpress 
#PeculiarBoy 
#PeterSENForSENate
@AP4Liberty 
#AustinPetersenForSenate https://t.co/mpNxmiFdW4</t>
  </si>
  <si>
    <t>Thanks Democrats!  
Look at @BarackObama doling out medals of valor to all the #pedophiles and #rapers https://t.co/ULhIr8wgJQ</t>
  </si>
  <si>
    <t>Who is #AndrewNewman?  
@jallman971 #JamieAllman
@staceynewman #GreitensTrial 
#WitchHunt  #RFA #RadioFreeAllman https://t.co/5qwvHm6Tf2</t>
  </si>
  <si>
    <t>Haven't shopped cheap, Chinese-made, overpriced items from @DICKS in years. 
We'll make the trip up to @Cabelas
If we can't find what we need closer to home 
@MarcCox971 #mcs971 
#TheMarcCoxMorningShow</t>
  </si>
  <si>
    <t>I want to visit her ranch! https://t.co/VNgwB4AwdT</t>
  </si>
  <si>
    <t>Only @MarcCox971 #TheMarcCoxMorningShow  can go from #Greitens attorney #EdDowd to @Judgenap &amp;amp; tie it all back to @AP4Liberty https://t.co/cPofaAy1VT</t>
  </si>
  <si>
    <t>RT @RealJack: You can’t make this crap up...
Stormy Daniels' attorney, who Democrats are now rallying behind to take down Trump, is gettin…</t>
  </si>
  <si>
    <t>@lehcar79 @CNN @MichelleObama  https://t.co/ab2ZbEtFYZ</t>
  </si>
  <si>
    <t>...except her black husband beat Hillary in 2008 ... but let's ignore that for the narrative, right #MichelleObama? https://t.co/hGM0gqaWLx</t>
  </si>
  <si>
    <t>RT @Beatlebaby64: #IStandWithGreitens https://t.co/2JSSjGMJd7</t>
  </si>
  <si>
    <t>This shit doesn't just go away because #KimShady got cold feet over her sham of a #GreitensTrial 
Where did the CASH come from @scottfaughn ? Who is Skyler, #AlWatkins?  
Come on #MoLeg !!
#WitchHunt #HereLIESMoon
#MoonValjean🌛 #HereKittyKitty😺 https://t.co/juRwqGFqFl</t>
  </si>
  <si>
    <t>I love how @KyleKashuv dismantles every one of their biased, ignorant statements https://t.co/Pcc2nHdu9F</t>
  </si>
  <si>
    <t>As IEDs and KITE bombs we're coming over in to Israel fast &amp;amp; furious, Muslim @keithellison attacks Israel for defending itself
#SlowClap 
 https://t.co/ZTMq58xkyU</t>
  </si>
  <si>
    <t>. #Greitens #WitchHunt #GreitensTrial  #MoLeg #mogov @stlcao #KimGardner #MoneyBagsAl #HereLIESMoon @HereLiesMoon 
#MoonValjean🌛 #HereKittyKitty😺
@staceynewman #StaceyKnewMan 
#SusanTalve #AnarchistRabbi #MediaDoubleStandard https://t.co/v1nsmdwEAi</t>
  </si>
  <si>
    <t>RT @Str8DonLemon: @HennessySTL A storm is a brewing! 
#moleg #mogov #Greitens #missouri #MoSen https://t.co/qA4MUDmX5F</t>
  </si>
  <si>
    <t>Why does anyone even watch @CNN anymore?  After @charlesjaco1 taught them the art of faking news &amp;amp; it was exposed, they should have died then
 https://t.co/HwZa9zLgWJ</t>
  </si>
  <si>
    <t>.#GreitensTrial https://t.co/ZfikBSmnnh</t>
  </si>
  <si>
    <t>.#WhoIsTheFunder
@RGreggKeller 
#KimShady
#MoneyBagsAl
#GreitensTrial https://t.co/luBwDD4MVg</t>
  </si>
  <si>
    <t>RT @ResignNowKim: @magathemaga1 I think you have @J_Hancock confused with a real journalist, like @KMOXKilleen ... you know, the kind that…</t>
  </si>
  <si>
    <t>Nice work @JamesOKeefeIII !! https://t.co/JYgutI9i5g</t>
  </si>
  <si>
    <t>.#WHATCHAGONNADO 
#Greitens #MoLeg
#KimShady
Hey Jane, why don't you check if that $120k in mystery cash will be turned back over to @scottfaughn
&amp;amp; #GeorgeSoros https://t.co/53EK9QldPP</t>
  </si>
  <si>
    <t>Those pitchforks, buckets of hot pitch, bags of feathers.  
#GOPOCALYPSE
#ThePeasantsAreComing
#Greitens 
#MoLeg https://t.co/bfZxN1noyZ</t>
  </si>
  <si>
    <t>RT @ResignNowKim: @rxpatrick Hear that??? @RGreggKeller #moleg @jaybarnes5 @staceynewman . Sound of nails being driven into the coffin of y…</t>
  </si>
  <si>
    <t>RT @STLsherpa: You spend taxpayer money to prosecute a governor. You hire experts, investigate and file charges. Then your case gets dismis…</t>
  </si>
  <si>
    <t>@Bren05_ (well fuck, NOW I see the translator!!)</t>
  </si>
  <si>
    <t>@Bren05_ Oh, I's knows who he is, just don't read Japanese!</t>
  </si>
  <si>
    <t>🤣😂😆😀 #PigVomit 😀😆😂🤣 https://t.co/oyFyjUGY8M</t>
  </si>
  <si>
    <t>RT @MichaelDelauzon: This pic taken yesterday at a coffee house in Tel Aviv. https://t.co/P9tUPZrulM</t>
  </si>
  <si>
    <t>We're mad AF #KimShady @stlcao @staceynewman #StaceyKnewMan @HereLiesMoon #HereLIESMoon #HereKittyKitty😺 #MoneyBagsAl 
You, ONCE AGAIN, made St Louis a laughing stock https://t.co/hNBYk68gMZ</t>
  </si>
  <si>
    <t>I'd love to hear what @AGJoshHawley @HawleyMO  has to say about his campaign but he apparently only campaigns with big money people across the country
#LadderBoy #ChickenJosh #MoSen #FireClaire🔥 @AP4Liberty  #PeculiarBoy #PeterSENForSENate https://t.co/AaEtjgWyT4</t>
  </si>
  <si>
    <t>I don't know what he wrote but I trust him... https://t.co/3yvKsqmzGi</t>
  </si>
  <si>
    <t>Since there's no trial now, will #MoneyBagsAl give all that money back? 
Asking for a friend
#Greitens #GreitensTrial @EricGreitens @stlcao https://t.co/HPdY9gxRkK</t>
  </si>
  <si>
    <t>RT @Sticknstones4: Governor Eric Greitens Press Conference after Felony Invasion of Privacy Case was dropped 
We Have a great Mission Befo…</t>
  </si>
  <si>
    <t>The best head of hair on radio!  His opinions are pretty good, too.
#FanGirl
@TheMarcCoxShow
@MarcCox971 
@971FMTalk https://t.co/GBnXwlUbGJ</t>
  </si>
  <si>
    <t>Poor, poor, pitiful #KimShady https://t.co/w70MZ2Fgf2</t>
  </si>
  <si>
    <t>Hahaha!  Love your responses Mr Speaker! https://t.co/lnYWPYpUSU</t>
  </si>
  <si>
    <t>Bitch be trippin' https://t.co/M1pGhuIGB6</t>
  </si>
  <si>
    <t>Why can't God do something about this piece of shit?  Can't he stroke or something? https://t.co/4iXvheqU5l</t>
  </si>
  <si>
    <t>@markmeyer11 But, she'll be looking for someone else to damage now that she's got time on her hands</t>
  </si>
  <si>
    <t>@markmeyer11 She terms out in a week 😐😒</t>
  </si>
  <si>
    <t>@Beatlebaby64 @ATeamMom1 @gomurphy @ninekiller @dianejneff1 @88YahamaKeys @EagleEdMartin @StacyOnTheRight @AnnetteRR @AmericaFirstMO @Drumrunner2012 @KidRock @jaybuchanan_ @rivalsons LOLZ hahaha!!  True!</t>
  </si>
  <si>
    <t>RT @VisioDeiFromLA: How I know this a COUP?
#MoLeg didn't even wait 2 release statements to try to distract from #Greitens statements
Des…</t>
  </si>
  <si>
    <t>Who's got Russian Connections?  Who??  
#RobertMueller https://t.co/9ciFXtdxqA</t>
  </si>
  <si>
    <t>More &amp;amp; more people joining @ScottPresler !! https://t.co/KREk8twdDF</t>
  </si>
  <si>
    <t>RT @magathemaga1: ATTN #MoLeg
#KimShady joins ranks of Scott Faughn
Scott hiding cuz he doesnt want 2 talk
#KimShady likely pulled this…</t>
  </si>
  <si>
    <t>Guess who's step-bastard is praising his step-monster on #MothersDay?  Yep
@staceynewman ~ some brilliant responses, too.  #IConquer https://t.co/cYVfgscHHn</t>
  </si>
  <si>
    <t>Congressman Al Green looks like he stomps on puppies in his off-time.  Man's an example of "you keep frowning your face gonna freeze like  that"
 https://t.co/Ug1gII283x</t>
  </si>
  <si>
    <t>Today @stlcao shoved aside any doubt that St Louis is a laughing stock.  
I'm sorry you &amp;amp; your family had to go through all this pain again. https://t.co/2M16bCq13d</t>
  </si>
  <si>
    <t>RT @StacyOnTheRight: Democrat witch hunt against Gov. Greitens is over. Charges dropped. #mogov</t>
  </si>
  <si>
    <t>RT @prayingmedic: 21) The following day, #Qanon announced that Huma Abedin and John Podesta would be arrested. (There's a lot more, so plea…</t>
  </si>
  <si>
    <t>RT @thealexvanness: How dare Israel protect itself from violent rioters hoping to illegally break through it's border so they can murder th…</t>
  </si>
  <si>
    <t>Pre-storm, 🎼🎵 do-do-do lookin' out my backdoor 🎶 
So much pollen in my eyes 😢
Looking north then northeast, up here on The Ridge.  Thunder off in the distance...
#ImpendingDoom https://t.co/gd9xtksJpZ</t>
  </si>
  <si>
    <t>RT @AllenKranawett1: @971FMTalk Hell yes🙏🙏👋👋👋👋👋👍👍👍. My advice to the Evil Democrat St Louis City prosecuting attorney. Just admit you are h…</t>
  </si>
  <si>
    <t>@OhItsYouBob1975 @magathemaga1 @EricGreitens @Rep_TRichardson @Sticknstones4 @EdBigCon @HennessySTL @RealTravisCook @Shawtypepelina @HotPokerPrinces @Eric_Schmitt @Avenge_mypeople @SKOLBLUE1 This "invasion of privacy" issue is dead in the water.  The computer/mailing list may be a whole other issue</t>
  </si>
  <si>
    <t>RT @alexiszotos: #BREAKING: The charge of invasion of privacy have been dropped against Governor @EricGreitens by the state but the Circuit…</t>
  </si>
  <si>
    <t>.#StaceyKnewMan @staceynewman 
@EricGreitens #GreitensTrial 
#KimShady #HereLIESMoon @HereLiesMoon https://t.co/ecWHprDagU</t>
  </si>
  <si>
    <t>RT @Jordan_Sather_: The President and his team have eyes directly on us. Those who choose to see and choose to believe, are the messengers…</t>
  </si>
  <si>
    <t>@ATeamMom1 @Beatlebaby64 @gomurphy @ninekiller @dianejneff1 @88YahamaKeys @EagleEdMartin @StacyOnTheRight @AnnetteRR @AmericaFirstMO @Drumrunner2012 @KidRock No one out fan girls MommaK LOLZ 
@jaybuchanan_  @rivalsons https://t.co/O4YcasFZil</t>
  </si>
  <si>
    <t>RT @mitch_won: @Sangria1992 Becerra is neck deep in the #AwanBrothers scandal. He, DWS, Lieu et al paid the Awans &amp;amp; their family 4 times th…</t>
  </si>
  <si>
    <t>RT @gal_deplorable: #WWG1WGA!!
New from #QAnon. https://t.co/nJjrggoU5s</t>
  </si>
  <si>
    <t>C*nting wh*re for Shar*a https://t.co/ayVp2SEXrF</t>
  </si>
  <si>
    <t>All that work she's done lately and she was sick?  
Get well @FLOTUS!  Praying for your speedy recovery!! https://t.co/oImln1MIff</t>
  </si>
  <si>
    <t>@stephen28496499 How does she have enough money to talking like an imbecile to buy this, let alone pay the TAXES every year?!</t>
  </si>
  <si>
    <t>Ordered my CD ~ what are you all waiting for?  
@PearlAday https://t.co/GO7rjGYkg4</t>
  </si>
  <si>
    <t>What a loser, #Pimpmeister.  He started a sentence with "So..."
@MichaelAvenatti 
#GrammarNazi
#GrammarFuckingMatters https://t.co/0QLNtW2EDt</t>
  </si>
  <si>
    <t>Sweetie, they were starting at your white hat, wondering how you keep it so clean!
@anniefreyshow 
@VictoriaBabu1 
@971FMTalk</t>
  </si>
  <si>
    <t>Holy shit https://t.co/yiJRlGH57d</t>
  </si>
  <si>
    <t>How about "Fuck You IMMIGRANT"
 https://t.co/dFwZksn5a2</t>
  </si>
  <si>
    <t>I just caught my phone changing God to Good multiple times after I typed it &amp;amp; hit the space key!  I would be super pissed if it changed it to Bod or Got ...</t>
  </si>
  <si>
    <t>God rest her soul ~ loved her work https://t.co/cmSw1StxZQ</t>
  </si>
  <si>
    <t>@strmsptr @stlcao @HereLiesMoon No kidding 😕😒</t>
  </si>
  <si>
    <t>RT @Real_Gaz: "We will move our embassy to Jerusalem"
WJ Clinton
"We will move our embassy to Jerusalem"
G Bush
"We will move our embassy…</t>
  </si>
  <si>
    <t>Our Gov was looking happy today.  Maybe #KimShady will do the right thing and dismiss this case for lack of evidence?
#GreitensTrial @stlcao @HereLiesMoon 
https://t.co/NVAvhlUs6n</t>
  </si>
  <si>
    <t>Ruh Roh #KeptMan @JohnKerry 
#Traitor https://t.co/FSDJtVHRGf</t>
  </si>
  <si>
    <t>RT @PhilMcCrackin44: So Mikey Avenatti, beyond the $5 Mil you owe in back taxes, you’re in much deeper trouble than that ?  😂😂😂
No wonder…</t>
  </si>
  <si>
    <t>RT @CNN: Standing next to Ivanka Trump, Treasury Secretary Steve Mnuchin reveals the seal of the US embassy, making the embassy's move from…</t>
  </si>
  <si>
    <t>@Beatlebaby64 @gomurphy @ninekiller @dianejneff1 @ATeamMom1 @88YahamaKeys @EagleEdMartin @StacyOnTheRight @AnnetteRR @AmericaFirstMO @Drumrunner2012 What, you a stalker?  😀😄🤣</t>
  </si>
  <si>
    <t>Good news, as in "# KimShady dropping the case from lack of evidence and a huge apology to @EricGreitens " good news?
Or, the counter-suit of " @HereLiesMoon @stlcao @staceynewman #KatrinaSneed #SusanTalve #Soros was filed this morning" good news?
#GreitensTrial #Greitens https://t.co/b94iaxclU0</t>
  </si>
  <si>
    <t>RT @JackPosobiec: #BREAKING New photos emerge of 3 Iranians who held secret meeting with John Kerry yesterday in Paris https://t.co/ZhQcdGG…</t>
  </si>
  <si>
    <t>I fail to see the "#racist" component here.  If the beer man looked like Pekka Rinne, would we be having this conversation?  
NO.
Stop trying to see racism where it ain't.  This was just poking fun at the competition.  
~A Nashville Fan in St Louis https://t.co/AVKNF8sGQ9</t>
  </si>
  <si>
    <t>RT @thebradfordfile: The absolute last twitter account that should ever tweet on Mother’s Day. 👇 https://t.co/45ykM6hPeT</t>
  </si>
  <si>
    <t>RT @Kristi414US: The Five in St. Louis.  US Senate Candidate Forum.  https://t.co/ITnfvidrcu https://t.co/j5BOQH7OZI</t>
  </si>
  <si>
    <t>@ShwMeGrl @Walgreens @MarcCox971 Dang it...</t>
  </si>
  <si>
    <t>Who wants to drive with me up to Bowling Green on Saturday &amp;amp; volunteer with the @AP4Liberty campaign at #PikeCoLincolnDays?</t>
  </si>
  <si>
    <t>This is a MUST for anyone who has yet to hear this genuine, son of Missouri, speak!
#ConstitutionalConservative
#FireClaire🔥
#PeterSENForSENate
#MoSen 
@AP4Liberty 
#AustinPetersenForSenate
#MoSen
#PeculiarBoy https://t.co/FDxukJtwMs</t>
  </si>
  <si>
    <t>Love the #Braveheart #WilliamWallace reference.  This #ConstitutionalConservative will measure everything against the Constitution, as our Founders intended
@AP4Liberty #FireClaire🔥 
#PeterSENForSENate
#AustinPetersenForSenate
#MoSen #APForSen https://t.co/clFF2jrKVN</t>
  </si>
  <si>
    <t>I hate to see him go, but gosh darn it, he keeps getting hurt and no man should lose himself for his job.
#LoveWano
@Cardinals https://t.co/0AiilylJAc</t>
  </si>
  <si>
    <t>RT @magathemaga1: FLASHBACK #moleg #mogov
Remember this? 
This is when @EricGreitens cut off the gravy train. This was late last year....…</t>
  </si>
  <si>
    <t>The beginning of the #Greitens witch hunt?  #MoGov #MoLeg @staceynewman 
#GreitensTrial https://t.co/iIZ96RXObU</t>
  </si>
  <si>
    <t>@Beatlebaby64 @gomurphy @ninekiller @dianejneff1 @ATeamMom1 @88YahamaKeys @EagleEdMartin @StacyOnTheRight @AnnetteRR @AmericaFirstMO We needs one with @Drumrunner2012 in it</t>
  </si>
  <si>
    <t>@dianejneff1 @jeffreyscarson @Beatlebaby64 @EagleEdMartin @StacyOnTheRight @ninekiller @gomurphy @88YahamaKeys @AnnetteRR @ATeamMom1 Whoever determined 3 minutes for answer was genius.  Kept things moving, flowing.</t>
  </si>
  <si>
    <t>I just paid out $55 for ONE rescue inhaler at @Walgreens w/insurance.  That &amp;amp; I recently pd over $200 for specialty amoxicillin - 
@MarcCox971 
#FDA</t>
  </si>
  <si>
    <t>RT @ResethO: @dianejneff1 @EagleEdMartin @StacyOnTheRight @ninekiller @gomurphy @Beatlebaby64 @88YahamaKeys @Lautergeist @AnnetteRR @ATeamM…</t>
  </si>
  <si>
    <t>MUSICIANS: 
Any musicians who got their vehicle broke into and lost equipment etc ... while in St Louis, send an email to: recoveredproperty@slmpd.org
They busted up the ring and found at least three houses full of stolen items !</t>
  </si>
  <si>
    <t>Rounding out my #MothersDay  snuggling on m oldest &amp;amp; watching some PLAYOFF HOCKEY!!</t>
  </si>
  <si>
    <t>RT @Lumberist: @Imamofpeace @AnarchistPunkDa My opinion on @Imamofpeace is that he is a great man.  Taking great risk &amp;amp; sacrifice to stand…</t>
  </si>
  <si>
    <t>RT @ChrisLoesch: Most people know @DLoesch as a smart, fearless and beautiful journalist and commentator. You know she’s an award winning w…</t>
  </si>
  <si>
    <t>RT @powell_victoria: @IsaacDovere All of this pettiness and constant picking on the President and his family will come back to haunt those…</t>
  </si>
  <si>
    <t>RT @CShadegg: I want you to think about this tweet the next time you’re confused as to why American’s don’t trust you. And the next time yo…</t>
  </si>
  <si>
    <t>@Jimi971 @Beatlebaby64 @ninekiller @juliematthews50 @jenniferkrneta @RAWPWR99FATBOY I bought 3 Roma's for saucing.  I also bought some heirlooms for good eatin'.  The rest are Supersonics for eating &amp;amp; canning.  Bought them off a farmer who had too many 🙃🙄😉</t>
  </si>
  <si>
    <t>RT @ATeamMom1: Really, is there anything else to say? @AmericaFirstMO @juliematthews50 @Beatlebaby64 @jallman971 @Lautergeist @TheNewRight…</t>
  </si>
  <si>
    <t>20 tomato plants, 2 cucumber plants, 4 pepper plants, 4 squash &amp;amp; 4 zucchini plants.  I now need a pain pill &amp;amp; an ice cold beer!  Bill said he'd cook the ribs so I shall take a long shower
@Jimi971 @Beatlebaby64 @ninekiller @juliematthews50 @jenniferkrneta @RAWPWR99FATBOY https://t.co/9N4jvcAsdd</t>
  </si>
  <si>
    <t>Oh WOW ... where me popcorn at?!
 https://t.co/JQBXuheOeo</t>
  </si>
  <si>
    <t>@AP4Liberty @EricGreitens @HawleyMO @MissouriGOP  https://t.co/agSrWIQG9g</t>
  </si>
  <si>
    <t>.#FTW ~ @Imanofpeace ! https://t.co/ZzNy9MMOKa</t>
  </si>
  <si>
    <t>This dude salty af https://t.co/6pJsnWb1et</t>
  </si>
  <si>
    <t>All Man made.  He even got the bacon just right. https://t.co/uQyU5PbJlc</t>
  </si>
  <si>
    <t>A little #chilliwack and some blueberry pancakes for my #MothersDay
 https://t.co/E01KuFE8R9</t>
  </si>
  <si>
    <t>@ninekiller @ATeamMom1 @88YahamaKeys @dianejneff1 @EagleEdMartin @StacyOnTheRight @gomurphy @Beatlebaby64 @AnnetteRR @AmericaFirstMO OMG HAHAHAHA!</t>
  </si>
  <si>
    <t>What SHE said ~ https://t.co/e1Sc8X2JWU</t>
  </si>
  <si>
    <t>@Beatlebaby64 @Jimi971 @jenniferkrneta @juliematthews50 I had half the soccer moms calling him The Pook, he was also Big Bird for this neon yellow cleats one year 😎</t>
  </si>
  <si>
    <t>RT @FoxNews: .@DiamondandSilk: "The GOP is the party of freedom, okay? Free to think for yourself. Free to do whatever you want to do. The…</t>
  </si>
  <si>
    <t>@Jimi971 @jenniferkrneta @Beatlebaby64 @juliematthews50 MommaK with Two of the Brood ~ Shaunie Butt &amp;amp; The Pook https://t.co/Nkbl3szI6B</t>
  </si>
  <si>
    <t>@CaptYonah So pure, his voice.  Thanks for reminding me how great he is!</t>
  </si>
  <si>
    <t>Here was Charlotte in her own words, about that interview.  The quality is MUCH better &amp;amp; not in a basement raper studio with the kitchen chairs.
https://t.co/TsmfQ3ZHim</t>
  </si>
  <si>
    <t>This is a video from 2012 where local Memphis radio show host Thaddeus Matthews repeatedly calls Republican congressional candidate Charlotte Bergmann "negro".  He kicks her out &amp;amp; refuses to shake hands as her "whiteness" might rub off</t>
  </si>
  <si>
    <t>I had just enough info so guy on FB found this video ~ the video from where @jallman971 got this famous stinger
#RFA #RadioFreeAllman
#GetYourAssUpOuttaHere
https://t.co/i6GJa5qbRc</t>
  </si>
  <si>
    <t>RT @jo_casey_jo: @AP4Liberty @EricGreitens @HawleyMO @MissouriGOP  https://t.co/wWxDeXoSoL</t>
  </si>
  <si>
    <t>He's not coming across as a showman.  He's real and he's a nativ-born Missourian. Not a city-slicker east-coaster trying to sell you his schtick.  
@AP4Liberty #FireClaire🔥 
#MOSen #PeterSENForSEnate https://t.co/ueZnnSMjJ1</t>
  </si>
  <si>
    <t>RT @TheTrussel: @ResethO @88YahamaKeys @Lautergeist @ATeamMom1 @Beatlebaby64 @juliematthews50 @AmericaFirstMO @jallman971 @StacyOnTheRight…</t>
  </si>
  <si>
    <t>RT @KyleKashuv: Broward County student attacks teacher. What is going on @RobertwRuncie?!?!? Your leadership is awful. Resign! https://t.co…</t>
  </si>
  <si>
    <t>This makes me smile over &amp;amp; over
@AP4Liberty #MoSen #FireClaire🔥 
#AustinPetersenForSenate
#PeterSENForSENate https://t.co/91YbPCkP40</t>
  </si>
  <si>
    <t>@AAron49609630 Most delish ~ except my husband's steak.  He likes medium-well.  Ugh.  Why ruin a good steak like that??  Medium-rare for me.  😍</t>
  </si>
  <si>
    <t>@ACTBrigitte I still got you.  😘</t>
  </si>
  <si>
    <t>@RAWPWR99FATBOY @DaveMustaine Yes!</t>
  </si>
  <si>
    <t>@Sticknstones4 Right back at'cha sweetie!</t>
  </si>
  <si>
    <t>Friggin' maple tree helicopters https://t.co/6aRBppD8Lk</t>
  </si>
  <si>
    <t>This, and the comments... https://t.co/Ptgkgvcis2</t>
  </si>
  <si>
    <t>Ribeyes, dirty mashed potatoes and a Tout le Monde.  It's what's for dinner.  Making frozen burger patties for any children who stumble home after we eat 😁
#PreMothersDay https://t.co/6J9hDH2YHy</t>
  </si>
  <si>
    <t>@Bren05_ @ATeamMom1 @Beatlebaby64 @juliematthews50 @AmericaFirstMO @jallman971 @StacyOnTheRight @EagleEdMartin @dianejneff1 @AnnetteRR @gomurphy @88YahamaKeys @AP4Liberty @Courtland_Sykes @Monetti4Senate @cowgirlathart @ninekiller @LSB7G @TheNewRight @SykesforSenate I connect with Tony, I had a boss who was from New York so I learned a lot from him.  Midwesterners just find them so FAST, so loud.  They have evolved in to a much faster paced human I think (she says, respectfully,)</t>
  </si>
  <si>
    <t>RT @paulcurtman: Who's winning this #mosendebate ?#mosen
@AP4Liberty @SykesforSenate @Monetti4Senate @Kristi414US 
@EagleEdMartin @StacyOnT…</t>
  </si>
  <si>
    <t>@ATeamMom1 @Beatlebaby64 @juliematthews50 @AmericaFirstMO @jallman971 @StacyOnTheRight @EagleEdMartin @dianejneff1 @AnnetteRR @gomurphy @88YahamaKeys @AP4Liberty @Courtland_Sykes @Monetti4Senate @cowgirlathart @ninekiller @LSB7G @TheNewRight Tony's a good guy, but a friend who came daid she couldn't get past the "showman" persona.  She tried, understands East Coasters, too.  Just wasn't feeling him.
Honestly, for me it's @AP4Liberty @Monetti4Senate then @SykesforSenate right now</t>
  </si>
  <si>
    <t>@ATeamMom1 @Beatlebaby64 @juliematthews50 @AmericaFirstMO @jallman971 @StacyOnTheRight @EagleEdMartin @dianejneff1 @AnnetteRR @gomurphy @88YahamaKeys @AP4Liberty @Courtland_Sykes @Monetti4Senate @cowgirlathart @ninekiller @LSB7G @TheNewRight I did like Ben (!) Pfeifer, but he's clearly not going to win.  He's not ready for this level.  Kristy, so severe, w/her tight bun &amp;amp; her robotic plug &amp;amp; play statements on repeat.  
AP is still my guy
I'm liking Courtland a lot more, after talking w/him B4 the debate</t>
  </si>
  <si>
    <t>Finally home.  Most women get excited on payday, go shopping for new clothes, strappy shoes.
Not 👉THIS CHICK👈
I bought Heirloom Tomato Plants, Romas, Sweet Peppers, Basil, Sage, Rosemary, Zucchini &amp;amp; Squash.  
And steaks for tonite, ribs for tomorrow.
And sunscreen ☀️</t>
  </si>
  <si>
    <t>@Beatlebaby64 @juliematthews50 @AmericaFirstMO @jallman971 @StacyOnTheRight @EagleEdMartin @dianejneff1 @AnnetteRR @gomurphy @88YahamaKeys @AP4Liberty @Courtland_Sykes @Monetti4Senate @cowgirlathart @ATeamMom1 @ninekiller @LSB7G @TheNewRight That's a gorgeous picture Sharon.  And @AP4Liberty !</t>
  </si>
  <si>
    <t>@Beatlebaby64 @juliematthews50 @AmericaFirstMO @jallman971 @StacyOnTheRight @EagleEdMartin @dianejneff1 @AnnetteRR @gomurphy @88YahamaKeys @AP4Liberty @Courtland_Sykes @Monetti4Senate @cowgirlathart @ATeamMom1 @ninekiller @LSB7G @TheNewRight He did come across as genuine, as sincere.  Some folks were turned off by the preaching from the candidate who"s clearly a church-goer</t>
  </si>
  <si>
    <t>Sounds like the #greitenstrial
 https://t.co/vF79c5nq6X</t>
  </si>
  <si>
    <t>RT @PatriotsgoRogue: Dear @POTUS even Cesar knew he had to feed the crowd although your meatloaf sounds Delicious the people would settle f…</t>
  </si>
  <si>
    <t>I'm at Lowe's at the Bluffs right now and people are about to throw down! A couple was looking at a potted plant arrangement and another couple came and took it right out from under their nose!  #HappyMothersDay</t>
  </si>
  <si>
    <t>I just spent the most wonderful 20 minutes tomato talking with an older Polish couple at Stuckmeyer's!</t>
  </si>
  <si>
    <t>@RWReagan1 Her face just screams "sourpuss"</t>
  </si>
  <si>
    <t>@tsesque @Zoddie7 @FoxNews @HillaryClinton Well, a sorry state we'd be in if we let metropolitan areas of our vast country determine our elections.  Thank God our Founders saw this &amp;amp; made it so we DON'T determine our Republic's elections this way.</t>
  </si>
  <si>
    <t>@FoxNews @HillaryClinton The most powerful position at Edward Jones will be held by a woman starting 2019. #PennyPennington</t>
  </si>
  <si>
    <t>This is really sad ~ but even sadder is a family of 8 has no health insurance?!  I thought Obamacare made it mandatory everyone is required to have it?  So now this guy's got to depend on American Generosity on a GoFundMe.  Weird, bc they don't seem "poor" ... https://t.co/b1wb6bGaRf</t>
  </si>
  <si>
    <t>The libertarian STL city business owner w/me last nite was annoyed by the Christianity-pushing.  She's Jewish.  
We don't necessarily want a full-blown Xtian to represent all "Freedom of Religion". A Constitutionalist represents ALL religions
For me, that's @AP4Liberty https://t.co/ZJzn5iHdpe</t>
  </si>
  <si>
    <t>RT @RWReagan1: And that thought will remain in your head for eternity when they remove it.  #ProgressivismIsAMentalDisorder https://t.co/Cw…</t>
  </si>
  <si>
    <t>@Jimi971 @Beatlebaby64 @jenniferkrneta @juliematthews50 Balance checkbook, pay mah bilz, go buy veggie plants for the garden!  A</t>
  </si>
  <si>
    <t>The #MoSenateCandidateDebate was a huge success!  Two thumbs up to @AmericaFirstMO for successfully putting this together!  That team is incredible.  
@dianejneff1 @AnnetteRR @AP4Liberty @Monetti4Senate  @SykesforSenate @Kristi414US @the5th55
Padded seats, a/c! 👍👍👍</t>
  </si>
  <si>
    <t>RT @RealJamesWoods: Yet another fairy tale debunked. Body cams are turning out to be a beautiful thing.  https://t.co/Qo5YoS9gxI</t>
  </si>
  <si>
    <t>The comedy of errors with this trial is STAGGERING.  Prosecution JUST NOW subpoenas EG's phone.  Betting #KimShady @stlcao scrambling to hide KS &amp;amp; PS blind trusts...
#GreitensTrial #greitens 
@EricGreitens @HereLiesMoon 
#MoonValjean🌛 #HereKittyKitty😸 https://t.co/YKQtwmBz1W</t>
  </si>
  <si>
    <t>RT @cturtle31: @TonyRenner @stlpublicradio 16,000+ items looked at. No sign of photo, no sign of a deleted photo. The one thing Kim Gardner…</t>
  </si>
  <si>
    <t>RT @Beatlebaby64: @Capitalist1818 @AmericaFirstMO @jallman971 @StacyOnTheRight @EagleEdMartin @dianejneff1 @AnnetteRR @gomurphy @88YahamaKe…</t>
  </si>
  <si>
    <t>He looks so authoritarian, our @jallman971 does
#MoSenateCandidateDebate
@AP4Liberty @Monetti4Senate @SykesforSenate @PeterPfeif https://t.co/Bzpk5ockqJ</t>
  </si>
  <si>
    <t>RT @ATeamMom1: Religiously. #RFA #IStandWithJamieAllman https://t.co/dWA3kwpypl</t>
  </si>
  <si>
    <t>@RealCandaceO @tcarmistead You deserve the recognition Candace.  Preserve this in a screenshot, email it to yourself.</t>
  </si>
  <si>
    <t>RT @AmericaFirstMO: TONIGHT! #fireclaire #mosen #maga
@jallman971 @StacyOnTheRight @EagleEdMartin @dianejneff1 @AnnetteRR @gomurphy @88Yaha…</t>
  </si>
  <si>
    <t>Man, I need to come out of this FUNK I'm in.  I don't know how to say what it is.  I'm trying to hard, just need to chill the fuck out. https://t.co/qtrA6SIES1</t>
  </si>
  <si>
    <t>RT @SKOLBLUE1: @ChrisHayesTV This is a disgusting portrayal of the legal profession. Kim Gardner needs to be disbarred and punished ASAP. #…</t>
  </si>
  <si>
    <t>Incredibe, this is happening in my lifetime, witness to history.  Watching to see part of the mountain slide in to the ocean.  It's happened before... https://t.co/t4qbioHw10</t>
  </si>
  <si>
    <t>Everything in this song is tight.  Love, love love!  
@Beatlebaby64
"Let Me Roll It" by Paul McCartney &amp;amp; Wings, Paul McCartney, Wings
https://t.co/WIE4yOxSfk</t>
  </si>
  <si>
    <t>Yaaaaas! https://t.co/6H5k6FkBJ3</t>
  </si>
  <si>
    <t>It's Annie #FREYDAY @anniefreyshow 
12p-3p Mon-Fri
@971FMTalk https://t.co/w73Y0u3ivv</t>
  </si>
  <si>
    <t>RT @APcampaignEvent: Friday, May 11, 2018 at 07:00 PM Rockwood Summit High School in Fenton, MO U.S. Senate Candidate Forum. Welcome our Mi…</t>
  </si>
  <si>
    <t>MY SHOCKED FACE ---&amp;gt; 😐 https://t.co/ksSOIbBrd1</t>
  </si>
  <si>
    <t>@Beatlebaby64 That hurts ~ you said you loved me!</t>
  </si>
  <si>
    <t>Whoopsies @stlcao #KimGardner #KimShady
#greitens #greitenstrial @EricGreitens @HereLiesMoon #HereKittyKitty😸 #MoonValjean🌛 
@staceynewman #MoneyBagsAl #StaceyKnewMan https://t.co/a7ZiHN3Ikb</t>
  </si>
  <si>
    <t>Shouldn't be able to block people unless you can prove harmful intent.
Calling you out as a hypocrite is not a valid reason to block, especially when WE can prove it
@SenatorNasheed 
@staceynewman 
#MoLeg https://t.co/WBiAwgNFXa</t>
  </si>
  <si>
    <t>Now I feel special.  Blocked by @staceynewman #StaceyKnewMan and @SenatorNasheed!
I can still find your stuff, people.  It"s called "screenshots" https://t.co/5pfA4zLuP4</t>
  </si>
  <si>
    <t>@Shawtypepelina @juliematthews50 @staceynewman @jallman971 Ooooh, the double boof.  You must be special!</t>
  </si>
  <si>
    <t>@JenEnnenbach Oh, hahaha!  I was going to offer to back you in battle!  I'll stand down.  What about the High Schools?</t>
  </si>
  <si>
    <t>@VictoriaBabu1 @MarcCox971 @KFTK I love when you're on, you're a classy dame.</t>
  </si>
  <si>
    <t>RT @sean_spicier: In fairness we wouldnt have to waterboard anyone if the terrorists would just stop lying</t>
  </si>
  <si>
    <t>RT @971FMTalk: "The thought of smaller Government scares the hell out of the Democrats," @MarcCox971 on Pelosi going after #TaxCuts #mcs971</t>
  </si>
  <si>
    <t>Ooooh!  @SykesforSenate bringing the material on #RFA #RadioFreeAllman!
#HotPokerTweet 
@jallman971 https://t.co/1mIvii8FBe</t>
  </si>
  <si>
    <t>Of COURSE it's Collusion!  And @staceynewman is SLOPPY https://t.co/ZNuTJVmAAq</t>
  </si>
  <si>
    <t>In case you guys haven't heard, our friend &amp;amp; band leader (😉) @ninekiller   will be on #RFA #RadioFreeAllman this morning good morning!
#DiamondGlow https://t.co/nCmbe4wcN7</t>
  </si>
  <si>
    <t>.#StaceyKnewMan
@staceynewman 
#greitens #GreitensTrial 
#MoLeg was PLAYED
#WitchHunt
#Defamation (again, Stace. Tsk)
#RFA #RadioFreeAllman 
@HereLiesMoon #HereKittyKitty😸
#MoonValjean🌛 https://t.co/v24axlrfZ2</t>
  </si>
  <si>
    <t>This girl...💖💖💖 https://t.co/yRZie7Ny6v</t>
  </si>
  <si>
    <t>RT @hrtablaze: The next Governor of California @JoinTravisAllen absolutely destroys Jorge Ramos on his own show! 😂 This is a beatdown of ep…</t>
  </si>
  <si>
    <t>What?  Oh, a @CNN poll.  THAT explains it. https://t.co/sIyEfoXwjq</t>
  </si>
  <si>
    <t>RT @ReaganBabe: Yeah, the arrival of 3 American hostages from North Korea started the day off on the wrong foot.  #Putz https://t.co/EuEP0D…</t>
  </si>
  <si>
    <t>@JenEnnenbach This sounds like fun.. ?!?!</t>
  </si>
  <si>
    <t>So he's saying a woman has more balls than him.  Got it!
 https://t.co/UN5BCzaKze</t>
  </si>
  <si>
    <t>@Beatlebaby64 @Bren05_ @AmericaFirstMO @PershingSoldier @YoMurphy06 @markmeyer11 @hkittyv @DeplorableGoldn @KrisVanh0use @bwilliam46 @SaRallo79 @Avenge_mypeople @RAWPWR99FATBOY @brawil86 @pielab201 @AP4Liberty Maybe I should go Western hat?</t>
  </si>
  <si>
    <t>@Margare03880660 Yea!!!  I don't have my #RFA gear yet (don't judge, I was in Nashville when it all came out!) But holler for me!</t>
  </si>
  <si>
    <t>RT @RealOmarNavarro: How does Maxine Waters fight for us when the district looks like the trash. It’s time to take out the trash and drain…</t>
  </si>
  <si>
    <t>I'll be there!  Any local Tweeps holler at me, let's meet!  Take selfies!! https://t.co/aLtbjQH7GX</t>
  </si>
  <si>
    <t>@Bren05_ @AmericaFirstMO @PershingSoldier @YoMurphy06 @markmeyer11 @hkittyv @DeplorableGoldn @KrisVanh0use @bwilliam46 @SaRallo79 @Avenge_mypeople @RAWPWR99FATBOY @brawil86 @pielab201 Oooh!  Look me up!  Just holler "MOMMAK!!" and I'll find you!!</t>
  </si>
  <si>
    <t>@VisioDeiFromLA Sumbitch...</t>
  </si>
  <si>
    <t>WHAAAAAAT?!  They all met in a hotel in January?!?!
#Greitens #GreitensTrial #MoLeg https://t.co/TZh4bpupcA</t>
  </si>
  <si>
    <t>ST LOUIS  - MoDOT: 
After nearly 2 years of construction, the new flyover ramp from SB Highway 141 to EB I-44 is projected to open Saturday morning.  Crews will close one lane on NB &amp;amp; SB 141 at 44 between 7 pm Friday, May 11 &amp;amp; 7 am Saturday, May 12.</t>
  </si>
  <si>
    <t>With all the abortions @ppact performs every year, it's amazing to me how these still get by
 https://t.co/oWit8p2yK0</t>
  </si>
  <si>
    <t>@ChrisLoesch You got it.</t>
  </si>
  <si>
    <t>Such BULLSHIT this #WitchHunt
#Greitens #GreitensTrial @EricGreitens 
#KimGardner #KimShady @stlcao #MoneyBagsAl #NoNotesTisaby
@staceynewman @HereLiesMoon #HereKittyKitty 😸 #MoonValjean🌛
#MoLeg #MoGov https://t.co/DubaUgYzUm</t>
  </si>
  <si>
    <t>RT @RodStryker: “What’s so dangerous about a black woman promoting independence of thought in the black community?”
 - @RealCandaceO👌
#Red…</t>
  </si>
  <si>
    <t>@Jimi971 @jenniferkrneta @Beatlebaby64 @juliematthews50 @TheNewRight Cookin' brats, watching hockey</t>
  </si>
  <si>
    <t>This absolutely CANNOT happen!  Taxes are killing us STILL, but @TheDemocrats won't be satisfied until we're all in the 80% tax bracket https://t.co/XHsz6Sq1qw</t>
  </si>
  <si>
    <t>RT @memoriadei: There is so much hate going on about my #MoGov #GreitensTrial that I cannot tell Democrats from Republicans!  Now that is N…</t>
  </si>
  <si>
    <t>RT @KatiePavlich: Gina Haspel wasn’t allowed into West Point because they didn’t accept women so she joined the CIA in 1985 (when you were…</t>
  </si>
  <si>
    <t>RT @FoxNews: On @foxandfriends, @DLoesch said the release of three American prisoners by North Korea is a fantastic victory for President @…</t>
  </si>
  <si>
    <t>RT @JudicialWatch: In James Comey’s own words: “I asked a friend of mine to share the content of the memo with a reporter. Didn’t do it mys…</t>
  </si>
  <si>
    <t>He adds "John Kerry will help us retain power over the people of Iran who hate us and want us removed from power to once again be allies of America" https://t.co/4wqdmeOwnm</t>
  </si>
  <si>
    <t>I hope she's happy playing Soros' whore https://t.co/WlssLneLBM</t>
  </si>
  <si>
    <t>RT @Str8DonLemon: #greitenstrial #GreitensCriminalTrial 
#Greitens #stlouis #Missouri #stl #moleg #mogov https://t.co/Tcq3XVqljp</t>
  </si>
  <si>
    <t>Disgusting @CNN https://t.co/kKzLz0EKkg</t>
  </si>
  <si>
    <t>RT @TechQn: @D0wn_Under @skoalbandit1776 I recall back in the late 70's when visiting family in Zahle Lebanon how beautiful Iran was. Befor…</t>
  </si>
  <si>
    <t>Lately, Annie has profound statements that really hit home.  Here's another. https://t.co/WHFRor8voq</t>
  </si>
  <si>
    <t>RT @VisioDeiFromLA: #MoLeg
U lied/slandered a man. A kinky, consensual affair U all knew about
Denied presumption of innocence. Fairness.…</t>
  </si>
  <si>
    <t>RT @RGreggKeller: Reminder for #MOLeg Rs: on the off-chance Greitens does survive this politically, there is an approximately  100000000000…</t>
  </si>
  <si>
    <t>I don't like my two boys fighting.  And I especially don't like how much GLEE the Communist #PostDisgrace is getting from this https://t.co/MbRz0TOu6s</t>
  </si>
  <si>
    <t>@juliematthews50 @ninekiller Jealous!!!</t>
  </si>
  <si>
    <t>If you were a musician performing or passing through St Louis &amp;amp; had your equipment stolen, GOOD NEWS!  The gang was busted, 3 storehouses full of equipment recovered!
Email Recoveredproperty@slmpd.org 
PLEASE SHARE</t>
  </si>
  <si>
    <t>Great point! 
#AustinPetersenForSenate
#FireClaire🔥 
@AP4Liberty https://t.co/tQAxvteDCa</t>
  </si>
  <si>
    <t>RT @Megadeth: Are you ready?! @DaveMustaine is back TODAY with an all new episode of The Dave Mustaine Show! Tune in at 12 noon PT/3pm ET o…</t>
  </si>
  <si>
    <t>Because @staceynewman @LydaKrewson #KimShady got them #MindlessZombies all wound up and ready to trigger
#Greitens #GreitensTrial 
@stlcao https://t.co/Uon9ruUOY6</t>
  </si>
  <si>
    <t>No way this was organic or coincidental.  @staceynewman is neck-deep in this and I cannot wait for it to explode all over #MoLeg and that courtroom
She'll have nowhere to hide when @jallman971 's attorney gets ahold of her in the #Defamation case https://t.co/z1B4JLdSJS</t>
  </si>
  <si>
    <t>RT @USA_AllenK: .
.     🎉🍾⭐⭐🇺🇸⭐⭐🍾🎉
. Congratulations &amp;amp; Thank You
.         👍 Mr.President 👍
.      You've done it again...!
.
#Trump greets…</t>
  </si>
  <si>
    <t>RT @1776Stonewall: Nancy Pelosi literally said that if Democrats win in November that she will raise your taxes and take away your tax cuts…</t>
  </si>
  <si>
    <t>I think @scottfaughn must be dead.
Or, he's trying to be in the @GWR book for #HideAndSeek as the new champ
#Greitens #GreitensTrial https://t.co/Yw1copvLWS</t>
  </si>
  <si>
    <t>This is HORRIFYING ~ 
https://t.co/Pc3uV28MlI</t>
  </si>
  <si>
    <t>RT @RealCandaceO: This just in: murdering 800 black babies every single day is now considered “healthcare”. https://t.co/vQ9PA6xzbz</t>
  </si>
  <si>
    <t>This whole thing ~ 🤘😀🤘
#FireClaire🔥 
#WhereHawleyAt
#LadderBoy
#Chicken
@AP4Liberty 
#AustinPetersenForSenate
#PeculiarBoy https://t.co/8CwDR4jFAE</t>
  </si>
  <si>
    <t>RT @eriContrarian: "I opposed it until Trump opposed it because I'm an utterly broken clown." https://t.co/9OeysTXSb9</t>
  </si>
  <si>
    <t>RT @PeggyMom03: “Apparently this is how it works in MO”-“This isn’t American. This isn’t right... isn’t legal. I would urge my fellow conse…</t>
  </si>
  <si>
    <t>LOLZ @AP4Liberty 
#LadderBoy #Chicken
#AustinPetersenForSenate
#FireClaire🔥
#PeculiarBoy
#RFA #RadioFreeAllman https://t.co/Mq81TnLOpF</t>
  </si>
  <si>
    <t>I'm so glad @jk_rowling is rich beyond anyone's wildest dreams that all she has to worry about is the "graphology" of the President of country where she doesn't live https://t.co/kGhwt920SL</t>
  </si>
  <si>
    <t>@FoxNews She's awful.  She's the g-word</t>
  </si>
  <si>
    <t>RT @TheNewRight: An “inexplicably hostile White House”? @elizapalmer 
You’re inexplicably ignorant.</t>
  </si>
  <si>
    <t>Lovin' me some #APInTheMorning
@AP4Liberty on with @jallman971 on #RFA #RadioFreeAllman 
#LibertyBus #AustinPetersenForSenate #MoSen
And @ATeamMom1 getting a shout out from AP!
#GetOffTheHawleyTrawley</t>
  </si>
  <si>
    <t>OMG I'm thinking #Shawshank right now with the Opera 
#RadioFreeAllman #RFA
@jallman971 @iamRyanJaycox https://t.co/b0pfH1M8Vm</t>
  </si>
  <si>
    <t>https://t.co/bF5IYeLbxp</t>
  </si>
  <si>
    <t>It's your show @jallman971 ~ you own it, you make the rules!
#IDoWhatIWantGawd
#RFA #RadioFreeAllman
#Unchained
@iamRyanJaycox</t>
  </si>
  <si>
    <t>Much respect @genevievewood !
#RFA #RadioFreeAllman https://t.co/ms6NvriwPd</t>
  </si>
  <si>
    <t>RT @VAKruta: As it should. https://t.co/kfW6rJtAOo</t>
  </si>
  <si>
    <t>If someone was still my boss, he would have gotten an $80 bottle of Belle Meade from his BOA who was in Memphis, NashVegas, &amp;amp; Loserville this past weekend!
😘😘😘
@MarcCox971</t>
  </si>
  <si>
    <t>Is @HereLiesMoon #MoonValjean #PhilipSneed being paid for his "exclusive" story with @scottfaughn after this trial is over?
And what about #KatrinaSneed?  Did her attorney get #MoneyBags too?</t>
  </si>
  <si>
    <t>How did #MoneybagsAl Watkins know to credit #MoonValjean @HereLiesMoon #PhilipSneed's account for the $120k?  Wait, didn't @scottfaughn say he needed Al Watkins' literary legal expertise to write a book?  So why did his 50k go to #PhilipSneed?</t>
  </si>
  <si>
    <t>What's the source of the $70k CASH that arrived by "#SkylerTheCourier" to #MoneybagsAl Watkins, attorney for #PhilipSneed  aka #MoonValjean @HereLiesMoon ?</t>
  </si>
  <si>
    <t>What's the source of the $50k CASH @scottfaughn paid to #MoneybagsAl Watkins, attorney for #PhilipSneed aka #MoonValjean @HereLiesMoon, the "accusor" in the @EricGreitens case?
#Greitens #GreitensTrial 
@stlcao @staceynewman 
#KimShady #WitchHunt https://t.co/97Sy4lGaum</t>
  </si>
  <si>
    <t>Is this @MichaelAvenatti or another #MichaelAvenatti because it's such a common name, you know, like #MichaelCohen https://t.co/Ad9X5S9mNF</t>
  </si>
  <si>
    <t>I thought he died already https://t.co/HgrnhLLkp5</t>
  </si>
  <si>
    <t>God bless this woman and I hope common sense California breaks from the nutty California soon https://t.co/d6vRfGyg97</t>
  </si>
  <si>
    <t>RT @Sticknstones4: #MOLEG SENATORS 
WE APPRECIATE &amp;amp; SALUTE YOU
FOR RESPECTING YOUR CONSTITUENTS &amp;amp; THE WILL OF #MISSOURI VOTERS
SEN MARIA…</t>
  </si>
  <si>
    <t>Beautiful! https://t.co/K90F6y8nGw</t>
  </si>
  <si>
    <t>Hysterical!!  
#Kilauea
 https://t.co/Yxyz0U7Bdg</t>
  </si>
  <si>
    <t>RT @kwilli1046: The Who's Who Of Sexual Predators; Eric Schneiderman, Harry Weistein, Anthony Weiner, Bill Clinton, Bill Cosby etc. Liberal…</t>
  </si>
  <si>
    <t>Surely someone reading this is still not blocked by @staceynewman &amp;amp;  will retweet this so Our Stace can see it?  Thanks!  
#Greitens #GreitensIndictment #GreitensTrial @EricGreitens #MoLeg @HereLiesMoon 🌛#HereKittyKitty😸 https://t.co/LOerozvgkC</t>
  </si>
  <si>
    <t>RT @OliverMcGee: Omg! Novartis paid @MichaelCohen212 company money for Consulting. Get over yourselves libs. It’s called free market enterp…</t>
  </si>
  <si>
    <t>Pull the brake &amp;amp; get off that #HawleyTrawley y'all.  
#AustinPetersenForSenate
Austin won't incrementally legislate your guns away like @HawleyMO will
#FireClaire🔥 https://t.co/OtFjBn4pDZ</t>
  </si>
  <si>
    <t>@EvaLovasco Thanks for the follow!  #FollowBack</t>
  </si>
  <si>
    <t>RT @USAHotLips: Dual Moment in this pic🤣🤣
#StormyDaniels That moment when you realize you hired a dumba$$ for an atty.....
...and #Michae…</t>
  </si>
  <si>
    <t>I love this campaign ad, sir!  This is awesome!
#FireClaire🔥 https://t.co/Xxb4M5RNzE</t>
  </si>
  <si>
    <t>@internalmonolo2 @ScottCharton Funny Jane keeps referring to the House report but never ever refers to the actual SWORN testimony that was WITHHELD by #KimShady.  Like a true Feminazi.</t>
  </si>
  <si>
    <t>I wonder what @ScottCharton 's thoughts are on @staceynewman 's tweeting on taxpayer dime/time to drive hysteria over @EricGreitens &amp;amp; get @jallman971 fired from @WeAreSinclair &amp;amp; @Entercom @971FMTalk ?
#RFA #RadioFreeAllman https://t.co/Wc9sV707e0</t>
  </si>
  <si>
    <t>@Sticknstones4  https://t.co/oaB4xOS3ph</t>
  </si>
  <si>
    <t>The Rules For Media during the #GreitensSneedTrial next week https://t.co/zUPPQvR3dq</t>
  </si>
  <si>
    <t>RT @FoxNews: .@RepKinzinger: "We did it without paying a ransom... We got these three people back." @dailybriefing https://t.co/snCNQJQLQc</t>
  </si>
  <si>
    <t>Pay your debts @MichaelAvenatti https://t.co/AIhLpXcGvY</t>
  </si>
  <si>
    <t>Their two-faces are showing
@TheDemocrats #GlassCeilingForDemocratsOnly
#HipHopcrasy
#HIPPOcrites
#PartyOfAsses https://t.co/CNoVtTFCVW</t>
  </si>
  <si>
    <t>Whoopsies @MichaelAvenatti or was this a different Michael Avanetti?  It's such a common name https://t.co/5X5hRWFG0N</t>
  </si>
  <si>
    <t>I wouldn't put it past the #AlphabetMedia to create the news on this.  It all started with @CNN &amp;amp; that fraud @charlesjaco1 in Desert Storm #ScudStud #SoundStage https://t.co/kf2laTIQ08</t>
  </si>
  <si>
    <t>RT @drawandstrike: @MichaelCohen212 @NBCNews @CNBC @KevinWilliamB I guess we've reached peak stupid in the mainstream media where they can'…</t>
  </si>
  <si>
    <t>When a month ago your boss promises you a new asset bonus &amp;amp; 2 paychecks without ... #work https://t.co/X0QlMMGY61</t>
  </si>
  <si>
    <t>RT @Abbott_Anne_: @EdKrassen @MichaelAvenatti They aren't releasing because SARs are not released-ever. They are confidential, no matter wh…</t>
  </si>
  <si>
    <t>What a fucking tool.  This guy's "outing" illegally-obtained, confidential info from SAR reports that legally cannot even be acknowledged AND he's leaking WRONG information!
This guy's as much a lawyer as #AnnaNicole's pet #HowardStern was!
 https://t.co/20LPLOSS4C</t>
  </si>
  <si>
    <t>RT @Thomas1774Paine: @MichaelAvenatti Congrats on outing your fed source. Keep us updated on their trial: SAR confidentiality provisions cl…</t>
  </si>
  <si>
    <t>RT @skoalbandit1776: @MichaelAvenatti #Felon. #QArmy #QAnon #q @POTUS @MichaelCohen212 https://t.co/PWGOiHzNtx</t>
  </si>
  <si>
    <t>RT @nittygrittydirz: @MichaelAvenatti @YesMomsCan You don't make the laws of this nation. It's against Federal law to disclose a SAR, and i…</t>
  </si>
  <si>
    <t>I NEED YOU TO STOP WHAT YOU'RE DOING.  I HAVE BREAKING NEWS.
@Outlander_STARZ will resume in November!
 https://t.co/BC4XLC5kIl</t>
  </si>
  <si>
    <t>Absolutely, sir.  I'm bringing friends Friday.  Everybody I know wants to #FireClaire🔥 https://t.co/TuZZNslKiV</t>
  </si>
  <si>
    <t>RT @Monetti4Senate: Team Monetti and I will be in St Louis tonight and tomorrow. #MoSen #ReadyforMonetti https://t.co/xhUkXZlQ1N</t>
  </si>
  <si>
    <t>So weird how Boll &amp;amp; Branch and Brook Linen have the exact same founder's story?  "Stayed in a luxury hotel, wanted to buy the sheets, it was $800, they laughed &amp;amp; went to lunch"</t>
  </si>
  <si>
    <t>Don't forget, St Louis peeps!
@AP4Liberty 
@Monetti4Senate 
@SykesforSenate 
#MoSen #GOPSenDebate
#FireClaire🔥 https://t.co/Y3pNNDQkP2</t>
  </si>
  <si>
    <t>RT @STLPRS: Paranormal Lunch, Martin Boismenue House, Dupo, Illinois https://t.co/dQbSTjK0Re</t>
  </si>
  <si>
    <t>Thin-skinned witch ~ LOLZ
She"s a spoon, our @staceynewman  is.  Always stirring up trouble
#RadioFreeAllman #RFA @EricGreitens #Greitens #GreitensIndictment 
#HereKitty 😸 https://t.co/dl669piHho</t>
  </si>
  <si>
    <t>@AP4Liberty You'd need a deep-sea fishing harness!!</t>
  </si>
  <si>
    <t>@andrewkurtser thanks for the follower.  Even though we may not see Eye-to-Eye on issues, you loves you some spare ribs, so you can't be all bad 👍👍👍😉👍👍👍</t>
  </si>
  <si>
    <t>RT @DBloom451: AMAZING! @SenFeinstein is spreading FAKE NEWS at the Gina Haspel hearing. 
Even after Gina Haspel corrected her, Feinstein…</t>
  </si>
  <si>
    <t>How can they do this to the people of that State?  #Connecticut citizens need to rise up an over thrown every state senator &amp;amp; rep who voted for this unconstitutional piece of crap!
https://t.co/rnntXsatDx</t>
  </si>
  <si>
    <t>RT @afaallenangel: @realDonaldTrump They did not just took hostage the US embassy in 1979 they've taken hostage a whole nation, our country…</t>
  </si>
  <si>
    <t>RT @aiiwass: These are not our representatives!
#WeAreHostages https://t.co/NvkiuwhoKp</t>
  </si>
  <si>
    <t>RT @Amirzabijan: We the people of Iran have been held hostage by a murderous regime for 40 years. We are the main victims of its atrocities…</t>
  </si>
  <si>
    <t>RT @realDonaldTrump: I am pleased to inform you that Secretary of State Mike Pompeo is in the air and on his way back from North Korea with…</t>
  </si>
  <si>
    <t>I mean, even @Politico is reporting it @CNN ~ WTF? https://t.co/YSXOXxF2ND</t>
  </si>
  <si>
    <t>RT @LisaMei62: Click on #ThankYouTrump and you will see how freedom-loving people of Iran REALLY feel about @realDonaldTrump's decision to…</t>
  </si>
  <si>
    <t>@bestsparklegirl @BossHoggUSMC Who is this "Tim Kaine" you speak of?</t>
  </si>
  <si>
    <t>RT @pollsofpolitics: Did @realDonaldTrump make a Mistake pulling out of the #IranDeal??
Vote and retweet to spread poll!! #TheResistance #…</t>
  </si>
  <si>
    <t>Kind of hoping @AP4Liberty  will give one of these babies away in his fundraising campaigns
#FireClaire🔥
#MoSen https://t.co/V1pvjwJ2R0</t>
  </si>
  <si>
    <t>Another #Dipshidiot #Democrat who's all in, supporting a sexual deviant and molester because #Trump
@FullFrontalSamB https://t.co/LIl1ML2aIm</t>
  </si>
  <si>
    <t>@Beatlebaby64 @FFDP There is a breakup song on here...</t>
  </si>
  <si>
    <t>RT @NoMoSocialism75: @Lautergeist @HawleyMO @AGJoshHawley @AP4Liberty One of the best reasons for supporting @AP4Liberty didn't even come f…</t>
  </si>
  <si>
    <t>RT @KrisVanh0use: @Lautergeist Yeppir- corruption runs so deep AND DARK. Twisted sick illegal immoral disgusting #DrainTheSwamp #TheSwampis…</t>
  </si>
  <si>
    <t>New music!!  New for me, except I already know most of the songs already
  @FFDP https://t.co/AbFh6n6mqW</t>
  </si>
  <si>
    <t>OMG we said this, didn't we, educated Trump voters?!  
We KNEW she had protection!
 https://t.co/VbIzZWzsP8</t>
  </si>
  <si>
    <t>RT @ScottPresler: So, you're telling me that my vote for Trump
✔️Cut my taxes
✔️Cut regulations 
✔️Saved SCOTUS
✔️🕊 with North Korea
✔️⬇️…</t>
  </si>
  <si>
    <t>Red State is anti-Trump, so ...
#FireClaire🔥 #AustinPetersenForSenate 
#MoSen @AP4Liberty https://t.co/CMsqAvGa2x</t>
  </si>
  <si>
    <t>RT @ScottPresler: Thank you to EVERY single Republican in Ohio who voted today. 
Republicans, as it stands right now, turned out 150,000 m…</t>
  </si>
  <si>
    <t>This is disgusting AND disturbing https://t.co/TtFufUNWj4</t>
  </si>
  <si>
    <t>Pot?  Meet Kettle.
@HawleyMO @AGJoshHawley is also for taking guns away from law-abiding citizens through incremental legislation.  He's dangerous for #2A and #1A
#FireClaire🔥 #AustinPetersenForSenate
#MoSen
@AP4Liberty https://t.co/wWlV86v7b1</t>
  </si>
  <si>
    <t>RT @TheNewRight: Trump united Korea https://t.co/GdkUHcJUl1</t>
  </si>
  <si>
    <t>Let's play
#WhereInTheWorldIsScottFaughn
#GreitensIndictment #greitens 
#MoneyBagsAl #KimShady
#WitchHunt #Defamation
@staceynewman @stlcao</t>
  </si>
  <si>
    <t>Not sure ORANGE is her color
Whoops, don't care!
@staceynewman https://t.co/iQ4fwAcfDg</t>
  </si>
  <si>
    <t>We can only hope &amp;amp; pray  ~ and then there's @EricGreitens lawyers ... they'll want a piece of @staceynewman too
#greitens #GreitensIndictment https://t.co/9ZrBLPXqu7</t>
  </si>
  <si>
    <t>Hi @staceynewman  I know you blocked a bunch of us but SOMEONE will retweet this who isn't blocked yet ~ heh
#CUNextTuesday https://t.co/iQ4fwAcfDg</t>
  </si>
  <si>
    <t>@Beatlebaby64 @Aletheia_4Truth @Bren05_ @88YahamaKeys @SpeakerTimJones @staceynewman  https://t.co/Kh2Igr7PkA</t>
  </si>
  <si>
    <t>@Bren05_ @Beatlebaby64 Her term is up</t>
  </si>
  <si>
    <t>Are you kidding me!?  @AP4Liberty can sing, too?!
@Beatlebaby64 https://t.co/xlKlFzsmu0</t>
  </si>
  <si>
    <t>How is it someone who looks so much like a librarian is such an evil #CUNextTuesday? https://t.co/Gzfcgdvn0H</t>
  </si>
  <si>
    <t>@markmeyer11 @staceynewman @jallman971 @EricGreitens @HereLiesMoon Bitch Blocked Back.  Could be a hit song!</t>
  </si>
  <si>
    <t>@Beatlebaby64 @scottfaughn You saw Pulp Fiction? Say you have.  You'd know who The Gimp was if you saw it.</t>
  </si>
  <si>
    <t>RT @STLPRS: https://t.co/K0I9tHfoqM https://t.co/K0I9tHfoqM</t>
  </si>
  <si>
    <t>@markmeyer11 @staceynewman @jallman971 @EricGreitens @HereLiesMoon You, too??</t>
  </si>
  <si>
    <t>@Alyssa_Milano You so dumb</t>
  </si>
  <si>
    <t>I wonder if #GeorgeSoros had @scottfaughn #ScammingScott "offed" bc our Scotty didn't want to go to prison &amp;amp; be some guy's Gimp https://t.co/qtXdMSixUT</t>
  </si>
  <si>
    <t>She thinks she's protected by blocking those who've exposed her but she's not ☺️😎😄
@staceynewman #repstaceynewman #QAnon #MoLeg #Defamation #RedHotPokerGang @jallman971 @EricGreitens #RabbiTalve @HereLiesMoon #KS #PS #INSIST #Bolsheviks https://t.co/j4O5q32Jxx</t>
  </si>
  <si>
    <t>I found @jallman971 a
new theme song for #RFA #RadioFreeAllman
"Unchained" by @VanHalen https://t.co/dXZlWqrSvr</t>
  </si>
  <si>
    <t>RT @MarthaEW: @Lautergeist @staceynewman @jallman971 I am really glad this is getting National Media Attention!!!!</t>
  </si>
  <si>
    <t>@Capitalist1818 @jallman971 @staceynewman @KimGardnerSTL @GovGreitensMO Organic, like kitchen waste</t>
  </si>
  <si>
    <t>Holy COW ~ @staceynewman is all over this #GreitensIndictment farce, just like she was all over @jallman971 #JamieAllman (and we see how this is going ~ he's #unchained &amp;amp; suing her for #defamation!)
https://t.co/cMWbwStEau</t>
  </si>
  <si>
    <t>@ATeamMom1 @PrisonPlanet @ParkwaySchools @ParkwaySupt @ParkwaySS @pkwydiversity This also applies to @LydaKrewson &amp;amp; @stlcao because they put citizens &amp;amp; @slcpd in grave danger, teaching these thugs they can do whatever they want &amp;amp; suffer no consequences</t>
  </si>
  <si>
    <t>Why is everyone excited about a Tweet from 2014 &amp;amp; people responding back in 2017? https://t.co/rNqK9u9SEw</t>
  </si>
  <si>
    <t>RT @NoMoSocialism75: .@Monetti4Senate @SykesforSenate @AP4Liberty despite our differences, there's 1 thing the #Grassroots can stand togeth…</t>
  </si>
  <si>
    <t>She thinks she's so clever, so smart.  But, she forgot about her flank...
@jallman971 #JamieAllman #RFA #RadioFreeAllman #Defamation #Slander #Unchained
#MoLeg #greitens #GreitensIndictment https://t.co/ZkGKskMBZm</t>
  </si>
  <si>
    <t>My fave so far
#greitens 
#GreitensIndictment https://t.co/yTUg3PCTa6</t>
  </si>
  <si>
    <t>Kinda makes you wonder if she VOTED under all those aliases
 https://t.co/YF3j2AgbfN</t>
  </si>
  <si>
    <t>Why are we funding this bullshit IN CHINA?!?! https://t.co/7Id4WuurVo</t>
  </si>
  <si>
    <t>@SpeakerTimJones @Capitalist1818 @staceynewman Question, Tim.  What does she do when she's not doing THIS anymore?  Does she have a JOB?  OR, will she become more of a #hag when she is termed out?</t>
  </si>
  <si>
    <t>@Schneiderman  https://t.co/ptFA5RJV59</t>
  </si>
  <si>
    <t>Yeah, no.  Hawley's too busy working out in gyms an hour from Jeff City every morning, puts in half a day's work.  His campaign strategy is "commercials". He doesn't do debates either
Forget him.  My money's on @AP4Liberty for #MoSen 
#FireClaire🔥 
#AustinPetersenForSenate https://t.co/ChYZGv9JUy</t>
  </si>
  <si>
    <t>@carps @MarcCox971 @joshgroban @971FMTalk @kbailey971 @Tricia_971 🤣😅😃😂😀🤣</t>
  </si>
  <si>
    <t>So she went to #EricSchneiderman ?!?!?!?!  
 https://t.co/1IZj7hwjPP</t>
  </si>
  <si>
    <t>RT @IWillRedPillU: Here's New York (former) AG Eric Schneiderman with George Soros' Son, Alexander Soros
What a SHOCK - Not
Eric Schneide…</t>
  </si>
  <si>
    <t>Not only NO, but HELL NAH!  I'm not hopping on that #HawleyTrawley
It's AP for me #AllTheWay #StuckLikeGlue
#PeculiarBoy
#ConstitutionalConservative
#FireClaire🔥
#MoSen
#AustinPetersenForSenate
@AGJoshHawley https://t.co/sbMzdPaq8L</t>
  </si>
  <si>
    <t>RT @magathemaga1: @pochelp @VisioDeiFromLA @EricGreitens Oh but they are lying.
Take for example the failure to cross examine the witness…</t>
  </si>
  <si>
    <t>@kbailey971 @MadMen_AMC We FINALLY finished #BetterCallSaul &amp;amp; I'm depressed.</t>
  </si>
  <si>
    <t>I have it on good authority that @MarcCox971 does NOT have pics on his phone of other women, but he DOES have video of himself singing @joshgroban Italian songs
@carps 
@971FMTalk 
@kbailey971 
@Tricia_971</t>
  </si>
  <si>
    <t>This giant-headed actor allowed @realDonaldTrump @POTUS to live rent-free in there, then gets all bent out of shape over it
 https://t.co/WyItYXXAwk</t>
  </si>
  <si>
    <t>RT @AP4Liberty: @RedState "You don't even have to speak with him," because if you did, you'd realize he's to the left of the Obama administ…</t>
  </si>
  <si>
    <t>Me this morning, trying to get ready for work https://t.co/zH8slU4nLN</t>
  </si>
  <si>
    <t>Well, since #NoNotesTisaby doesn't take notes &amp;amp; #KimShady only writes notes AFTER, we may never know what happened between two consenting adults 
@stlcao #greitens #GreitensIndictment https://t.co/kUiXhnritP</t>
  </si>
  <si>
    <t>RT @CStamper_: “One of the lead witnesses in this case... was paid for his testimony and participation, by forces unknown. The prosecutor k…</t>
  </si>
  <si>
    <t>RT @DFBHarvard: Just so the rest of the Nation knows, George Soros is picking Governors in Florida.
Pathetic but real &amp;amp; we best deal with…</t>
  </si>
  <si>
    <t>RT @ScottPresler: I want to make this clear:
Out of the 4 primaries today, 3 of the states have vulnerable democrat Senators we can defeat…</t>
  </si>
  <si>
    <t>This is me and Tim fighting over the Keurig every morning https://t.co/n8K1blWKgQ</t>
  </si>
  <si>
    <t>RT @realDonaldTrump: .@AGSchneiderman must take a drug test immediately—make results public. NY Attorney General cannot be a cokehead.</t>
  </si>
  <si>
    <t>Asking for a friend ... of myself ... or a friend and myself ... https://t.co/DwCNliZpcH</t>
  </si>
  <si>
    <t>RT @TheHorrorDude: @politico @realDonaldTrump Yeah....
The GOP, Hillary, the DNC, 95% of the MSM, 2 Congressional investigations, Comey, M…</t>
  </si>
  <si>
    <t>RT @Chet_Cannon: @politico @realDonaldTrump This guy? No. 
https://t.co/ep6eIQm2Yw</t>
  </si>
  <si>
    <t>RT @RedNationRising: Four women have accused a prominent face of the #metoo movement, New York Attorney General Eric Schneiderman of physic…</t>
  </si>
  <si>
    <t>@TheNewRight Maybe he was on his way to the vape store since he just got his disability deposit</t>
  </si>
  <si>
    <t>Exactly.  Both are evil, both are racist, both are not accepting or understanding of anyone not like themselves. https://t.co/gtB9uNwqqP</t>
  </si>
  <si>
    <t>I just pray #DearStLouis has considered the fact this might ATTRACT the dangerous elements, much like the gun-free zones do.  And on that topic, let's stop cutting criminals loose without punishment!
@LydaKrewson
 https://t.co/far3p7NgNY</t>
  </si>
  <si>
    <t>Because #Hashtags save lives 😐
Look, as @DaveMustaine says, "If there's a new way, I'll be the first in line, but it better work this time"
I used to love Downtown.  Now I dread it. 
#DearStLouis https://t.co/1pTVfg37Zd</t>
  </si>
  <si>
    <t>RT @magathemaga1: Apparently 70 grand dropped off 2 #MoneyBagsAl not 50k
✔Meanwhile, who is Skyler?
✔What was money for?
✔Where did #Scamm…</t>
  </si>
  <si>
    <t>@Sticknstones4 @Avenge_mypeople My only gripe is with Bluetooth ~ phone/web to Sound bar, then again to car stereo.  I had the volume cranked, could barely hear.  Couldn't hear at all once I was driving
@iamRyanJaycox</t>
  </si>
  <si>
    <t>@Skolvikes3 @iamRyanJaycox @Temocracy17 @lil_nitelite @kim_vliem @jallman971 @AynRandPaulRyan There's "life" outside Twitter, knuckle-dragger</t>
  </si>
  <si>
    <t>LOOK AT THIS SET LIST!  We witnssed something special in @Memphis Thursday night.  Just incredible.  Thank you so much @foofighters
https://t.co/ofFDAb1oci</t>
  </si>
  <si>
    <t>Such a simple line. 
"Those who are ignorant of the evil within themselves are those who get overtaken by evil."
 https://t.co/M4PvDyiyYO</t>
  </si>
  <si>
    <t>How is what @MarthaStewart did worse than this?  
@Rosie needs to spend some time in jail to attone for her knowingly breaking the law https://t.co/J7m5zHOwJA</t>
  </si>
  <si>
    <t>Hello, Neeeewman...
@jallman971 #JamieAllman 
#RFA #RadioFreeAllman
#greitens #GreitensImpeachment https://t.co/k1VspO2oZ0</t>
  </si>
  <si>
    <t>RT @Sticknstones4: @314TruthSeeker @magathemaga1 @blackwidow07 @BigJShoota @HotPokerPrinces @SKOLBLUE1 @EdBigCon @Hope4Hopeless1 @Norasmith…</t>
  </si>
  <si>
    <t>Money FLYING all over the State if Missouri &amp;amp; NO ONE is reporting where the money's coming from, who's getting cut in. https://t.co/iPwEqMg3GM</t>
  </si>
  <si>
    <t>RT @GovMikeHuckabee: Wow!  Just spotted John Kerry sitting w/ James Taylor up in Biz Class on my @Delta flight to TLV.  Said they are on th…</t>
  </si>
  <si>
    <t>He's everywhere!!
#RFA #RadioFreeAllman 
#Unchained https://t.co/NRsUZMbTIg</t>
  </si>
  <si>
    <t>RT @shimie1: Jamie Allman, live this morning! 6AM-9AM https://t.co/16q9sJWcWz https://t.co/D7B06pDbn2</t>
  </si>
  <si>
    <t>WAKE UP.  It's time for #RFA #RadioFreeAllman !! https://t.co/8k7E0tLPYm</t>
  </si>
  <si>
    <t>RT @JW1057: @StLCountyRepub @EricGreitens @TeamGreitens @SheenaGreitens 
I am truth and justice and @stlcao and @jaybarnes5 are frauds!…</t>
  </si>
  <si>
    <t>Got me some #AitM again!  Like before, but BETTER
#RadioFreeAllman #RFA
@jallman971 #JamieAllman
#Unchained https://t.co/8gFWeCT4SU</t>
  </si>
  <si>
    <t>Just a reminder how @RuthsChris @rcclayton PANDERED to @staceynewman &amp;amp; crew to avoid backlash BUT WAS PULLING ADS ANYWAY LOLOLOLOL
Is this Stacey's job? Trashing her constituents? Threatening businesses with #boycott?
#IStandWithJamieAllman 
#Metaphor #Unchained https://t.co/rW1GfcAJnz</t>
  </si>
  <si>
    <t>Go here when in #Nashville.  The Craft Burgers are DELISH!!  I had the Belgian &amp;amp; sub'd my waffle fries for hash brown wedges https://t.co/gekk5gWWY4</t>
  </si>
  <si>
    <t>@AnimalEATbirds @ericbolling @MichaelAvenatti @realDonaldTrump @RealDonad_Trump #desperation https://t.co/LX3kEdpn2S</t>
  </si>
  <si>
    <t>@Alydar61 @JRubinBlogger Not to mention raping @atensnut #JuanitaBroaddrick &amp;amp; then being mind-fucked by @HillaryClinton for years after ~ yeah, doesn't compare to a $35k CONSENSUAL 1-night stand 
#LiberalHipHopcrasy</t>
  </si>
  <si>
    <t>@Alydar61 @JRubinBlogger "Sexually molesting an intern w/cigars &amp;amp; forcing her to perform fellatio so he doesn't have to "lie" when asked if he had sex w/said intern" is WAY worse than a billionaire Playboy paying a whore $35 for a one-night stand with private dancing</t>
  </si>
  <si>
    <t>@JRubinBlogger Since when is a $35k one-night stand with a prostitute "an affair"?</t>
  </si>
  <si>
    <t>RT @TheNewRight: Geeezzee Loueeeeze..
Somebody is having a bad day. 
Gettin’ mentioned in some pretty troublesome tweets..
Gettin’ twist…</t>
  </si>
  <si>
    <t>This is the list of organizations that came together to just @jallman971 #JamieAllman.  They are no doubt behind the @EricGreitens #GreitensIndictment movement as well
Shady DemocRATS are nothing if not good at money laundering and layering it to fund themselves https://t.co/XVY1tOP232</t>
  </si>
  <si>
    <t>That's because #TheLou has never seen an #Unchained @jallman971 #JamieAllman before
Everything he's done up to #RadioFreeAllman #RFA has been to prepare for what's coming
@Entercom @WeAreSinclair @stlcao @staceynewman @RiverfrontTimes https://t.co/DGQ8qdcTA9</t>
  </si>
  <si>
    <t>@AnimalEATbirds @ericbolling @MichaelAvenatti @realDonaldTrump *Takinging</t>
  </si>
  <si>
    <t>Hello?  @scottfaughn ??  Where are ya buddy?  We have a delivery...
#Subpoena
#greitens 
#GreitensIndictment https://t.co/5tvAMY3BpD</t>
  </si>
  <si>
    <t>So friggin' tired!  That was a marathon weekend, drove back to #TheLou on 3 hours sleep from @WaverlyHills south of Louisville.  So worth it to hunt with my buds</t>
  </si>
  <si>
    <t>@Midwestfitz @staceynewman Can we put @jallman971 on her?</t>
  </si>
  <si>
    <t>That's okay. They can backfill it with the Muslim refugees and then Implement Sharia. https://t.co/6nJfxV2pl5</t>
  </si>
  <si>
    <t>This @staceynewman will not stop until she's Queen of Mo https://t.co/79Vd0GqEfX</t>
  </si>
  <si>
    <t>@Beatlebaby64 @WaverlyHills Our "professional" group got segregated from the thrill seekers.  We started on 4, went to 5, then 3.  After half the nite, we switched with the other group &amp;amp; did 1, the Death Chute, then 2.</t>
  </si>
  <si>
    <t>4:45.  Been everywhere but Floor 2!
@WaverlyHills https://t.co/cIJyxCVVpZ</t>
  </si>
  <si>
    <t>It almost seems as if #KimShady #KimGardner was installed at @stlcao just to go after @EricGreitens 
https://t.co/pTWvRdhOV2</t>
  </si>
  <si>
    <t>HOLY SHIT, TWITTER.  I'm on the road for a couple hours &amp;amp; come back to THIS comedy gold!
 https://t.co/xZ10BJ5OMI</t>
  </si>
  <si>
    <t>Powerful message from middle America
Do him right @AP4Liberty when you are #MoSen.  Do us ALL right.
#FireClaire🔥 https://t.co/V1FDij2mIW</t>
  </si>
  <si>
    <t>Come to @_mlrose &amp;amp; try their craft burgers next time you're in #Nashville #NashVegas #Smashedville ~ near the Gulch!
We would have tried the beer, but we just sampled Bourbons at the Distillery... https://t.co/rqEZ0R7np1</t>
  </si>
  <si>
    <t>We've arrived in #LouisvilleKY in a record-setting rain!  
@WaverlyHills 
@KentuckyDerby 
@STLPRS
@Beatlebaby64 @ninekiller @juliematthews50 @jenniferkrneta @RAWPWR99FATBOY @jallman971</t>
  </si>
  <si>
    <t>@TheNewRight LOLZ, were they GIANT squirrels!</t>
  </si>
  <si>
    <t>That's a MAN there, mmm hmm.  Not some whiny #SoyBoy
@AP4Liberty #AustinPetersenForSenate
#FireClaire🔥 https://t.co/5tVSH0Pmcg</t>
  </si>
  <si>
    <t>I'll probably be punished by the #Fascist overlords for that last tweet.  In case that happens, we're on our way to Louisville &amp;amp; #WVerly Hills! https://t.co/AwplKbBR54</t>
  </si>
  <si>
    <t>Hi @RepSwalwell
Hey Comrade.  Read the #2A  "Shall Not Be Infringed"  
You should be put before a firing squad for being an Anti-American #Fascist
https://t.co/YrF1G8w6il</t>
  </si>
  <si>
    <t>RT @GunOwners: Retweet if your guns have never "assaulted" anyone. https://t.co/yc77U89FeZ</t>
  </si>
  <si>
    <t>@Beatlebaby64  https://t.co/lwDTCfZIAh</t>
  </si>
  <si>
    <t>@Beatlebaby64 😝 I hate tomato juice!</t>
  </si>
  <si>
    <t>OH MY HEAD.  Grapefruit Radlers are sneaky...
#Smashedville
#NashVegas
#LostGirlsWeekend</t>
  </si>
  <si>
    <t>The Million Dollar Quartet, just jackin' around at Sun Studios https://t.co/uVGd28OQu6</t>
  </si>
  <si>
    <t>Beautiful Dobros https://t.co/yVclquCAWu</t>
  </si>
  <si>
    <t>THE studio https://t.co/4MKaV9Y3lT</t>
  </si>
  <si>
    <t>https://t.co/SFtlUW83vV</t>
  </si>
  <si>
    <t>@Beatlebaby64 🍸😉🍸😉🍸😉🍸😉</t>
  </si>
  <si>
    <t>Thinking of @jallman971 right now https://t.co/SAxUw0JTsL</t>
  </si>
  <si>
    <t>Our first stop: Big Shots
Our first shot: The Panty Pulldown https://t.co/xwYMt7nC3U</t>
  </si>
  <si>
    <t>Crazy Town!
#NashVegas
#Smashedville
#LostGirlsWeekend https://t.co/HL4aLuhDwt</t>
  </si>
  <si>
    <t>Huh?? https://t.co/SffCJmAsxM</t>
  </si>
  <si>
    <t>When Libs do it, it's Multi-Cultural Understanding.  When normal, every day citizens do it, it's Cultural Appropriation. https://t.co/Wfh3iey6Wg</t>
  </si>
  <si>
    <t>@Jimi971 @Beatlebaby64 @Sticknstones4 Girl's can't make impressive pee sounds bc we are too close to the water</t>
  </si>
  <si>
    <t>Hmmm, I wonder who this Mo State Rep could be?  😹's BFF @staceynewman who also just happened to intro #TheGov to Kitty?
@jallman971 #JamieAllman 
#TheStaceyConnection https://t.co/a9DDK4vFTB</t>
  </si>
  <si>
    <t>@Jimi971 @Beatlebaby64 @Sticknstones4 We'll open with the sounds of a healthy man pee 🤣</t>
  </si>
  <si>
    <t>RT @juliematthews50: JUST IN: Gary Sinise Foundation providing smart home for Arnold Police Officer Ryan O'Connor
(Via KMOV News) https://…</t>
  </si>
  <si>
    <t>Pee stop 40 miles outside #NashVegas!</t>
  </si>
  <si>
    <t>RT @Str8DonLemon: @DaynaGould @magathemaga1 @EricGreitens @Rep_TRichardson @Sticknstones4 @EdBigCon @HennessySTL @RealTravisCook @Shawtypep…</t>
  </si>
  <si>
    <t>RT @magathemaga1: Reminder to #MoLeg 
You try impeachment before @EricGreitens gets his day in court, you are playing with electoral fire.…</t>
  </si>
  <si>
    <t>Of course!  
#Memphis
#LostGirlsWeekend https://t.co/YUay0TYS3N</t>
  </si>
  <si>
    <t>Gettin' chills... 
At @sunstudio #Memphis</t>
  </si>
  <si>
    <t>@jhm1701 @Beatlebaby64 @TheStruts @foofighters Never heard of it, but you had me at cheese curds</t>
  </si>
  <si>
    <t>The Chicks on Beale, after 4 hours of @TheStruts &amp;amp; @foofighters in #Memphis https://t.co/K6he9S0Qnv</t>
  </si>
  <si>
    <t>and yes.  The guitar player is shredding with his lips &amp;amp; tongue.</t>
  </si>
  <si>
    <t>And this is why @PressSec is so successful at what she does.  She might ask God "why" but she'll always find forgiveness https://t.co/Bbbf5jqt6o</t>
  </si>
  <si>
    <t>RT @warnerthuston: Don’t just blame kids for not knowing history, blame our schools https://t.co/hXe7iT7oHM via @JarrettStepman @DailySignal</t>
  </si>
  <si>
    <t>RT @HotPokerPrinces: JAY BARNES BABY PICTURE 
DEPORT TO MOSCOW 
#communist #putin #tribunal #Missouri https://t.co/ImBA6OsIt4</t>
  </si>
  <si>
    <t>@juliematthews50 @Beatlebaby64 @ninekiller @Jimi971 @jenniferkrneta Finished with #Evermore</t>
  </si>
  <si>
    <t>@juliematthews50 @Beatlebaby64 @ninekiller @Jimi971 @jenniferkrneta They played for three hours.  THREE FUCKING HOURS!!</t>
  </si>
  <si>
    <t>RT @skoalbandit1776: @Comey @jeffsessions @realDonaldTrump @infowars @RepMarkMeadows @RepMattGaetz @DevinNunes @Jim_Jordan @RepDeSantis @Ra…</t>
  </si>
  <si>
    <t>RT @Monetti4Senate: Here’s the straight scoop. Chameleon Claire goes to Beverly Hills w/ Obama for fundraisers. Young Josh gets $50,000 chi…</t>
  </si>
  <si>
    <t>RT @strmsptr: #moleg is hell bent on nullifying the choice of #WeThePeople for Missouri Governor by calling a special session to continue t…</t>
  </si>
  <si>
    <t>Just for you @Beatlebaby64 
@juliematthews50 @ninekiller @Jimi971 @jenniferkrneta 
#JUMP https://t.co/ZpbdqxOUrx</t>
  </si>
  <si>
    <t>Retweeting for a friend 😉
#RadioFreeAllman #RFA
@jallman971 #JamieAllman https://t.co/YsJPWbdGdb</t>
  </si>
  <si>
    <t>New fave on Beale!
@Beatlebaby64 
@Jimi971 
@jenniferkrneta https://t.co/09yduIetd4</t>
  </si>
  <si>
    <t>My most fave pic of Beale so far
@gatewaypundit
@Beatlebaby64 
@jenniferkrneta https://t.co/wb5opTugmP</t>
  </si>
  <si>
    <t>Dude's cowbellin' to the TV down here on Beale Street 
#Memphis
@Jimi971 @Beatlebaby64 @jenniferkrneta https://t.co/4Mklue3W1a</t>
  </si>
  <si>
    <t>@Jimi971 @jenniferkrneta @Beatlebaby64 @juliematthews50 Sharon ~ the Foo did a Beatles song...I recorded it for you 💖</t>
  </si>
  <si>
    <t>@Jimi971 @jenniferkrneta @Beatlebaby64 @juliematthews50 Now I'm having a post-show Hurricane 🍸</t>
  </si>
  <si>
    <t>@Jimi971 @Beatlebaby64 @jenniferkrneta @juliematthews50 Actually ... and poops!</t>
  </si>
  <si>
    <t>@Jimi971 @anniefreyshow @Beatlebaby64 @jenniferkrneta @juliematthews50 Are you really blaming US?!  You kept asking leading questions!!</t>
  </si>
  <si>
    <t>@grcfay 😂😂😂</t>
  </si>
  <si>
    <t>@Jimi971 @Beatlebaby64 @jenniferkrneta @juliematthews50 Mmm yeah, at the Opry Mills Mall.  We're just hitting Memphis, eating at the Cracker Barrel, getting caught up on news</t>
  </si>
  <si>
    <t>@Beatlebaby64 A watch he designed is having made.</t>
  </si>
  <si>
    <t>Or just text him for a statement
#Greitens #GreitensIndictment https://t.co/YBwV1AokvB</t>
  </si>
  <si>
    <t>My baby cousin in Chicago is about to launch a watch of his own design.  Check it out!
#FarrSwit
#FarrAndSwit
https://t.co/jkZPCdWE0X</t>
  </si>
  <si>
    <t>Our usual Tweeps seem quiet today</t>
  </si>
  <si>
    <t>Nope.  I'm done considering.  @AP4Liberty is my guy!
#FireClaire🔥
#MoSen https://t.co/wrTA50Kmm4</t>
  </si>
  <si>
    <t>https://t.co/rZcqiOj6Ot</t>
  </si>
  <si>
    <t>Boulder CO city council voted AGAINST their constituency &amp;amp; took Bloomberg money to ban #AssaultWeapons but didn't clarify what that means.  So now cars, guns, knives, hammers, pools, household chemicals, prescription drugs must be turned in?
Asking for friends</t>
  </si>
  <si>
    <t>Not what I expected in this article! https://t.co/Y4leDJ5Zbs</t>
  </si>
  <si>
    <t>A product of too many psychotropic drugs https://t.co/9FPZxICnJO</t>
  </si>
  <si>
    <t>"Are You Brave..." starts the letter from someone who won't sign their name 😆😅😂😀
#2A #2AShallNotBeInfringed #2Amendment #LegalGunOwnership https://t.co/kzbTID8Y03</t>
  </si>
  <si>
    <t>My cousin &amp;amp; her husband are right there, going through his parent's hoarding-house; they have a front row seat https://t.co/Y5QCPvcQF7</t>
  </si>
  <si>
    <t>WHAAAAT?  No...
https://t.co/rTTvz49QHZ</t>
  </si>
  <si>
    <t>Get some stuff to wear about town this spring, you know, to debates &amp;amp; certain radio station live events 
#RadioFreeAllman #RFA #AllmanArmy @jallman971 #JamieAllman
#RedHotPokerGang https://t.co/2yc7dcwUwc</t>
  </si>
  <si>
    <t>What the HELL, Las Vegas PD &amp;amp; FBI?! 
 https://t.co/FaHHcxjE3t</t>
  </si>
  <si>
    <t>@Jimi971 @Beatlebaby64 @rachelz971 @KansasBand Oh shit, I didn't think about that!?</t>
  </si>
  <si>
    <t>LOLZ, #satire https://t.co/UJAkFFQ5r2</t>
  </si>
  <si>
    <t>@Jimi971 @Beatlebaby64 @rachelz971 @KansasBand  https://t.co/rEuiIkZkJq</t>
  </si>
  <si>
    <t>@Jimi971 @Beatlebaby64 @rachelz971 @KansasBand  https://t.co/U7YWkIlChu</t>
  </si>
  <si>
    <t>@Jimi971 @rachelz971 Sammy, Kansas ~ OMG @KansasBand was my jam.  But, when I met Mr, we drifted to Ozzie, Judas, then Saga, U2, ...</t>
  </si>
  <si>
    <t>@Jimi971 @rachelz971 That was our end-of-the-season party down at Marriott's Tan Tar A Resort circa 1985??</t>
  </si>
  <si>
    <t>@Jimi971 @rachelz971 Yeah, mine there?  At the time of the pic, I was as straight as a nun.  Later that night though, I was the wasted-est I've ever been in my LIFE.</t>
  </si>
  <si>
    <t>@Jimi971 @rachelz971 🤘🤘ROCK ON JIMI!!🤘🤘</t>
  </si>
  <si>
    <t>@Beatlebaby64 @rachelz971 @Jimi971 That's a good pic of us Sharon</t>
  </si>
  <si>
    <t>@Beatlebaby64 @Jimi971 @rachelz971 As this color grew out &amp;amp; I kept up with the cut, my blonde took over &amp;amp; my ends were tipped in dark ~ it was shimmery &amp;amp; mink-like.  LOL</t>
  </si>
  <si>
    <t>@rachelz971 @Jimi971 You're so sweet, sis!</t>
  </si>
  <si>
    <t>Notice those on #Greitens RIGHT side ~ but more importantly, WHO'S ON HIS LEFT
@AP4Liberty 
@Monetti4Senate 
@SykesforSenate 
@jallman971 
@EricGreitens
#GreitensIndictment https://t.co/VbrrPRGCiK</t>
  </si>
  <si>
    <t>Go get that report &amp;amp; READ IT!
#Greitens
#GreitensIndictment 
#LikeAHollywoodScript https://t.co/OkYDtRj5Oy</t>
  </si>
  <si>
    <t>.#Greitens #GreitensIndictment https://t.co/wVMRuE2oiT</t>
  </si>
  <si>
    <t>Exasperating, the Twitter character limitations ~ you really need a pencil &amp;amp; paper to keep score
#Greitens 
#GreitensIndictment 
@MOHouseGOP https://t.co/xvaOGIvrIJ</t>
  </si>
  <si>
    <t>What the hell @MOHouseGOP ~ are ALL of you corrupt?!  
#Greitens
#GreitensIndictment https://t.co/qtLXZuPq0k</t>
  </si>
  <si>
    <t>Good on @MarkReardonKMOX which proves some reporters in #Missouri still have integrity https://t.co/oCAACwhC16</t>
  </si>
  <si>
    <t>Pay attention because this moves FAST.  Follow the thread.  It's complicated, but READ THE REPORT
#Greitens 
#GreitensIndictment 
#MoLeg https://t.co/gqUebxwYON</t>
  </si>
  <si>
    <t>These Chapters get crazier as the days get longer 😡
#Greitens 
#GreitensIndictment 
#MoneyBagsAl
#KimShady
@stlcao 
@HereLiesMoon 
🌛😹 https://t.co/PsBtixarwB</t>
  </si>
  <si>
    <t>The new #RFA STUDIO, Haters!  You can't keep @jallman971 #JamieAllman down
#RadioFreeAllman 
#NewBeginnings
#Unchained
https://t.co/BmVdDnjpEJ https://t.co/U8GNK1CoN7</t>
  </si>
  <si>
    <t>@Jimi971 @rachelz971 Here was mine in the 80's.  Mind you, my blonde hair was down past my middle back with remnants of a perm &amp;amp; gorgeous, before I did this https://t.co/VgJCg5st0Y</t>
  </si>
  <si>
    <t>@Jimi971 @rachelz971 Dude...it was Amazing https://t.co/h3ys4icnGB</t>
  </si>
  <si>
    <t>Oh Ray-chel!!  @rachelz971 
Limahl from Kajagoogoo!
He actually stole this look for me the bastard https://t.co/5tmldaVUdc</t>
  </si>
  <si>
    <t>Hello @rachelz971 !!
@realDonaldTrump !!</t>
  </si>
  <si>
    <t>@Jimi971 @foofighters Well we know what happens in nashvegas stays in nashvegas</t>
  </si>
  <si>
    <t>I'm hoping to update this photo with @Monetti4Senate next week!  
#FireClaire🔥
#MoSen
#SayNoToTheHawleyTrawley https://t.co/YDr5WeqOOK</t>
  </si>
  <si>
    <t>It's my Friday ~ headed to Memphis to see @foofighters then #Nashville to partay then #Louisville to Ghosthunt!! https://t.co/MoYdgItJi3</t>
  </si>
  <si>
    <t>.#TruthAche #MoLeg
#GreitensIndictment https://t.co/OkYDtRj5Oy</t>
  </si>
  <si>
    <t>As Frankie McDonald in Nova Scotia would say "HAVE A PLAN! CHARGE YOUR CELL PHONES! LISTEN TO YOUR LOCAL WEATHER FORECAST!" https://t.co/yQQoQAhSao</t>
  </si>
  <si>
    <t>@Beatlebaby64 😂😂😂😂😂😂😂😂😂😂😂😂😂</t>
  </si>
  <si>
    <t>RT @alexiszotos: I think someone might be in trouble... https://t.co/MWCbJCpE1o</t>
  </si>
  <si>
    <t>RT @tomangell: BREAKING: Missouri House of Representatives just passed a medical marijuana bill on third reading. Now on to the Senate….
h…</t>
  </si>
  <si>
    <t>...and STILL not bathing often because the WalMart has banned him from their stores for the last mess he made in the men's room https://t.co/f11F7a3GOT</t>
  </si>
  <si>
    <t>OMG @Beatlebaby64 his singing voice makes me SWOOOON!
😁😂😆 gotta get me a sign for my corner lot ...
#AustinPetersenForSenate
@AP4Liberty 
#FireClaire🔥 https://t.co/io1XqHIaEt</t>
  </si>
  <si>
    <t>@ksdknews Someone needs a good ass-whoopin'</t>
  </si>
  <si>
    <t>Severe ... but still no one's protesting the child's death... https://t.co/SGKPRQ8pcr</t>
  </si>
  <si>
    <t>RT @FreedomWorks: Sick? Feel like waiting five months to be treated by a specialist? Move to Canada: Universal Health Care: A Colossal Gove…</t>
  </si>
  <si>
    <t>RT @Avenge_mypeople: Missouri Governor #Greitens is under attack by people in his own party. Scott Faughn, who sent $50,000 to lawyer Al Wa…</t>
  </si>
  <si>
    <t>RT @FoxNews: Moments ago, Rep. Diane Black released her and several other members of Congress's nomination of President Donald J. Trump to…</t>
  </si>
  <si>
    <t>OMG LOL https://t.co/PQWZ7cAJ7o</t>
  </si>
  <si>
    <t>I want a cat that does this. https://t.co/yVh9vvFaW1</t>
  </si>
  <si>
    <t>I think it's cute that @Jimi971 calls us all "sis"
@anniefreyshow @DJChurchdogg</t>
  </si>
  <si>
    <t>More on #GreitensIndictment #Greitens 
And you all SCOFF at #ConspiracyTheorists https://t.co/x6xE40tqNP</t>
  </si>
  <si>
    <t>@JackPosobiec @VisioDeiFromLA Should have just nuked'm</t>
  </si>
  <si>
    <t>@Jimi971 @anniefreyshow @Beatlebaby64 @jenniferkrneta Zat sounds delicious, min amis</t>
  </si>
  <si>
    <t>@Jimi971 @anniefreyshow @Beatlebaby64 @jenniferkrneta A tout le monde, a tout mes amis, je vous aime, je dois partir ...</t>
  </si>
  <si>
    <t>@TheNewRight OMG I could easily go broke there</t>
  </si>
  <si>
    <t>RT @ResignNowKim: @lindsaywise “...Never met Al Watkins in my life...” Then how did he know Skyler’s name?  How many named partners remembe…</t>
  </si>
  <si>
    <t>.#RadioFreeAllman #RFA 
Last night's Facebook Live!! post
Giving some credit to yours truly for a "stumbled upon" LOL
L💖V YOU @jallman971 https://t.co/kmf3E1ziuR</t>
  </si>
  <si>
    <t>@gatewaypundit Uuuuugh...really?  Why.</t>
  </si>
  <si>
    <t>@anniefreyshow @971FMTalk My pleasure dear.  I'm working it out, how to listen to EVERYone but I got a plan.  😉😉</t>
  </si>
  <si>
    <t>@Jimi971 @anniefreyshow @971FMTalk  https://t.co/V4D9LIcSnG</t>
  </si>
  <si>
    <t>@shockerdom1 @iamRyanJaycox @jallman971 @kmoxnews Not tellin'.  You gotta listen to his podcasts, which you won't cuz you a h8r https://t.co/BBVUJPxceV</t>
  </si>
  <si>
    <t>RT @TheNewRight: @sneakybison @Lautergeist @Beatlebaby64 @jallman971 @MarthaEW @Margare03880660 @juliematthews50 @staceynewman ah was this…</t>
  </si>
  <si>
    <t>@shockerdom1 @iamRyanJaycox @jallman971 @kmoxnews Pffft... he"s got advertisers lined up already...</t>
  </si>
  <si>
    <t>Every day is now #FreyDay!
@anniefreyshow 
@971FMTalk</t>
  </si>
  <si>
    <t>@88YahamaKeys @shockerdom1 @iamRyanJaycox @jallman971 @kmoxnews Hahaha @88YahamaKeys !!</t>
  </si>
  <si>
    <t>He is a marvel to covert investigative journalism 😉
#RadioFreeAllman #RFA https://t.co/owfqLNgCh6</t>
  </si>
  <si>
    <t>Show me on this tweet where:
1) @jallman971 said HE was drunk
2)#JamieAllman said he wanted to rape or sexually assault anyone
YOU CAN'T.  You have completely blown this way out of context
#Defamation
#Obfuscation
#LiberalDoubleStandard
#RadioFreeAllman #RFA https://t.co/g77Sdao3Uk</t>
  </si>
  <si>
    <t>Keep on tellin' yourself that
#IStandWithJamieAllman 
#RadioFreeAllman #RFA
@jallman971 #JamieAllman
#Defamation
@staceynewman https://t.co/APLGwsfVqF</t>
  </si>
  <si>
    <t>@88YahamaKeys @shockerdom1 @iamRyanJaycox @jallman971 @kmoxnews Oh, LQQK.  He's an "ARTIST" .</t>
  </si>
  <si>
    <t>RT @971FMTalk: @AP4Liberty w/ @MarcCox971 talking #moleg #CaravanOfIllegals &amp;amp; more: https://t.co/SpWwmF93yr https://t.co/r2g4sFInom</t>
  </si>
  <si>
    <t>Loving the line-up on the #MarcCoxMorningShow today!
@Monetti4Senate 
@genevievewood 
@971FMTalk 
@MarcCox971 
@Kwebblittle</t>
  </si>
  <si>
    <t>@971FMTalk @MarcCox971 @genevievewood @Monetti4Senate @FAIRImmigration @jeffreyboyd @hogangidley45 Today's my FRIDAY!  Tomorrow: Memphis, then Nashville!!</t>
  </si>
  <si>
    <t>RT @gomurphy: Looking forward to hearing @HennessySTL on the @MarcCox971 show this morning!
#MAGA</t>
  </si>
  <si>
    <t>@shockerdom1 @iamRyanJaycox @jallman971 @kmoxnews Crawl back in your hole, troll.  Accept it.  This is only, what...3 weeks after being pulled off air.  There's so much more coming...</t>
  </si>
  <si>
    <t>We ALL knew this, but it's great to see the numbers!
#RadioFreeAllman #RFA
@jallman971 #JamieAllman
#Redemption 
Watch out @KMOX @971FMTalk https://t.co/a0WgjGLimo</t>
  </si>
  <si>
    <t>@88YahamaKeys @Margare03880660 @jallman971 @juliematthews50 @TheNewRight @Sticknstones4 My work here is done.</t>
  </si>
  <si>
    <t>@ShwMeGrl @sneakybison @Vets4AP @ErgoStreetNurse @Margare03880660 Leave #TheLou, fly to Charlotte, layover.  Pick up a flight to Tampa/St Pete, then connect on a puddle-jumper to Ft Lauderdale &amp;amp; rent a car or use Uber &amp;amp; find a fireplace store IN FLORIDA, then Uber over to the High School&amp;amp; sneak past security &amp;amp; 3k students...
#EasyBreezy</t>
  </si>
  <si>
    <t>@88YahamaKeys @Margare03880660 @jallman971 @juliematthews50 @TheNewRight @Sticknstones4 So, the one-sided thing's still funny though, right? 🤣😂😀</t>
  </si>
  <si>
    <t>Go HERE you bunch of drunks 🍸
#RFA #rRadioFreeAllman
https://t.co/czSyjIvryu</t>
  </si>
  <si>
    <t>Nighty Night Bison.  Sleep tight.  Don't get bedbugs on your trip! Y'all come back nah, y'hear? https://t.co/jdhfFVE1Rl</t>
  </si>
  <si>
    <t>@sneakybison @Vets4AP @ErgoStreetNurse @Margare03880660 Oh, well I'm in #FlyoverCountry, you know, a #hillbilly.  We barely have any skills in computer-ing.  Thank God for @Verizon or we'd not be having all this FUN! https://t.co/XGYcMuzWCE</t>
  </si>
  <si>
    <t>@katscheve @Margare03880660 @jallman971 @juliematthews50 @TheNewRight They actually have "management" in St Louis?  There's someone THERE?</t>
  </si>
  <si>
    <t>@Margare03880660 Come on ~ there's only ONE direct flight out of #TheLou and it's to #Chitcago!</t>
  </si>
  <si>
    <t>@sneakybison  https://t.co/tUzm85hzcq</t>
  </si>
  <si>
    <t>@sneakybison  https://t.co/jya3i5090r</t>
  </si>
  <si>
    <t>@sneakybison  https://t.co/ti0pAZoZL4</t>
  </si>
  <si>
    <t>@sneakybison @Vets4AP @ErgoStreetNurse @Margare03880660 And you're OBVIOUSLY an out-of-towner.  No one"travels quite easily" by plane from St Louis 
😅🤣😀😁😆😄🤣😂😅
Can I get a HelzYeah?</t>
  </si>
  <si>
    <t>@sneakybison @Vets4AP @ErgoStreetNurse @Margare03880660 Oh, and Sweets ... "Screenshotted" isn't a word.  You just lazily made that up. https://t.co/NcBEIKx9S4</t>
  </si>
  <si>
    <t>@sneakybison @Vets4AP @ErgoStreetNurse @Margare03880660 Uhm, yeah #SmartOne.  If you'd been part of the convo, you'd have know the "prepare" part was for his TV show, not to hop a plane to FL
(shakes head at the schtupidity)</t>
  </si>
  <si>
    <t>@sneakybison @Vets4AP @ErgoStreetNurse @Margare03880660 I just want to make sure you aren't hurt by all the flying #metaphors and flowers</t>
  </si>
  <si>
    <t>Right!!  
#RedHotPokerGang
#OperationHotPoker
#IStandWithJamieAllman
#PokerTweet
#Metaphor
@jallman971 
#JamieAllman
#RadioFreeAllman
#RFA https://t.co/ane39bC2Ri</t>
  </si>
  <si>
    <t>@sneakybison @Vets4AP @ErgoStreetNurse @Margare03880660 JESUS MARY &amp;amp; JOSEPH...#RedHotPoker Alert!! https://t.co/Z74SrtNq9j</t>
  </si>
  <si>
    <t>@sneakybison @Vets4AP @ErgoStreetNurse @Margare03880660 Here's another #RedHotPoker EVERYONE RUN!  IT MIGHT ENTER YOU!!
https://t.co/OjQNrFkRGT</t>
  </si>
  <si>
    <t>I found THIS ~ Robby Benson was such a hunk in the 70's, but today he gives Sam Elliott a run for his money in the Sexy Older Guy genre!
https://t.co/4Ozg9GgUSz</t>
  </si>
  <si>
    <t>@sneakybison @Vets4AP @ErgoStreetNurse @Margare03880660 Oh, and again.  Here's another reference of that same #metaphor.  Because your kinda slow, I'll tell you the coach used this line on Robby Benson earlier in the film
https://t.co/o3397u7zEK</t>
  </si>
  <si>
    <t>@sneakybison @Vets4AP @ErgoStreetNurse @Margare03880660 Here, I'll help.  Go to 2:50 on this clip.  Unless you're close-minded, hysterical and AFRAID a #hotpoker will jump out and assault you
https://t.co/DsqPBaScSo</t>
  </si>
  <si>
    <t>@sneakybison @Vets4AP @ErgoStreetNurse @Margare03880660 You know Jamie's in St Lou, right &amp;amp; David's in school in FL right &amp;amp; there's no logical way JA could hop a plane, buy a fireplace poker &amp;amp; be allowed to enter the school w/it, then fly home for dinner?
ARE YOU SPECIAL?  Do you not know what a #Metaphor is?</t>
  </si>
  <si>
    <t>Stacey's so screwed https://t.co/K3o981vqtV</t>
  </si>
  <si>
    <t>LOLs @kathygriffin https://t.co/uVJujoseyj</t>
  </si>
  <si>
    <t>@Vets4AP @ErgoStreetNurse @sneakybison @Margare03880660 @jallman971 @juliematthews50 @TheNewRight S/he don't sound too worried.  Who SHOULD be worried about all this residual #defamation is @staceynewman &amp;amp; tablecloth-wearin' @charlesjaco1</t>
  </si>
  <si>
    <t>@repdottieb4mo @AP4Liberty @6pm Because you commanded it, it shall be so Dottie!</t>
  </si>
  <si>
    <t>Get some #RFA #RadioFreeAllman schtuff here!
 https://t.co/puIX7rgC4Z</t>
  </si>
  <si>
    <t>Nothing to see here, right?
#Greitens #GreitensIndictment 
#MoneyBagsAl
#KimShady
#SketchyScotty https://t.co/uMOworzfFa</t>
  </si>
  <si>
    <t>RT @POLITICSandFUN: .@TwitterSupport
You Suspended @NRAVikki For Defending Her Son Against A Vicious Attack By Someone On The Left.  How Ca…</t>
  </si>
  <si>
    <t>RT @VisioDeiFromLA: #BREAKING
#Missouri Gov. @EricGreitens has deployed troops to the southern border to help protect our nation and #Stop…</t>
  </si>
  <si>
    <t>Scotty, Scotty, Scotty.
Scotty Lee wanted by STLPD in the murder &amp;amp; attempted murder at Ballpark Village https://t.co/qzxply7wYJ</t>
  </si>
  <si>
    <t>@1776Stonewall @Jen19841980 Barack is a thug-in-training, one to watch</t>
  </si>
  <si>
    <t>Oh, and @scottfaughn, I also found THIS on my quick #Google search about self-published a tell-all book
#Greitens #GreitensIndictment 
@MarkReardonKMOX 
#AlWatkins
#MoneyBagsAl https://t.co/mHNryVFoWX</t>
  </si>
  <si>
    <t>Hi @scottfaughn on a quick #Google search,  I found out @Amazon can help you publish a book FOR FREE!  #Helping @MarkReardonKMOX
#Greitens
#GreitensIndictment 
#AlWatkins
#MoneyBagsAl</t>
  </si>
  <si>
    <t>@juliematthews50 @ErgoStreetNurse @sneakybison @Margare03880660 @jallman971 @TheNewRight A "yawn" bore or a "drilling tool" bore?  Because if it's the latter, that could be construed as a metaphor for sexual assault.  Just ask @sneakybison the expert on #MetaphoricalSexTerms</t>
  </si>
  <si>
    <t>@ErgoStreetNurse @sneakybison @Margare03880660 @jallman971 @juliematthews50 @TheNewRight Sneaky's got his/her knickers in a twist (metaphor) over this line from #ReservoirDogs  is all.  Thinks they got stuff on @jallman971 
 I'll save you the time ~ go to 2:50 of this clip
https://t.co/DsqPBaScSo</t>
  </si>
  <si>
    <t>@Margare03880660 @jallman971 @juliematthews50 @88YahamaKeys @TheNewRight @Sticknstones4 Oh, it's okay.  Best to capture the haters in their own moment of stupidity than to try to recount it for a judge later. 😀</t>
  </si>
  <si>
    <t>@Margare03880660 You're so adorbs 💖</t>
  </si>
  <si>
    <t>@MarkReardonKMOX @scottfaughn @KMOX I'm SURE @scottfaughn will GLADLY show an invoice from #MoneybagsAl &amp;amp; an acct statement from where he withdrew the $ AND explain why it was CASH &amp;amp; not a check &amp;amp; the list of lawyers he called for bids on this "literary law" job?  My mom self-published 2 books for 1% of that!</t>
  </si>
  <si>
    <t>How is this still a thing??
#Greitens 
#GreitensIndictment https://t.co/RXReTMyh3h</t>
  </si>
  <si>
    <t>@repdottieb4mo @AP4Liberty @6pm I'll miss this be for a Lost Girls Weekend in #Nashville @AP4Liberty but my client on the 11th just rescheduled to June, so I'll see you at Rockwood Summit on the 11th!</t>
  </si>
  <si>
    <t>Now don't get TOO excited, my #420 Peeps
 https://t.co/NpCtQhiTHA</t>
  </si>
  <si>
    <t>Well OBVIOUSLY, Trump's long-time physician doesn't subscribe to the doctor-like confidentiality creed.  Why would he feel it necessary to discuss prescriptions w/the press?
https://t.co/prNfAXJ6Pp</t>
  </si>
  <si>
    <t>@sneakybison @Beatlebaby64 @jallman971 @MarthaEW @TheNewRight @Margare03880660 @juliematthews50 Oh, okay, GREAT!  Then you've got nothing on @jallman971 Have a nice day!  #JamieAllman 
#RedHotPokerGang #Metaphor @staceynewman</t>
  </si>
  <si>
    <t>@jallman971 @MarthaEW @TheNewRight @sneakybison @Margare03880660 @juliematthews50 Someone's gonna lose their retirement account LOLZ</t>
  </si>
  <si>
    <t>It only makes sense in the perverted, angry, Liberal world, Marta. https://t.co/ZpUYp9VzEI</t>
  </si>
  <si>
    <t>@MarkReardonKMOX @VisioDeiFromLA @Sticknstones4 @scottfaughn @KMOX But you posted it last evening.  I saw it last night.  It's all good, man.  No disrespect ~ we're on the same side here</t>
  </si>
  <si>
    <t>@Margare03880660 I just want you to get your proper credits!</t>
  </si>
  <si>
    <t>Guess whose client rescheduled her May 11 investigation?!  MINE!!
I'M FREE TO COME TO THE DEBATE!!  
Tell me how I can help @AnnetteRR @dianejneff1 
@AP4Liberty @Monetti4Senate @jallman971</t>
  </si>
  <si>
    <t>When can we just start killing these animals?  Just because they can TALK doesn't make them human
 https://t.co/gPAhvExqOM</t>
  </si>
  <si>
    <t>💥BOOM💥
#ObamasLegacy
@BarackObama https://t.co/9VW9Z0GF70</t>
  </si>
  <si>
    <t>DOOOOOH!!! https://t.co/bejwTsss0M</t>
  </si>
  <si>
    <t>I open bidding with $5
@scottfaughn 
#Greitens 
#GreitensIndictment 
#MoneyBagsAl https://t.co/eJgbR0OLYC</t>
  </si>
  <si>
    <t>@Margare03880660 (spaces between hashtags or they don't work). I know you're excited, but you need to slow down, take it easy lady!  😍</t>
  </si>
  <si>
    <t>@jrosenbaum Yeah @jrosenbaum ~ thank you</t>
  </si>
  <si>
    <t>@MarkReardonKMOX @VisioDeiFromLA @Sticknstones4 @scottfaughn @KMOX Wait ... 21 hours ago Mark tweeted this.  That was yesterday.  Technically, he knew yesterday afternoon, but to his credit, after his show https://t.co/XIG4eVekSv</t>
  </si>
  <si>
    <t>@sneakybison @Margare03880660 @jallman971 @juliematthews50 @TheNewRight  https://t.co/i2UDyo6xmL</t>
  </si>
  <si>
    <t>@sneakybison @Margare03880660 @jallman971 @juliematthews50 @TheNewRight Duly noted, copied and filed</t>
  </si>
  <si>
    <t>.MAFABrothers LMBFAO!! https://t.co/KbtQwBHtmB</t>
  </si>
  <si>
    <t>"I Am Ready"
#RadioFreeAllman #RFA 
@jallman971 #JamieAllman https://t.co/oHx0whXQhy</t>
  </si>
  <si>
    <t>So, Clown News Network gets a free pass on using the #Poker word
#PokerTweet #PokerFace
#RedHotPoker #RedHotPokerGang
#RoyalFlush https://t.co/VP73CRo5vj</t>
  </si>
  <si>
    <t>RT @AP4Liberty: It's so beautiful. https://t.co/FkaTDg4UYe</t>
  </si>
  <si>
    <t>Curious, myself. https://t.co/sQKNez87Gr</t>
  </si>
  <si>
    <t>Loving the music coming out of the #MarcCoxMorningShow but it seems to mssing something.  Hmmm ... Could it be THIS?
@MarcCox971 @kbailey971 
@rivalsons #OpenMyEyes
https://t.co/XS6rnq6hvW</t>
  </si>
  <si>
    <t>Yes, @AP4Liberty used to produce @Judgenap 's TV show
He credits The Judge for making him see  #ProLife 
#FireClaire 🔥
#AustinPetersenForSenate
#MoSen</t>
  </si>
  <si>
    <t>Ha! @AGJoshHawley @HawleyMO  is on @foxandfriends  right now campaigning for @AP4Liberty #AustinPetersen
What a nice guy!
#FieeClaire🔥</t>
  </si>
  <si>
    <t>@LindaSuhler @steph93065 We'd actually have to poke him with a stick to make sure he's still ALIVE</t>
  </si>
  <si>
    <t>Who's going?  Anyone?? 
🤣😂😀😆😃 https://t.co/n6nDMJflD0</t>
  </si>
  <si>
    <t>RT @ChairmanUtley: Retweet if you want to build the wall. 
Right now, migrants are about to crossover illegally into the US. https://t.co/…</t>
  </si>
  <si>
    <t>@Jimi971 @Beatlebaby64 @jenniferkrneta @juliematthews50 Oh Hey!  I got up about the same time!  I just didn't check in LOL</t>
  </si>
  <si>
    <t>@Sticknstones4 Supposed to say NAUGHTIES not nautiest ... Why can't we have a EDIT button?!?!</t>
  </si>
  <si>
    <t>Hi @jallman971 #JamieAllman
Looks like #TheYoungTurks want a piece of "the action" ~ see the quote
AND, Ana Kasparian says it "on air" &amp;amp; infers advertisers called the shots. AND wondering why it took so long...we know why... https://t.co/87Buwysfr6</t>
  </si>
  <si>
    <t>Did she maybe send him some naughtiest after they broke up?  Or, has she been sending naughtiest to some of her latest paramours, hmm?  Batter UP!  
https://t.co/VRkeNqEVDz</t>
  </si>
  <si>
    <t>@MarkReardonKMOX @scottfaughn This will make a horrifyingly excellent book</t>
  </si>
  <si>
    <t>The thick plottens ...
#Greitens #GreitensIndictment https://t.co/jwDXgq2GQ1</t>
  </si>
  <si>
    <t>Yes, it sure is.  
#MAGA
#MakeTheWorldGreatAgain https://t.co/LUtQFd2kHQ</t>
  </si>
  <si>
    <t>@Beatlebaby64 Interesting thread</t>
  </si>
  <si>
    <t>@Beatlebaby64 @charlesjaco1 "as far from Aryan as you could get..." If he only knew!  I can't see the tweet cuz the bitch blocked me</t>
  </si>
  <si>
    <t>@AP4Liberty @Beatlebaby64 @HawleyMO New video of @HawleyMO @AGJoshHawley at  a gym in Booneville, since his Columbia place was outed... https://t.co/rGIt8RQjo0</t>
  </si>
  <si>
    <t>🤣😁😄😃😅😀😆 https://t.co/3u13ZzQ5Mn</t>
  </si>
  <si>
    <t>That's like the worst schmack talk I've heard outta @AP4Liberty 's Twitter since he began.
👏👏👏Such a gentleman, our Austin is 👏👏👏
#FireClaire🔥 https://t.co/9WKs0ErIXe</t>
  </si>
  <si>
    <t>@anniefreyshow @Beatlebaby64 @Jimi971 @tonycolombo971 @rachelz971 LOL @JenEnnenbach you ain't somebody til you have auto-correct #Oopsies or spellin' errors.  I rarely spell "good" correctly, it's always goid</t>
  </si>
  <si>
    <t>@Beatlebaby64 @Jimi971 @jenniferkrneta @juliematthews50 Oh, I have 2-3 a nite.  Covers on.  Covers off.  Sheet on.  Covers on.  Covers off</t>
  </si>
  <si>
    <t>Holy cow, this just gets weirder and weirder.  And it's starting to 💥 blow up 💥
#KimShady @stlcao
#Greitens #GreitensIndictment 
#GuiltyInTheCourtOfMedia
@HereLiesMoon 🌛 https://t.co/LfDq5Y7hRm</t>
  </si>
  <si>
    <t>@VisioDeiFromLA @HennessySTL Of course!!  @AP4Liberty https://t.co/Lu2EsmR7yD</t>
  </si>
  <si>
    <t>RT @TheNewRight: We go live to the secret basement rage room of Scott Faughn: https://t.co/VH4G9r2kQ2</t>
  </si>
  <si>
    <t>Just when you couldn't guess which direction this whole #Greitens thing was gonna go...
#MediaCorruption
#GreitensIndictment
#MoLeg
@stlcao #KimShady
@staceynewman https://t.co/19yS0DVYK3</t>
  </si>
  <si>
    <t>@Jimi971 @jenniferkrneta @juliematthews50 @Beatlebaby64 🖐️I have</t>
  </si>
  <si>
    <t>@jenniferkrneta @Jimi971 @juliematthews50 @Beatlebaby64 LOLZ you two ~ like siblings!</t>
  </si>
  <si>
    <t>Any day now ... Spread the word!
#RadioFreeAllman #RFA
@jallman971 #JamieAllman
Who needs terrestrial radio when you have an App?
#RedHotPokerGang
Thanks for releasing Jamie from his shackles, @staceynewman ! https://t.co/0bo1oBE9xW</t>
  </si>
  <si>
    <t>@TheNewRight @AmfellinAlicia @jallman971 Beauty, eh</t>
  </si>
  <si>
    <t>I needs a hat like this. https://t.co/6g75gqAqP3</t>
  </si>
  <si>
    <t>This whole thread tho https://t.co/ePrZFkDhIG</t>
  </si>
  <si>
    <t>I'm speechless
#Greitens #GreitensIndictment @EricGreitens
@stlcao #KimShady #NoNotesTisaby #MoneyBagsAl @scottfaughn @MissouriTimes 
@HereLiesMoon 🌛 😹
And, on the outskirts of this bloodletting is @staceynewman 
Who's also tied to @jallman971 
#RadioFreeAllman #RFA https://t.co/UkOAFzO1go</t>
  </si>
  <si>
    <t>💖💖💖 https://t.co/uppmWdh1nJ</t>
  </si>
  <si>
    <t>RT @myhtopoeic: FUCK A NEW DEAL? FUCK ALL OF YOU SENATORS requesting a new deal with Iran.
They deserve nothing from the U.S.A., but a def…</t>
  </si>
  <si>
    <t>@internalmonolo2 Oh hell YEAH the media is complicit!</t>
  </si>
  <si>
    <t>@USA_AllenK @Margare03880660 @davis1988will @kelliwardaz @SenMajLdr @SpeakerRyan @FoxNews @GOP @realDonaldTrump ^^^what they said^^^</t>
  </si>
  <si>
    <t>Is it just me or is the talent on the Voice kind of lacking this season? Everyone's so operatic &amp;amp; one had waaaay too much head voice.
Oh, my poor ears.</t>
  </si>
  <si>
    <t>OMG!!  HAHAHAHAHAHAHA!!! https://t.co/HfvZBHtmOo</t>
  </si>
  <si>
    <t>RT @TomJEstes: I’m writing a book. To which lawyer do I give my 50K? I have it ready to go in a brown paper bag. #moleg</t>
  </si>
  <si>
    <t>Hmm?
#Greitens 
#GreitensIndictment 
@EricGreitens 
@stlcao 
#KimShady
#NoNotesTisaby
#MoneybagsAl
@HereLiesMoon 
#MoonValjean
@staceynewman 
#WitchHunt https://t.co/Pm93tX728L</t>
  </si>
  <si>
    <t>@Beatlebaby64 @Jimi971 @jenniferkrneta @juliematthews50 Nope!  Forgot I had asparagus left over, so I'm making fresh asparagus with a butter cream sauce over XL elbow mac</t>
  </si>
  <si>
    <t>Which made this whole that much more heinous.  She was doing a really nice thing for her neighbor's child &amp;amp; that douche canoe turned it in to something evil.</t>
  </si>
  <si>
    <t>@Jimi971 @jenniferkrneta @Beatlebaby64 @juliematthews50 No idea.  I have cream, butter and fresh parm though</t>
  </si>
  <si>
    <t>.#Hoggwash #CameraHogg
Desperately trying to stay relevant https://t.co/NJR40KuEp1</t>
  </si>
  <si>
    <t>It wasn't HER child, it was a neighbor's child.
#VeganAnger
@rachelz971 #DGS971</t>
  </si>
  <si>
    <t>Whuh
#LabGrownMeat
https://t.co/G0qEG3rIWA</t>
  </si>
  <si>
    <t>@Margare03880660 @TheNewRight (put a space between your hashtags, Mags! 😃😆)</t>
  </si>
  <si>
    <t>@CarlyRaePrEPsen @daumkeziah  https://t.co/vLOJnePen2</t>
  </si>
  <si>
    <t>You're WRONG.  The dress is STUNNING.
😍😍 https://t.co/YTTYzzDjsf</t>
  </si>
  <si>
    <t>They are trying to make you complacent.  
✋✋DON'T FALL FOR IT✋✋
It's Reverse Psychology ~ EVERYONE needs to vote!! https://t.co/WZOhimbxA2</t>
  </si>
  <si>
    <t>@cookie8010 Why wasn't the hired security firm checking patrons bags, persons for weapons?  People who went here said no one stopped them for a check.  They were standing along the walls, watching</t>
  </si>
  <si>
    <t>DOH!  #BallparkVillage is a #GunFreeZone.  And once again, SECURITY failed the patrons by not doing required security checks they were paid to do!  
This was not a #GunRights problem.  This was a PAID SECURITY COMPANY problem.
I hope Ballpark Village sues the Security firm! https://t.co/80eQ9nhN0a</t>
  </si>
  <si>
    <t>Shoot to kill.  Sorry.  This is an invasion. https://t.co/4fDmIzunqB</t>
  </si>
  <si>
    <t>@Black_Ocelot I don't know, I guess age did change her in subtle ways ... I just had a hard time reconciling that pic of her with Cardi B</t>
  </si>
  <si>
    <t>@Black_Ocelot She looks so DIFFERENT</t>
  </si>
  <si>
    <t>Did Sasha Obama have plastic surgery?  She looks Native American now.</t>
  </si>
  <si>
    <t>It's certainly true in #Missouri @marklevinshow, with the #MoGov #GreitensIndictment https://t.co/PhvmpayF3G</t>
  </si>
  <si>
    <t>@fox32news @tcarmistead Of course they're #stereotypes</t>
  </si>
  <si>
    <t>DAAAAAAAAAAAMN!  That's a "split" ~ marking #CageFighting off my bucket list 
I'm not squeem, but fuck...
@JackStoneMason @CageWarriors https://t.co/O0QaVzFuSV</t>
  </si>
  <si>
    <t>@TexAndBexar @HillaryClinton @RegionalPlan 🖐️🖐️🖐️🖐️🖐️🖐️🖐️🖐️🖐️🖐️🖐️🖐️
🖐️🖐️🖐️🖐️🖐️🖐️🖐️🖐️🖐️🖐️🖐️🖐️
🖐️🖐️🖐️🖐️🖐️🖐️🖐️🖐️🖐️🖐️🖐️🖐️
🖐️🖐️🖐️🖐️🖐️🖐️🖐️🖐️🖐️🖐️🖐️✋</t>
  </si>
  <si>
    <t>Hilz has a secret crush https://t.co/90iw30gQzU</t>
  </si>
  <si>
    <t>@HillaryClinton @RegionalPlan  https://t.co/jBQc9gNgYQ</t>
  </si>
  <si>
    <t>I 💗 @kbailey971 's laugh</t>
  </si>
  <si>
    <t>I was going to make a crack about the cigars, but folks might get the wrong impression ...
😂😆😃😀😆😂</t>
  </si>
  <si>
    <t>Spot on, @AskPadre ! https://t.co/SKPKiJxG7d</t>
  </si>
  <si>
    <t>Coming soon, to your mornings, afternoons &amp;amp; evenings!
(Probably with a shirt on, tho)
#RadioFreeAllman #RFA
#OperationHotPoker
#RedHotPokerGang
@jallman971 #JamieAllman https://t.co/aKquNL8ZpU</t>
  </si>
  <si>
    <t>But THIS is okay https://t.co/nDYmjeTbN0</t>
  </si>
  <si>
    <t>OMG @DonaldJTrumpJr 😆😂😀 https://t.co/e3THnD0kqf</t>
  </si>
  <si>
    <t>Preach, sisters!!
#OppressorHankJohnson
Wasn't he the numbskull who though Guam would tip over? https://t.co/FP0Bi9mPrJ</t>
  </si>
  <si>
    <t>RT @RealJamesWoods: They hate @PressSec Sarah Huckabee Sanders because she represents every aspect of American womanhood that we admire: in…</t>
  </si>
  <si>
    <t>@RealEagleWings @KrisVanh0use SHOOT THEM ALL DEAD ~ LEAVE THEIR BODIES THERE AS A MESSAGE</t>
  </si>
  <si>
    <t>@Jimi971 @Beatlebaby64 @jenniferkrneta @juliematthews50 Good Morning Jimi P!</t>
  </si>
  <si>
    <t>People are freaking out about the tree - it was removed &amp;amp; put in quarantine, as per Customs.  It will be back.  This was the photo opp, then the tree was quiet removed. https://t.co/uSYph6ladN</t>
  </si>
  <si>
    <t>@Breaking911 @JackPosobiec Now the trees are all kept equal, with hatchet, axe &amp;amp; sword ...</t>
  </si>
  <si>
    <t>RT @GovMikeHuckabee: After seeing the young female hired to verbally bully anyone who worked for @realDonaldTrump I now understand why eati…</t>
  </si>
  <si>
    <t>What happens on the #LibertyBus STAYS on the #LibertyBus @AP4Liberty @jeffreyscarson 
@MarcCox971 #MCS971
@971FMTalk 
@kbailey971 https://t.co/6TaMgH4X82</t>
  </si>
  <si>
    <t>Note:. #GunFreeZone
 https://t.co/prBQ2NwfuJ</t>
  </si>
  <si>
    <t>@TerryMoran Or talks out of one side of her mouth...whoops, that's mean.</t>
  </si>
  <si>
    <t>@Bren05_ ...at 10:30pm.  After "introducing" itself all day long 😀😆😃</t>
  </si>
  <si>
    <t>@ninekiller @jallman971 @TheGrandelSTL We've been picked up to do another ghost hunt there!</t>
  </si>
  <si>
    <t>JESUS H ROOSEVELT CHRIST ~ my backyard neighbor 2 doors over has a new dog that's afraid of EVERYTHING.  When he's outside he's barking 90% of the time
It's 10:20p &amp;amp; he's been angry-barking for 15 min. 
If you're not going to train a dog, don't get a fucking dog
PERIOD.</t>
  </si>
  <si>
    <t>RT @FLOTUS: Heartened to see children affected by tragedy using their voices to try and create change. Wonderful to meet and speak with Sto…</t>
  </si>
  <si>
    <t>Now WHY would she do that?? https://t.co/ul00cyc1w4</t>
  </si>
  <si>
    <t>@FascinatingVids It is gorgeous but you have to win the daily lottery to go there ~ we wanted to go but the parameters are too narrow.</t>
  </si>
  <si>
    <t>RT @pollsofpolitics: Do you Approve of @realDonaldTrump's performance as @POTUS???
Vote and retweet to spread poll!! #TheResistance #MAGA…</t>
  </si>
  <si>
    <t>But...in 4 days I go to Memphis then Nashville then Louisville!!</t>
  </si>
  <si>
    <t>I'm sunburned.  I'm exhausted.  Back hurts, 2 Aleve on board.  I want to go to bed, but ... UGH ... laaaaundry</t>
  </si>
  <si>
    <t>RT @GooN849: Donated my Federal tax return to @AP4Liberty campaign, because Congress needs more liberty minded folks such as himself who wo…</t>
  </si>
  <si>
    <t>It made me want to stop MY gun crimin' https://t.co/1jWgfBr7qf</t>
  </si>
  <si>
    <t>Not only no but HELL no... https://t.co/tcpFNSLzmS</t>
  </si>
  <si>
    <t>RT @KevinJacksonTBS: So classy @PressSec watched #Democrats destroy themselves with #MeToo and every other feminist LIE! Nov 2018 cometh!</t>
  </si>
  <si>
    <t>Wait a second.  Back the hell up.
LAB-GROWN MEAT??? https://t.co/UqPD55AkF5</t>
  </si>
  <si>
    <t>So if you're considering being a #vegan, you apparently have to sell your soul &amp;amp; become a heartless tool.
I don't think anyone hipped this poor girl to that fact when she bought her non-vegan neighbor child an ice cream. https://t.co/yqtzJYmxG4</t>
  </si>
  <si>
    <t>@juliematthews50 @RoyBlunt @EricGreitens I ran out to characters ~ pfft characters.  I also forgot @HereLiesMoon  and #HereKittyKitty 😺</t>
  </si>
  <si>
    <t>@7AnthonyDagher7 Lesson to be learned from this whole thread:
EAT MEAT SO YOU DON'T HAVE TO BE A VEGAN LOSER HATER DOUCHE CANOE.
I guess to be part of the #VeganClub you have to lose your soul and your empathy.
No thanks (noms on a meaty bratwurst)</t>
  </si>
  <si>
    <t>Thank you @RoyBlunt ! Let's not convict @EricGreitens before a trial.
This whole #GreitensIndictment defines "sketchy"
✔️Witness deposition contradicts
     House stmt
✔️No Victim
✔️No Evidence
✔️Envelopes of cash 
✔️Rumours if George Soros
✔️Shady Prosecutor https://t.co/FW18VaDh9z</t>
  </si>
  <si>
    <t>@juliematthews50 @Beatlebaby64 It was super windy that evening!</t>
  </si>
  <si>
    <t>@Beatlebaby64 @juliematthews50 We're all so cute.  Like Allman's Angels 😇😇😇</t>
  </si>
  <si>
    <t>RT @ScottPresler: When democrats go low, we go to the polls. 
I promise I'll be voting on Tuesday, November 6th, 2018. 
#MichelleWolf #WHCD</t>
  </si>
  <si>
    <t>@juliematthews50 @Beatlebaby64 @Sticknstones4 @Jimi971 @jenniferkrneta @kbailey971 It's okay Jules.  You learn more life lessons in every place you go.</t>
  </si>
  <si>
    <t>@Jimi971 @Sticknstones4 @Beatlebaby64 @jenniferkrneta @juliematthews50 @kbailey971 Yeah ~ I responded.  That's awful, someone's surveyed right through there.  Should be records if the Town council has blighted the area</t>
  </si>
  <si>
    <t>@juliematthews50 @Sticknstones4 @Jimi971 @Beatlebaby64 @jenniferkrneta @kbailey971 @WaverlyHills Combat boots.</t>
  </si>
  <si>
    <t>And he still doesn't know what to do with those big, awkward hands
(Although, it appears they're good for holding sammiches) https://t.co/PuOGtoFG7c</t>
  </si>
  <si>
    <t>That's a comedian?  People pay her to make then laugh?  She has to read a script?! https://t.co/RvJk3olr1g</t>
  </si>
  <si>
    <t>@juliematthews50 @Sticknstones4 @Jimi971 @Beatlebaby64 @jenniferkrneta @kbailey971 @WaverlyHills The field is the place to be (if you just want to party &amp;amp; don't give a fig about the ponies)</t>
  </si>
  <si>
    <t>@Jimi971 @juliematthews50 @Sticknstones4 @Beatlebaby64 @jenniferkrneta @kbailey971 @WaverlyHills LOLZ I should wear a bonnet in the Sanatorium</t>
  </si>
  <si>
    <t>@Jimi971 @Sticknstones4 @Beatlebaby64 @jenniferkrneta @juliematthews50 @kbailey971 Although the @KentuckyDerby is the same day #UGH</t>
  </si>
  <si>
    <t>@Jimi971 @Sticknstones4 @Beatlebaby64 @jenniferkrneta @juliematthews50 @kbailey971 Ghosting!
https://t.co/ZzYMiQE6ig</t>
  </si>
  <si>
    <t>@Beatlebaby64 @Jimi971 @jenniferkrneta @juliematthews50 @kbailey971 😁😀😆</t>
  </si>
  <si>
    <t>@juliematthews50 @Sticknstones4 @Jimi971 @Beatlebaby64 @jenniferkrneta @kbailey971 Everyone else will be at The Derby.  Jenn &amp;amp; me?  @WaverlyHills getting our ghosts on</t>
  </si>
  <si>
    <t>@Sticknstones4 @Jimi971 @Beatlebaby64 @jenniferkrneta @juliematthews50 @kbailey971 I'll be in Louisville for #CincoDeMayo ... 😉😉😉</t>
  </si>
  <si>
    <t>@Beatlebaby64 @Jimi971 @jenniferkrneta @juliematthews50 @kbailey971  https://t.co/dflCwyAcn3</t>
  </si>
  <si>
    <t>Someone's got @PressSec living in her head, rent-free https://t.co/R4jn6Cogpy</t>
  </si>
  <si>
    <t>Oh OUCH! https://t.co/K4lNnJvDBN</t>
  </si>
  <si>
    <t>Common sense https://t.co/SQWvFLyVWC</t>
  </si>
  <si>
    <t>The #MediaDoubleStandard was glaring https://t.co/7zvQKUgZGv</t>
  </si>
  <si>
    <t>Reminder to everyone https://t.co/vJB9B1sS3h</t>
  </si>
  <si>
    <t>Ha!  @NBC softening? https://t.co/6BrZFtJy0D</t>
  </si>
  <si>
    <t>Yeah @PressSec, what @ScottPresler said.  "Just words" &amp;amp; by those words you can tell you're #winning
Be strong Sarah https://t.co/GTYIUwlOXU</t>
  </si>
  <si>
    <t>@Sticknstones4 @staceynewman @jallman971 She's a good DEMONcrat soldier, ya gotta believe that 😯</t>
  </si>
  <si>
    <t>OMG.  You're RIGHT! She fits the demographic! https://t.co/fcoRCLxeN2</t>
  </si>
  <si>
    <t>@88YahamaKeys @Beatlebaby64 @stltoday @ATeamMom1 @TheNewRight @jallman971 @Pantszilla77 @ninekiller  https://t.co/oXsfVuJ4Wr</t>
  </si>
  <si>
    <t>@Jimi971 @Beatlebaby64 @jenniferkrneta @juliematthews50 Whew!  Lack o'sleep Fri-Sat bc of Bottleworks caught up to me.  4 small margaritas &amp;amp; my comfy couch &amp;amp; by 9:30 I was OUT!  Got so much to do to prepare for NASHVILLE next week, unless @kbailey971 's Beau burned the lace to the ground...</t>
  </si>
  <si>
    <t>@kbailey971 I saw you on your test drive 😆😆 https://t.co/dAKjEIoDUY</t>
  </si>
  <si>
    <t>I never saw this bc @staceynewman  blocked me early on (expected ~ she can't handle the truth).
But I don't know if @jallman971 #JamieAllman has this in his collection yet?
#RadioFreeAllman #RFA https://t.co/dOR664ikWi</t>
  </si>
  <si>
    <t>This old rag ~ being the only paper in town has its advantages, like no competition, I guess
@stltoday #PostDisgrace
#WhereNewsGoesToDie https://t.co/8QVv0WRz5R</t>
  </si>
  <si>
    <t>@88YahamaKeys @stltoday @ATeamMom1 @TheNewRight @jallman971 @Pantszilla77 @ninekiller Even Hillary agrees with you @88YahamaKeys https://t.co/MkDiYfNxoG</t>
  </si>
  <si>
    <t>Sunday #SickBurn https://t.co/seZSr8hMSB</t>
  </si>
  <si>
    <t>@peddoc63 Still got you in Missouri</t>
  </si>
  <si>
    <t>RT @KurtSchlichter: Joy Reid has a job but Admiral Ronny Jackson was denied one.
Fuck you media.</t>
  </si>
  <si>
    <t>This song is perfection, in my car, through the Bluetooth, volume way up.  Made Bill listen while I sang along, kicked off my shoes...
@ninekiller https://t.co/ScH6AwT4h4</t>
  </si>
  <si>
    <t>RT @SebGorka: She’s as tolerant as you and your Obama cronies were. 
You are a liar and a coward. 
A disgrace to the Republic and deserve…</t>
  </si>
  <si>
    <t>This is beyond maddening 😠😡😡😠😡😠😡
@AP4Liberty 
#Obamacare
#DeathPanels https://t.co/n0gKih3p7B</t>
  </si>
  <si>
    <t>@markmeyer11 Yes, but you can listen when you want.  I always missed most of the 5am hr anyway &amp;amp; sometimes it was replay of content I'd heard in the 8am hr.  With a bunch of commercials, traffic, news &amp;amp; weather.
Be careful #AllmanJunkies.  We're about to get pure product 😉😉😉</t>
  </si>
  <si>
    <t>Whooooop!! https://t.co/Cg9nyuLmRd</t>
  </si>
  <si>
    <t>Start here, read through the thread.  It will get monotonous, but ...
😀😅🤣😁 https://t.co/Jbp6ujAqub</t>
  </si>
  <si>
    <t>@markmeyer11 @jallman971 @AmfellinAlicia Jesus H Roosevelt Christ ~ at least we have him!</t>
  </si>
  <si>
    <t>He's moving right along, our @realDonaldTrump @POTUS is. https://t.co/GCkxW65ivt</t>
  </si>
  <si>
    <t>I'm so sick of this #Greitens witch hunt!  
#GuiltyInTheCourtOfMedia
@HereLiesMoon 🌛
#GreitensIndictment 
@EricGreitens #MoGov https://t.co/m87uNnmd2P</t>
  </si>
  <si>
    <t>Come get you some Allman.
#RadioFreeAllman #RFA
@jallman971 #JamieAllman
#OperationHotPoker #RedHotPokerGang https://t.co/LicTb3IHTo</t>
  </si>
  <si>
    <t>RT @SebGorka: Looks like @kanyewest has a spine. 
Isn’t going to go all wobbly on us and do a @ShaniaTwain. 
2018 is going to get VERY in…</t>
  </si>
  <si>
    <t>@JJCarafano Good to know!  We head to the North Rim for a couple of days in July !</t>
  </si>
  <si>
    <t>@ninekiller Following along with the lyrics, I'm stunned by the beauty &amp;amp; complexity of it ~ are ALL your songs this way?</t>
  </si>
  <si>
    <t>@ninekiller @juliematthews50 Been trying to perfect the Axl sway for years.</t>
  </si>
  <si>
    <t>@ninekiller @juliematthews50 Oh, I hate shoes.  No problem there</t>
  </si>
  <si>
    <t>Another good man the @nytimes  assisted in "killing"
Right @jallman971 ??
#Unchained
#RFA #RadioFreeAllman https://t.co/ngQ0pVeNsx</t>
  </si>
  <si>
    <t>@ninekiller @juliematthews50 I'd sway</t>
  </si>
  <si>
    <t>I need more ~ heard this 5-6 times since 3am...
#IWantMoreNinekiller https://t.co/ScH6AwT4h4</t>
  </si>
  <si>
    <t>@Beatlebaby64 .@AmfellinAlicia ~ so folks don't do the Facebooks so we need to push this &amp;amp; how to listen in other formats</t>
  </si>
  <si>
    <t>@TheNewRight @jallman971  https://t.co/ik0Ig8vD39</t>
  </si>
  <si>
    <t>.#AustinPetersenForSenate
#APForLiberty
@AP4Liberty 
#FireClaire🔥
#MoSen
#LetsDoThis https://t.co/uX3RrofE9h</t>
  </si>
  <si>
    <t>@AmfellinAlicia @jallman971 Alicia ~ need to know!  How?  Where?</t>
  </si>
  <si>
    <t>Snagged this off Facebook.  The "how" &amp;amp; "where" I don't know yet
#RadioFreeAllman #RFA 
@jallman971 #JamieAllman https://t.co/wzaWXdEtJd</t>
  </si>
  <si>
    <t>@ninekiller I'm so digging all the layers to this song 9K.  Very well done !</t>
  </si>
  <si>
    <t>Thank the Lord...I'm home safe.  Up at 5:30a, work til 430, rush home &amp;amp; then dwtn.  Two walking tours,bthen the overnight in the big, behemoth Lemp Bottleworks until 230, trying to not fall asleep on the drive home
😴😴😴</t>
  </si>
  <si>
    <t>Still don't have an answer for @staceynewman on whether or not her job is to harass her constituency https://t.co/DfPNEecJSu</t>
  </si>
  <si>
    <t>Obfuscation is @staceynewman middle name
#IStandWithJamieAllman #JamieAllman #RFA #RadioFreeAllman https://t.co/wOyWybQFYu</t>
  </si>
  <si>
    <t>Oooh!  Oooh!  Is the answer YES?!  
#RedHotPokerGang
#OperationHotPoker 
#PokerTweet
#RoyalFlush https://t.co/Zm7Ch5LOpe</t>
  </si>
  <si>
    <t>Yeah, not havin' any of it.  Y'all go on with your hate and boycott.  I stay loyal to ALL my friends, I don't pick &amp;amp; choose.  I lived this long without y'all.  I can go on living longer without your negativity.  I don't see this as a bad thing.  I see this as OPPORTUNITY.</t>
  </si>
  <si>
    <t>Dime-Store trash novel!
#Greitens #GreitensIndictment 
#KimShady #NoNotesTisaby 
@stlcao #FireKimGardner #DisbarKimGardner #MoneyBagsAl
@EricGreitens @HereLiesMoon 
#MoonValjean #WilliamDonTisaby
#AnotherCorruptFBIAgent https://t.co/pnZ52VnVTR</t>
  </si>
  <si>
    <t>✔️Win over China
✔️Get S Korea on board
✔️Bring Kim around
💥💥SK &amp;amp; NK talks!💥💥
✔️Woo France
✔️Get Merkel on board
...what's up @POTUS sleeve?! 
👏👏👏👏👏👏👏👏👏👏👏
 https://t.co/rIAG7ldJGe</t>
  </si>
  <si>
    <t>RT @camanpour: South Korea’s Foreign Minister tells me in Seoul that “clearly credit goes to President Trump” for bringing North Korea to t…</t>
  </si>
  <si>
    <t>Just ... just #STFU.  Do like I do for my soft, baby fine hair that won't tolerate that hotel stuff.
👏BRING👏YOUR👏OWN👏SHIT👏
My God.  Do you have to have everything explained to you?? https://t.co/RQnt713zUA</t>
  </si>
  <si>
    <t>No shit https://t.co/UAAwx1woQf</t>
  </si>
  <si>
    <t>Git my new airpop popcorn machine today from @amazon 
This is going to get interesting
#RedHotPokerGang
#RadioFreeAllman
#Metaphor
#MediaDoubleStandard
@staceynewman https://t.co/Zm7Ch5LOpe</t>
  </si>
  <si>
    <t>RT @TheNewRight: glorious https://t.co/ZrfUaJ0VTO</t>
  </si>
  <si>
    <t>Odd how Mellon "overdosed" after committing to be Milo's financial backer ...  but that's just me
 https://t.co/DBrIs79ZkK</t>
  </si>
  <si>
    <t>SCHWING!!! https://t.co/K6hAbAzLQy</t>
  </si>
  <si>
    <t>Will he produce IRS form 8300 "Currency Transaction Report" for the unspecified $100k donation?  Hate to be accused of #MoneyLaundering on top of everything else that's wrong with this #Greitens case #MoneyBagsAl #AlWatkins 
Source: @IRStaxpros #IRS https://t.co/qq7wirBTac https://t.co/5MFC0r5gML</t>
  </si>
  <si>
    <t>Well, @EagleEdMartin ...??
@AP4Liberty #FireClaire🔥
#APForLiberty
#AustinPetersenForSenate
#PetersenWithAnE 😆 https://t.co/7IsiVdIOLA</t>
  </si>
  <si>
    <t>Our next #MissouriSenator, @AP4Liberty with @McGrawMilhaven this morning 
#FireClair🔥
#APForLiberty
#AustinPetersenForSenate
#PetersenWithAnE
@clairecmc 
#ClaireBear https://t.co/squ6WHvYmP</t>
  </si>
  <si>
    <t>@HCoil @AP4Liberty @McGrawMilhaven @550KTRS Did you figure out the bus situ? 😆😀</t>
  </si>
  <si>
    <t>RT @JackPosobiec: BREAKING: Clapper admitted he leaked the dossier brief to Jake Tapper
We now know CNN put our entire national security a…</t>
  </si>
  <si>
    <t>This is YOOG 
I wonder how many news sources will be there to report or will they send the cubs?
#MoneyBagsAl
#Greitens #GreitensIndictment #KimShady #NoVictimNoEvidence
#NoNotesTisaby @HereLiesMoon 🌛😺 https://t.co/E2ASgpTThF</t>
  </si>
  <si>
    <t>RT @KurtSchlichter: Or not https://t.co/awY9WOX7Yx</t>
  </si>
  <si>
    <t>FRIENDS:. If you're going to hit RETWEET, please consider Retweet With Comment, even if you just leave a heart or laughing face.
For "reasons" 😉😉😉</t>
  </si>
  <si>
    <t>@AskPadre @TheNewRight @charlesjaco1 @STLsherpa @stltoday @staceynewman @jallman971 LOLOLOLOL OF COURSE!  Right where he always wished he could be!</t>
  </si>
  <si>
    <t>@TheNewRight #NothingCanStopMe
#ImAllTheWayUp
https://t.co/X2PhEqygqj</t>
  </si>
  <si>
    <t>@TheNewRight @charlesjaco1 @STLsherpa @stltoday @staceynewman @jallman971 Died.  The little hijab-Charles did me in</t>
  </si>
  <si>
    <t>Maybe it's a good time to remind y'all of Hume's initial work on the @jallman971 #JamieAllman situation.
READ THIS THREAD.  It's all tied to the @staceynewman stuff I just RT'd
#Unchained #Metaphor #RFA #RadioFreeAllman #HoggWash https://t.co/48cXWP8m2m</t>
  </si>
  <si>
    <t>This whole thing, while on the surface, seemed tragic for @jallman971 #JamieAllman,
it's actually a blessing #Unchained
Could pose a problem for #TweetSniper @staceynewman #StaceyNewman &amp;amp; others though
#RFA #RadioFreeAllman
#IsThisYourJob
#DefineEfforts 
#INSIST https://t.co/K3o981vqtV</t>
  </si>
  <si>
    <t>@TheNewRight I'm starting to thing @staceynewman is a bot.  Everything in her page (before she blocked me) was bot-postings.  Even her responses seem bot-like ("for our kids")</t>
  </si>
  <si>
    <t>@TheNewRight  https://t.co/Qk9AkAcGg4</t>
  </si>
  <si>
    <t>"WE DID IT"
When I initially read this, I envisioned @staceynewman doing her best #ElleWoods in a mirror
But we know movie quotes &amp;amp; #metaphors can get you FIRED 
#IsThisYourJob
#TheTweetSniper
@jallman971 #JamieAllman #RFA #RadioFreeAllman #Unchained  #INSIST https://t.co/2aroujZHpF</t>
  </si>
  <si>
    <t>Again that old #ScudStud @charlesjaco1 sticks his bulbous nose in, trying to stay relevant
AND @STLsherpa @stltoday repeats the LIE about #SexualAssault 
AND @staceynewman's role is reaffirmed in this farce
@jallman971 #JamieAllman #RFA #RadioFreeAllman #metaphor #Insist https://t.co/tAW8ucTlR8</t>
  </si>
  <si>
    <t>"Efforts Will Continue"
What "efforts" @staceynewman ?  
#IsThisYourJob?
#WhatDoYouDoAllDay?
#TheTweetSniper
#DefineEfforts
@stltoday @RachelDRice 
@jallman971 #JamieAllman #RFA #RadioFreeAllman #Unchained 
#metaphor #INSIST https://t.co/MbsvzXoFX3</t>
  </si>
  <si>
    <t>Ope, never let a good crisis go to waste, right @staceynewman @RachelDRice?!  
#PoundOfFlesh
#DidYouLie
#IsThisYourJob
#MediaDoubleStandard
@jallman971 #JamieAllman #RFA #RadioFreeAllman #Unchained 
#metaphor #INSIST https://t.co/RkjKMiYiTe</t>
  </si>
  <si>
    <t>@AnAceofSwords @AP4Liberty 😀😆😉</t>
  </si>
  <si>
    <t>It's so self-congratulatory, it's sickening.  Doesn't @staceynewman have actual WORK to do than target conservatives free speech &amp;amp; #metaphors? 
@stltoday @RachelDRice 
#MediaDoubleStandard
@jallman971 #JamieAllman #RFA #RadioFreeAllman #Unchained #INSIST https://t.co/nGVVrUzUCD</t>
  </si>
  <si>
    <t>Nope.  Not retweeting with @staceynewman added and a bunch of hashtags about her 
#DidYouLie
#IsThisYourJob
#DamageControl
#PowerTrip
@jallman971 #JamieAllman #RFA #RadioFreeAllman #Unchained
#Metaphor #Context #INSIST https://t.co/Csp9X4vj75</t>
  </si>
  <si>
    <t>As your state representative, is @staceynewman ALLOWED to block her constituency after she slanders them?
Asking for a friend
@jallman971 #JamieAllman #RFA #RadioFreeAllman 
#Metaphor #INSIST https://t.co/oKmhx0Iszo</t>
  </si>
  <si>
    <t>She was FOR it before she was AGAINST it ~ for political hay
@elizabethforma #FAUXcahontas #LIEawatha #Monsantohontas
#HowTheLeftDo
#LiberalHipHopcrasy https://t.co/ixt5u0gpNC</t>
  </si>
  <si>
    <t>Not sure the #FakeNews wants to cross @DiamondandSilk https://t.co/UB2qSgcb6X</t>
  </si>
  <si>
    <t>Planning to watch this masterful #FAIL at lunch today
#JamesComey
#Comey
#ReleaseTheTexts 
#FBICorruption https://t.co/m2nieY8C7C</t>
  </si>
  <si>
    <t>Have you seen this man??
#MoneyBagsAL has 😉😉
#Greitens #GreitensIndictment @EricGreitens #KimShady #NoNotesTisaby 😺🌛
@HereLiesMoon @HubbardRadio 
#GuiltyInTheCourtOfMedia https://t.co/Ea5lxY5ud4</t>
  </si>
  <si>
    <t>Spread this FAR &amp;amp; WIDE.  Tell your grandma.  Tell your college kids.  Tell your military family.  TELL EVERYONE!  #CleanMissouri is NOT about nature, the rivers.  
THIS IS ABOUT TAKING AWAY YOUR VOICE IN MISSOURI, WRAPPED IN FLOWERY LANGUAGE! https://t.co/Tv26Cv8CMo</t>
  </si>
  <si>
    <t>RT @Beatlebaby64: You are the best MommaK!
Could the night get any better @AP4Liberty and the AP Pals!!!! https://t.co/LJfswHmOBx</t>
  </si>
  <si>
    <t>@juliematthews50 Nah, Jeff did a good job taking up only 1 lane 😉</t>
  </si>
  <si>
    <t>I'm rollin' 😂😀🤣😃😅😃😄😉😀😆😂😁😀😃🤣😁 https://t.co/Ea5lxY5ud4</t>
  </si>
  <si>
    <t>The Freedom Bus!  Smells manly, in a good way, like cigars. https://t.co/sKbvExE6DC</t>
  </si>
  <si>
    <t>.@AP4Liberty #AustinPetersenForSenate
#APForLiberty
#FireClaire🔥 https://t.co/B1AHDJx2OS</t>
  </si>
  <si>
    <t>.@AP4Liberty #AustinPetersenForSenate 
#APForLiberty
#FireClaire🔥
#MoSen
@Beatlebaby64 https://t.co/si4gGCmUPK</t>
  </si>
  <si>
    <t>My turn!  Our next Senator from Missouri, who will send #ClaireBear to a retirement home
@AP4Liberty 
#FireClaire 🔥 https://t.co/Fw5ynFqKuD</t>
  </si>
  <si>
    <t>She's so adorbs, our @Beatlebaby64  is, with @AP4Liberty 
#FireClaire🔥 https://t.co/qJkWNtIqCS</t>
  </si>
  <si>
    <t>RT @BossHoggUSMC: Bret Baier just #Schlonged Comey. Guys, it's not looking good for Croney. Now it's time to #ReleaseTheTexts</t>
  </si>
  <si>
    <t>This is not what we pay you to do, sir https://t.co/FZPY67fbfk</t>
  </si>
  <si>
    <t>RT @STLPRS: https://t.co/W6PJI8HBLm https://t.co/W6PJI8HBLm</t>
  </si>
  <si>
    <t>Just hanging out with @AP4Liberty at @LlywelynsPubs in Winghaven
#FireClaire🔥
#APForSenate
#MoSen</t>
  </si>
  <si>
    <t>Wait...@WillemDafoe is the #MoneyCourier?!
#MoneybagsAl
#KimShady
@HereLiesMoon https://t.co/bGQuz4l6ii</t>
  </si>
  <si>
    <t>@for_congress @EricGreitens @HereLiesMoon @staceynewman Ruh-Roh!  This doesn't bode well for her and the subpoena for her phone if true!  Now we know why the judge admonished the attorneys for KS &amp;amp; PS about dumping evidence from their phones!!</t>
  </si>
  <si>
    <t>RT @magathemaga1: @inthejungle234 Why doesnt @MariaChappelleN resign if bob burns has to resign?
#moleg #mogov https://t.co/DJgegDetX5</t>
  </si>
  <si>
    <t>Sharing even further ! https://t.co/c0FS8or3m8</t>
  </si>
  <si>
    <t>@Drumrunner2012 This is unbelievable!</t>
  </si>
  <si>
    <t>One of my work/neighbors just tried to scoot past my office with a 4-month old bulldog named Daisy
OMG so ADORBS 💖💖💖</t>
  </si>
  <si>
    <t>Mental illness.  Or art. https://t.co/MFgBuHbRxD</t>
  </si>
  <si>
    <t>...and the horses you rode in on, you Commie pinko fags! https://t.co/b6YTILZNms</t>
  </si>
  <si>
    <t>@TheNewRight He's in need of some tissues and a cry room</t>
  </si>
  <si>
    <t>@TheNewRight @jallman971 "This ain't gonna be fun".  You know it's gonna be EFFING fun!</t>
  </si>
  <si>
    <t>RT @TheNewRight: if there’s any question as to whether what happened to @jallman971 can happen on the left - check out what’s up with @JoyA…</t>
  </si>
  <si>
    <t>RT @realDonaldTrump: HAPPY BIRTHDAY to our @FLOTUS, Melania! 
https://t.co/rYYp51mxDQ https://t.co/np7KYHglSv</t>
  </si>
  <si>
    <t>Oh please oh please oh please
@ThatMetalShow 
@EddieTrunk 
@realdonjamieson 
@Mrjimflorentine https://t.co/09V3p3sMKl</t>
  </si>
  <si>
    <t>Let's #FireClaire🔥 and add some #CommonSense &amp;amp; #Patriotism back to the #MoSen
Vote for @AP4Liberty 
#AustinPetersenForSenate https://t.co/tUQilSKCNl</t>
  </si>
  <si>
    <t>Welcome to St Louis CITY everyone!
@stlcao @LydaKrewson https://t.co/ySxdxSUg4w</t>
  </si>
  <si>
    <t>Lucky People 😎😎
@rivalsons @RivalDaughters 
@rivalsonsrock @RivalSonsUSA 
@RivalsonsSC @RivalSonsFrance https://t.co/XvdQdSxz8n</t>
  </si>
  <si>
    <t>.#MCS971 @MarcCox971 
@denysschaefer 
@Tricia_971 
@kbailey971 https://t.co/bnijiYs7iX</t>
  </si>
  <si>
    <t>How do I drive &amp;amp; have an #eyegasm? https://t.co/ncrQd5F78c</t>
  </si>
  <si>
    <t>@Beatlebaby64 @ATeamMom1 @jallman971 Yeah, me?  Gloria Vanderbilt jeans (size 10 bc I was so tall), a concert t and a flannel.</t>
  </si>
  <si>
    <t>Say "NO!!" to the #OutrageMafia!
@WeAreSinclair @Entercom 
@KMOV @ksdknews @FOX2now 
@stltoday https://t.co/vQ0JQB4XTB</t>
  </si>
  <si>
    <t>@SpeakerTimJones @GovJayNixon Obstructionists on the Left are heroes, Tim.</t>
  </si>
  <si>
    <t>This war is REAL &amp;amp; incredibly, it's building strength.
@MarcCox971 @SpeakerTimJones @AP4Liberty @Monetti4Senate 
#PostModernism
#KnowYourEnemy
@staceynewman 
#ClaireBear
https://t.co/WVxM0tAG4S</t>
  </si>
  <si>
    <t>We should ALL know our enemy.  Give this your time today
And @WeAreSinclair @Entercom
you two, especially
@jallman971 #JamieAllman
#RadioFreeAllman #RFA
https://t.co/WVxM0tAG4S</t>
  </si>
  <si>
    <t>@AskPadre @jallman971 @TheNewRight @Beatlebaby64 OMG that madvmy day &amp;amp; it's only 6:45am</t>
  </si>
  <si>
    <t>RT @BossHoggUSMC: The latest BossHoggUSMC Patriot Daily! https://t.co/6JrQ2xgL6K Thanks to @GedesBru #tcot #maga</t>
  </si>
  <si>
    <t>Yep ~ city meters.  I parked on Cherokee just before 7p, learned THAT lesson.  Got the Parking App, never happened again 😉
#MCS971 
@MarcCox971</t>
  </si>
  <si>
    <t>@ATeamMom1 @jallman971 😂😂😂😂</t>
  </si>
  <si>
    <t>@ATeamMom1 Some newb, she was all over the Greitens "details" as if they're from a trial transcript.  Friggin' idiot.  51 followers, followed 17, no picture.  Bye-Bye-Bye https://t.co/OaTkNmdyfa</t>
  </si>
  <si>
    <t>So, what's with all the promoted ads all of a sudden on my Twitter feed?  The last day or two I've been inundated with them AGAIN</t>
  </si>
  <si>
    <t>Holy Hell ~ Clinton appointee #CarenTurner tries to bully police after her daughter &amp;amp; friends are pulled over ~ #DuctTape your head
https://t.co/WIW3Q4dXbU</t>
  </si>
  <si>
    <t>Ha!  I love love love @FLOTUS and her wicked sense of humor https://t.co/nBJlVX8xLY</t>
  </si>
  <si>
    <t>RT @Jamierodr10: @chuckschumer Obama seemed to have no problems with Dr. Ronny Jackson. What seems to be the problem? Oh yeah, You love to…</t>
  </si>
  <si>
    <t>RT @magathemaga1: 🚨 #MoneyBagsAl UPDATE 🚨 
#MoLeg issued subpoena 2 Watkins in #Greitens case about anonymous 100k 
Watkins, who publiciz…</t>
  </si>
  <si>
    <t>RT @MissouriGOP: Before you sign any petitions, read @HannahKellyMO’s editorial about the true intentions of Clean Missouri: https://t.co/L…</t>
  </si>
  <si>
    <t>RT @SpeakerTimJones: Yeah. Because all we need to do to fix the 50+ years of ongoing education failure in STL, KC &amp;amp; other crappy school dis…</t>
  </si>
  <si>
    <t>@TheNewRight bahahahaha!!!</t>
  </si>
  <si>
    <t>Nothing says bonding with your kid than removing back-ne</t>
  </si>
  <si>
    <t>RT @TheALX: Wow @ali really called that one. https://t.co/bMKwF7TnnD</t>
  </si>
  <si>
    <t>Man, I wish I had all day t watch @Dloesch! https://t.co/GofMXJK1ve</t>
  </si>
  <si>
    <t>RT @KatTheHammer1: .@seanhannity CALLS OUT FAKE NEWS FOR THEIR SALACIOUS "STORIES"!
SO HERE THEY COME WITH A SMEAR CAMPAIGN!! 
RETWEET IF…</t>
  </si>
  <si>
    <t>Interesting: "Greitens repeatedly has complained about the “liberal prosecutor” who filed the charge against him. Given her handling of the case so far, Gardner may turn out to be his best friend."
 https://t.co/4b3styctfn</t>
  </si>
  <si>
    <t>"There are no other right if you cannot defend them"
#2A https://t.co/0yXSVY7onc</t>
  </si>
  <si>
    <t>Another bitch BLOCKED</t>
  </si>
  <si>
    <t>@MaryBenoist @EricGreitens @HereLiesMoon Bye</t>
  </si>
  <si>
    <t>Dude's, @jallman971 #JamieAllman at a photo shoot ~ check him out!!
#ThoseMovesYo
#RFA #RadioFreeAllman
https://t.co/zuDHH70uVq</t>
  </si>
  <si>
    <t>@CiKeller @Margare03880660 @MerseyPolice First they came for your guns &amp;amp; no one said anything because it was in everyone's best interest.  Next they came for your freedom of speech...</t>
  </si>
  <si>
    <t>@TheNewRight @EdgeWildSTL @jallman971 .@Aerosmith</t>
  </si>
  <si>
    <t>@MaryBenoist @EricGreitens @HereLiesMoon I'm well aware.  This city sucks for secrets.  Especially with all the Democrats in charge ~</t>
  </si>
  <si>
    <t>@RAWPWR99FATBOY @TheNewRight @EdgeWildSTL @jallman971 You could be right!  A new business venture for Jamie!  "Spirit photography with #SwamiAllman "</t>
  </si>
  <si>
    <t>.#RFABumperMusicSuggestions
@jallman971 #JamieAllman https://t.co/2VMIqpixNQ</t>
  </si>
  <si>
    <t>OMG been waiting for someone other than me to say #OvertonWindow https://t.co/P0O4vJpdms</t>
  </si>
  <si>
    <t>@TheNewRight @EdgeWildSTL @jallman971 Yeah, thinking someone needs to get their phone fixed 🤣😄😂😀</t>
  </si>
  <si>
    <t>@johnlegend You're a racist ass.</t>
  </si>
  <si>
    <t>@SmokeyBear2018 @AP4Liberty 100%, Huggy Bear.  Having a beer with him &amp;amp; @Beatlebaby64  tomorrow night
You gonna be okay until August?</t>
  </si>
  <si>
    <t>@TheNewRight @EdgeWildSTL @jallman971 Isn't he cute, Hume? 😃😅</t>
  </si>
  <si>
    <t>@MaryBenoist @EricGreitens Words.  #NoEvidence #NoVictim  
Katrina Sneed invalidates her own statement to the House w/ #KimShady's withheld deposition tape that was made BEFORE the House.  Kitty can't keep her stories straight.  
Kitty didn't file this suit, her ex-husband @HereLiesMoon did</t>
  </si>
  <si>
    <t>Found this treasure in the #StClairAntiqueMall Saturday
#MacDavis https://t.co/Mh4jyrmwE3</t>
  </si>
  <si>
    <t>Pretty much, #Libertarians
@AP4Liberty #FireClaire🔥 
#MoSen https://t.co/55hsdGdfAx</t>
  </si>
  <si>
    <t>Stumbled upon #Himself last nite at the @EdgeWildSTL ~ love this man &amp;amp; all of his supporters because WE ARE AWESOME!
@jallman971 #JamieAllman 
#RFA #RadioFreeAllman 
#Photobomber https://t.co/i8AE53ydi2</t>
  </si>
  <si>
    <t>I wish someone would check in to this 
@staceynewman 
@jallman971 
#JamieAllman 
#RFA #RadioFreeAllman https://t.co/ph6wEAoiik</t>
  </si>
  <si>
    <t>@ATeamMom1 @jallman971 But of course will want to hear all about your meeting in person and not on the Twitter where things might get misconstrued...!!!</t>
  </si>
  <si>
    <t>@ATeamMom1 @jallman971 If she was watching the Facebook live and she lives right nearby so she popped over.  It was totally spontaneous I guess and not planned.</t>
  </si>
  <si>
    <t>@ATeamMom1 @jallman971 He just saw Edgewild and went in there with his laptop and he went in the fireplace room  LOL.</t>
  </si>
  <si>
    <t>See how this works @Entercom @WeAreSinclair ?  Your boy @jallman971 #JamieAllman has been replaced by the #OutrageMafia  already
✔️Kanye West
✔️ShaniaTwain
✔️Macron
You should have just suspended him, then quietly brought him back.  
Now he's unleashed
#RadioFreeAllman</t>
  </si>
  <si>
    <t>@NBCLeftField "If we can't make them quit, we'll tax them to quit!" ~ King Edward, Braveheart</t>
  </si>
  <si>
    <t>RT @Beto_In_Austin: @iowahawkblog When nobody knows who you are and you make the mistake of making sure they know.</t>
  </si>
  <si>
    <t>RT @AmericaFirstMO: #truth #maga #kag #mypresident https://t.co/JCQHXyO3H0</t>
  </si>
  <si>
    <t>@nytopinion @LookitsJoanne  https://t.co/xL5ZU1RSMh</t>
  </si>
  <si>
    <t>@toothfairy1115 @nytopinion @LookitsJoanne .#ForTheWin</t>
  </si>
  <si>
    <t>😃🤣😀😆😂😀😄😅🤣😃😂😆😀🤣😆🤣😂😀😆😅😄😂🤣😃😀🤣😂😄😅😆😀🤣😀😆😅😄🤣😃😅😂😀😆😂😁😀😂😁😅😃😄🤣😁 https://t.co/XIAcV6zNEG</t>
  </si>
  <si>
    <t>EXACTLY!! https://t.co/CpXt1INoRS</t>
  </si>
  <si>
    <t>OMG the comments...
"does she NOT know she's straight &amp;amp; married to a man?!". 
😂😆😀😃🤣😅😀😆😃 https://t.co/cZ7wucCN4V</t>
  </si>
  <si>
    <t>RT @Margare03880660: That was great!!Momma, I saw you and Julie M. on there too!#RadioFreeAllman #@jallman971 #OperationHotPoker#WelcomeBac…</t>
  </si>
  <si>
    <t>@88YahamaKeys @juliematthews50 @jallman971 😘😘😘😘😘😘</t>
  </si>
  <si>
    <t>Someone needs a restraining order
 https://t.co/wiC0sYXj2O</t>
  </si>
  <si>
    <t>I really REALLY would love to see @ElliottDavisTV consider a run for Mayor of #StLouisCity
https://t.co/ZvaifgRiJ6</t>
  </si>
  <si>
    <t>@Vets4AP @AP4Liberty Whew!  Thank you!!</t>
  </si>
  <si>
    <t>I'm all in, where I can help, I have!
#FireClaire🔥
#SenatorAustinPetersen
@AP4Liberty https://t.co/2eT5GCa1pB</t>
  </si>
  <si>
    <t>Holy crap.  Unbelievable. https://t.co/TxPJZqyAww</t>
  </si>
  <si>
    <t>RT @trumpism_45: #Macron is a 32nd Degree illuminate. Trump needs to keep an eye on him. This hand symbol means the illuminante New World O…</t>
  </si>
  <si>
    <t>Tweeps, sign this, if you haven"t already.  Or, do like Democrats to and sign it with a different name
 https://t.co/YoiBMxs3bQ</t>
  </si>
  <si>
    <t>@88YahamaKeys @juliematthews50 @jallman971 She's gorgeous ALL the time!!</t>
  </si>
  <si>
    <t>@88YahamaKeys @juliematthews50 @jallman971 What about me??  😢😢😢</t>
  </si>
  <si>
    <t>Wondering if @AGJoshHawley @HawleyMO got a couriered delivery of $100k too?
#MoneybagsAl
#KimShady
#GuiltyInTheCourtOfMedia
#Greitens 
#GreitensIndictment 
@HereLiesMoon 
#MoonValjean 🌛
#NoEvidence
#NoVictim
#CuckholdedExHusband
#MediaDoubleStandard
#MoGov
#MoLeg https://t.co/3vx1CO2Wb2</t>
  </si>
  <si>
    <t>RT @EddieTrunk: Big #TrunkNation today! Live 2-4P ET @siriusxmvolume 106. 2-3P Robin Zander @cheaptrick in studio. 3-4P @LennyKravitz in st…</t>
  </si>
  <si>
    <t>SUH-WEET!
@NRA @NRATV @FriendsofNRA 
@ChrisLoesch @Dloesch https://t.co/A8lgLQEiOw</t>
  </si>
  <si>
    <t>Oh, HEY!  Look what's on my agenda today!  
#IStandWithJamieAllman 
@jallman971 #JamieAllman 
#RFA #RadioFreeAllman https://t.co/y88X0uvrlL</t>
  </si>
  <si>
    <t>@mikeleffingwell @JackPosobiec  https://t.co/iJF4tNOU4J</t>
  </si>
  <si>
    <t>RT @stltoday: Your guide to St. Louis area farmers markets https://t.co/xVIomTtHZm https://t.co/um5PJ7B3Sx</t>
  </si>
  <si>
    <t>RT @VisioDeiFromLA: Hey @TwitterSupport yet again I'm shadow banned and I have done nothing wrong. Please undshadow ban me.
I hope I'm not…</t>
  </si>
  <si>
    <t>You know, if you claim on your bio that you're an attorney, regular people shouldn't have to point out the most basic tenant of US Law:
#InnocentUntilProvenGuilty 
#GreitensIndictment 
#Greitens
Has there been a trial yet?  NO
#NoEvidence
#NoVictim
#CuckholdedExHusband 🌛</t>
  </si>
  <si>
    <t>@sueweaver16 How is it rape if she continually went back to him for more sex?  I'd like to see the proof that he blackmailed her into a relationship. That would be interesting.  I guess we'll see some evidence come through with moon and kitty getting their cell phones supoena'd</t>
  </si>
  <si>
    <t>Yeah people just walk around with bags of hundreds of thousands of dollars in them all the time right?
#SorosDoes
We already have the media in St Louis reporting Soros is muddying the waters for the election coming up https://t.co/ajDHtSb6IW</t>
  </si>
  <si>
    <t>This is like a really bad Hollywood movie. https://t.co/MlBmAoXf0P</t>
  </si>
  <si>
    <t>There is absolutely no proof of anything that happened between two consenting adults.
In addition he's already paid a fine for admitting that he used that mailing list.  
#DoubleJeopardy
#GreitensIndictment 
#MoneyBagsAl
#100kMysteryPayoff
#KimShady https://t.co/QVH7PuYlMI</t>
  </si>
  <si>
    <t>Not a smokescreen.  #KimShady admitted IN AN INTERVIEW she had the deposition videotape Monday B4 the House released its report.  
Why don't you be a good reporter &amp;amp; toddle over to @stlcao &amp;amp; ask Kimmy who else got $100k packages dropped off, hmm?
#GuiltyInTheCourtOfMedia https://t.co/XyfVPfAU06</t>
  </si>
  <si>
    <t>Y'all ready?  
@jallman971 #JamieAllman
#RadioFreeAllman #RFA
#RedHotPokerGang https://t.co/xbKWpDIZVH</t>
  </si>
  <si>
    <t>Another guy, who admitted he was gay, with his personal #FiftyShades fantasy about @EricGreitens, based on the INCOMPLETE report by #MoLeg 
#KimShady #NoNotesTisaby #MoneybagsAl @HereLiesMoon 🌛
#MoonValjean 😼 @staceynewman https://t.co/nTZbsnQSns</t>
  </si>
  <si>
    <t>@Margare03880660 This always happens to me ~ didn't think I'd see A SOUL yesterday, wore stretchy pants &amp;amp; LuLaRoe 😆😃</t>
  </si>
  <si>
    <t>@DeplorableGoldn @EricGreitens Bitch actually wrote me back, told me it was all "in the record" ~ pffft</t>
  </si>
  <si>
    <t>You had me at "K-Tel" 😆😄😃
#RFA #RadioFreeAllman
@jallman971 #JamieAllman https://t.co/hrl4EiYRqk</t>
  </si>
  <si>
    <t>Hey ROCKET SCIENTIST ~ The "INCOMPLETE" report is posted there, without the video deposition that was WITHHELD by @stlcao for maximum damage to @EricGreitens 
@SpeakerTimJones
@MarcCox971
#KimShady
#MoneybagsAl
#MoonValjean
@HereLiesMoon 
#NoNotesTisaby
#IStandWithEricGreitens https://t.co/n97laLRpfI</t>
  </si>
  <si>
    <t>RT @Mizzourah_Mom: Looks like even the leftists can see what a sham the #Greitens witch hunt has become - the stltoday article is eye-openi…</t>
  </si>
  <si>
    <t>@RAWPWR99FATBOY Where I am in Chesterfield we don't even have 1 😐😑😒</t>
  </si>
  <si>
    <t>True dat!!  
#FireClaire🔥
@AP4Liberty https://t.co/YXLLg2gWKA</t>
  </si>
  <si>
    <t>@juliematthews50 @TheNewRight @RAWPWR99FATBOY @jallman971 I nibbled a cracker.  I wanted the Cajun Shrimp so bad OMG but I'm saving my $ for Thur night beers with @AP4Liberty</t>
  </si>
  <si>
    <t>She actually thought it would be a great idea to put all this out on the internet 😂😂😂😂😂
#DefamationOfCharacter
@EricGreitens 
#GreitensIndictment https://t.co/5Xdjn5PNnl</t>
  </si>
  <si>
    <t>@JaneDueker That's right @JaneDueker ~ keep printing these personal #FiftyShades fantasies about @EricGreitens &amp;amp; we'll keep screencap'ing them for that defamation lawsuit!  #TheGiftsKeepComing</t>
  </si>
  <si>
    <t>RT @Sticknstones4: Stl budget has a 10 million deficit.  Many essential services &amp;amp; citizens will suffer from cuts.  How much money has kim…</t>
  </si>
  <si>
    <t>RT @nicholas_veser: Excited to announce we will be working with @AP4Liberty. He is the only candidate who can eliminate ladder climbing @Ha…</t>
  </si>
  <si>
    <t>RT @magathemaga1: An investigation in search of a crime...
#Greitens #GreitensIndictment #moleg #kimshady #Ladderboy #Missouri #StLouis #S…</t>
  </si>
  <si>
    <t>RT @magathemaga1: @RealTravisCook #StLouis #Greitens #Missouri #MoneyBagsAl #KimShady #stl https://t.co/gfEjswuzHA</t>
  </si>
  <si>
    <t>Is he really saying this?? https://t.co/xexWlzOJYS</t>
  </si>
  <si>
    <t>Step 2 
https://t.co/VprEZFL8EM filing
#RadioFreeAllman 
#RFA https://t.co/fQwa39nAFb</t>
  </si>
  <si>
    <t>Go to @FCC .gov &amp;amp; click ECFS 
#RadioFreeAllman
#RFA https://t.co/fYWYOvTiDa</t>
  </si>
  <si>
    <t>@TheNewRight Probably should hit that tablet, too, since you just evacuated your whole GI tract</t>
  </si>
  <si>
    <t>@HotPokerPrinces @TheNewRight @grcfay Dudes he was eating oysters ...</t>
  </si>
  <si>
    <t>@HotPokerPrinces @TheNewRight That looks like a tampon</t>
  </si>
  <si>
    <t>The hidden camera video of #MoneybagsAl RIGHT HERE
#kimshady #NoNotesTisaby
@HereLiesMoon🌛 #MoonValjean 
#Greitens #WitchHunt https://t.co/S7ssw87UoB</t>
  </si>
  <si>
    <t>RT @Sticknstones4: Good Morning #MoLeg aka witch hunters 
Have Any Bags💰 of Anonymous cash 💵 been dropped off at your offices ?
Amazing t…</t>
  </si>
  <si>
    <t>RT @YearOfZero: If I was investigating this #MoneyBagsAl thing, I would ask:
Has anybody related to lawyer, the woman or ex husband or tan…</t>
  </si>
  <si>
    <t>@TheNewRight @RAWPWR99FATBOY @Beatlebaby64 @juliematthews50 @ATeamMom1 @mishacollins @staceynewman @88YahamaKeys @DLoesch @Alex_Salsman Mike's back!  Hey everyone!!  We missed you @RAWPWR99FATBOY</t>
  </si>
  <si>
    <t>.#RFABumperMusicSuggestions
#RadioFreeAllman
#RFA
"I Stand Alone" by @godsmack 
https://t.co/d9HS9QtGIT</t>
  </si>
  <si>
    <t>Unleashed.  Unbridled.  
#RadioFreeAllman 
#RFA https://t.co/WXuvtJbxIn</t>
  </si>
  <si>
    <t>Aunt Sue ~ Lt Dan Riordan's aunt ~ she stopped by for the #RFA #RadioFreeAllman debut!
@jallman971 #JamieAllman https://t.co/McNygjqDJU</t>
  </si>
  <si>
    <t>Absolutely UNACCEPTABLE @CBS
How would you like a #Boycott on top of your crappy ratings?!
#MediaDoubleStandard https://t.co/pDEQYlNvaD</t>
  </si>
  <si>
    <t>That Linda gonna feel my wrath, attacking my girl @rachelz971 !!
#DGS971</t>
  </si>
  <si>
    <t>I just died ... 😂😂😂😂 https://t.co/7QKO9Rkzgc</t>
  </si>
  <si>
    <t>Hey #MoLeg!  Play this when #AlWatkins comes in to answer questions about the #Anonymous100k for @HereLiesMoon 
#greitens #WitchHunt
#GreitensIndictment https://t.co/uUm9wWcDTD</t>
  </si>
  <si>
    <t>The question then becomes "Who does Philip "Moon🌛" Sneed know that has that much cash laying around?" AND "What is Moon🌛getting out of all this?
#MoneybagsAl
#GreitensIndictment 
#Soros
https://t.co/JRcnEydvmv</t>
  </si>
  <si>
    <t>I thought the @EricGreitens "donor list" issue was brought up right after he assumed #MoGov &amp;amp; he plead guilty, paid the fine?
@anniefreyshow 
#DoubleJeopardy
@AGJoshHawley</t>
  </si>
  <si>
    <t>RT @TrumpChess: @HashtagGriswold Nice phrase "running a smear without the facts" considering 2 #WitchHunt cases by dems whose goal=remove a…</t>
  </si>
  <si>
    <t>And be sure to ask #AlWatkins what he meant by "where's the rest?".  
And, ask him if he filed the proper paperwork with the IRS.  And, didn't EG already pay a fine for "the list"?
#moleg
#Greitens
#GreitensIndictment
#WitchHunt
#KimShady
@HereLiesMoon 
https://t.co/14Kj1sIfLh</t>
  </si>
  <si>
    <t>This #CleanMissouri is nothing at all what they imply!  Read this!! https://t.co/trJeXSuQ40</t>
  </si>
  <si>
    <t>RT @dbongino: If social drinking on foreign presidential trips is now grounds for ruthless character assassination then I encourage media o…</t>
  </si>
  <si>
    <t>My God, this is AWFUL.  Would never have happened if he'd been IN SCHOOL
#NationalSchoolWalkout 
Quick, how do the #Anarchists distance themselves from responsibility??
#AssaultWalkout
#AssaultCar https://t.co/KSFlfOenkT</t>
  </si>
  <si>
    <t>Meat &amp;amp; taters
#IStandWithJamieAllman 
#WeThePeople
#RedHotPokerGang
#OutrageMafia #MediaDoubleStandard
Aren't media conglomerates required to broadcast this info to us throughout the merger/purchase process?
Publicly traded company ETM https://t.co/iuiYil0Mws</t>
  </si>
  <si>
    <t>Follow this VERY CAREFULLY...
#RedHotPokerGang https://t.co/4JblhmbABA</t>
  </si>
  <si>
    <t>From StL City to Bala Cynwyd, PA it's 879 miles, unless you take the scenic route.  
So WHY do they care so hard abt a #Metaphor #MovieQuote tweet by the local talent @jallman971 #JamieAllman in #TheLou?
#OutrageMafia @staceynewman 
@WeAreSinclair #MediaDoubleStandard https://t.co/CAeLas6Tkm</t>
  </si>
  <si>
    <t>@TheNewRight @Entercom Wait ~ can you say "Jamie", "testicular" and "thinking" in the same tweet ?
#IAmTriggered</t>
  </si>
  <si>
    <t>New thread.  I wonder what we have HEAR (yes, I know.  I did it on purpose). RT with your thoughts
#IStandWithJamieAllman
#JamieAllman @jallman971 
#PokerTweet #Metaphor #Context
#OutrageMafia #WhyTHISTweet 
#MediaDoubleStandard @WeAreSinclair @Entercom @HubbardRadio https://t.co/N4M0qIIdR2</t>
  </si>
  <si>
    <t>Repeating myself!!
#FireClaire 🔥 #SayNoToBackStabbingRepublicans
#LibertyNotLiberals
@AP4Liberty https://t.co/eSGEVkBd6h</t>
  </si>
  <si>
    <t>Surely, by then I won't care https://t.co/fojzioPDNQ</t>
  </si>
  <si>
    <t>Soon to replace the figurative #PoundOfFlesh if #Communists like @staceynewman, our local media &amp;amp; judicial system continue to advance in #StLouisCity #StLouisCounty
#MediaDoubleStandard #OutrageMafia https://t.co/I5Bqy89I82</t>
  </si>
  <si>
    <t>.#HaHaHaHaHaHaHaHa
#GrammarNazi strikes again https://t.co/OqPLAcoEHw</t>
  </si>
  <si>
    <t>What @Vets4AP said...
#FireClaire🔥 
@AP4Liberty 
#APForLiberty 
#MoSen https://t.co/g1z5NiQ1RZ</t>
  </si>
  <si>
    <t>Not if @AP4Liberty @Monetti4Senate @SykesforSenate  have any say in this race ~ which they do, and so do We, The People 
@AGJoshHawley @HawleyMO is persona non grata now, after the #Greitens backstabbing
#ElephantsNeverForget
#FireClaire🔥
#MoSen
 https://t.co/qlxKVqZoZW</t>
  </si>
  <si>
    <t>Well now, aren't you a ray of sunshine https://t.co/eAnxLEsMg2</t>
  </si>
  <si>
    <t>LEARNING, teaching, showing, educating
This is the @NRA https://t.co/fkHxsaMwbU</t>
  </si>
  <si>
    <t>@Beatlebaby64 @TheNewRight 😎😎😎that's our Hume😎😎😎</t>
  </si>
  <si>
    <t>OMG he's friggin' ADORBS!  No wonder he was chosen!  Look at his light...💖💖💖
 https://t.co/6QtwDH6iAY</t>
  </si>
  <si>
    <t>Maybe it was just a "sexual emergency", like the Muslim Rape-ugees claim.  
Where's @staceynewman ?
#AssaultPenis
#AssaultBrick
 https://t.co/qECU5uT6km</t>
  </si>
  <si>
    <t>This whole thread on #RandaJarrar &amp;amp; #1A.  Yes, she can say these stupid things, but she did something UNCONSCIONABLE that's not forgivable 
#MediaDoubleStandard
#HideTheTruth https://t.co/RAUBxbwMw2</t>
  </si>
  <si>
    <t>@juliematthews50 @jallman971 @TheNewRight @Drumrunner2012 @ATeamMom1  https://t.co/XzKRS6kz3d</t>
  </si>
  <si>
    <t>Just some interesting FAQs on porn star #StormyDaniels' attorney, #MichaelAvenatti https://t.co/IdJ6XuFmgh</t>
  </si>
  <si>
    <t>OMG all the hashags, then the picture with the peeking-out pantiliner 😅😆😀🤣😂 https://t.co/MqzS6lQWiS</t>
  </si>
  <si>
    <t>The beautiful people ~ classy, dignified, not frumpy and certainly not groveling or bowing.  Mutual respect all round https://t.co/bLjoyCy5ha</t>
  </si>
  <si>
    <t>Isn't the glaring #MediaDoubleStandard just so WEIRD?
#AssaultVan
#ArePeopleHypnotised?
#TorontoAttack 
#WTFIsGoingOn? https://t.co/hzBr3FahWT</t>
  </si>
  <si>
    <t>In God's name ... https://t.co/UJWYM2HDh4</t>
  </si>
  <si>
    <t>@TheNewRight I'ma just moving off over here &amp;amp; watch https://t.co/mT4cObR1Fx</t>
  </si>
  <si>
    <t>I saw men drinking martinis once https://t.co/nSwukMOzVR</t>
  </si>
  <si>
    <t>@TheNewRight 😉😉what'chu got going on, Hume?😉😉</t>
  </si>
  <si>
    <t>@TheNewRight @jallman971 I saw you there Julie ~ and some other Tweeters, too!</t>
  </si>
  <si>
    <t>Everyone's agreeing it was $100k CASH now
Like an episode of @BetterCallSaul 
#AlWatkins: "S'all good, man"
#Greitens #GreitensFarce
#GreitensIndictment #KimShady
@stlcao @HereLiesMoon 🌛
#MoonValjean #Kitty 😼
#WhyPeopleHateLawyers
#SorosMoney
https://t.co/suD2cisp4j</t>
  </si>
  <si>
    <t>Sitting in the mucked up fess that is the construction site Highways 141 &amp;amp; 44, I saw a notification @jallman971 #JamieAllman was on FB Live.  So I had a #GoodMorningThisMorning!
#RadioFreeAllman
#OperationHotPoker
#IStandWithJamieAllman
Here he is:
https://t.co/SeLkMONLtV</t>
  </si>
  <si>
    <t>.#IStandWithJamieAllman 
#AllmanArmy
#RedHotPokerGang
#Metaphor
#OperationHotPoker
@jallman971 
#JamieAllman https://t.co/dCpWniJ9An</t>
  </si>
  <si>
    <t>RT @KTHopkins: Ten dead Trudeau. Ten. No one needs your thoughts. Do not say you carry on as normal. That you ‘stand united’. Those dead me…</t>
  </si>
  <si>
    <t>Any day now
@jallman971
#JamieAllman
#RadioFreeAllman #RedHotPokerGang
#AllmanArmy
#Unleashed
#Metaphor 
#Context https://t.co/bvoSzEujav</t>
  </si>
  <si>
    <t>Hindsight ... Probably a bad idea to cut @jallman971 #JamieAllman loose https://t.co/nKy6SDnZKE</t>
  </si>
  <si>
    <t>RT @ATeamMom1: @staceynewman #GetYourVillageOffMyConstitution
#IDontNeedAReasonIHaveARight
#2A https://t.co/99J8r6Gc1o</t>
  </si>
  <si>
    <t>@JW1057 LOL so a "courier" rolls up, all #BreakingBad style, with $50k in Saran wrap ~TWICE~ and no one at that office "KNOWS" what that's about, but 😆takes it anyway😆</t>
  </si>
  <si>
    <t>Hahahahaha! https://t.co/sZ0EqEX38d</t>
  </si>
  <si>
    <t>I'm really getting acid indigestion over this @staceynewman character https://t.co/8MMVbVmQ9r</t>
  </si>
  <si>
    <t>@JW1057 But a news report said TWO CHECKS</t>
  </si>
  <si>
    <t>Oh, and Mr Watkins?  Every check deposited is copied at the bank and can be seen on your online register.  I know you say you don't know who paid it, but a clue is on those checks
#Greitens #GreitensIndictment 
#KimShady https://t.co/blgxgq5QHK</t>
  </si>
  <si>
    <t>This just ads to the evidence that Democrats can't win elections without cheating, fraud &amp;amp; scandal
#Greitens #GreitensIndictment
@HereLiesMoon #KimShady @stlcao #MoneyBagsAl
 https://t.co/MpJviwg8LG</t>
  </si>
  <si>
    <t>Oh SHAAAAAAAARON....
@Beatlebaby64 https://t.co/vMn37lhaev</t>
  </si>
  <si>
    <t>RT @Hope4Hopeless1: Great! Gov @EricGreitens LEGAL TEAM are being allowed the opportunity to FOLLOW SOME OF $$$ that's going to these two F…</t>
  </si>
  <si>
    <t>RT @AnnCoulter: I don't believe there was 1 person complaining about @ShaniaTwain's Trump remarks who was an actual Shania fan. https://t.c…</t>
  </si>
  <si>
    <t>HaHaHa!  This case just gets weirder &amp;amp; weirder!
#KimShady #NoNotesTisaby #CuckholdedExHusband #NoVictim #NoPhoto #NoEvidence #MoLeg #Greitens #MoneybagsAl #ChurchOfSatan @stlcao @staceynewman @EricGreitens 🌛😼 https://t.co/eqAjGTc2XL</t>
  </si>
  <si>
    <t>RT @VisioDeiFromLA: Al Watkins paid 100k cash?
Is that how consensual affair got weaponized into absurd allegations against #Greitens ?…</t>
  </si>
  <si>
    <t>Stunning. https://t.co/ORXGaA23a7</t>
  </si>
  <si>
    <t>Quite possibly, the bit about the scrotal bat is #DaveGlover's funniest bit ever #DGS971 
@rachelz971 @tonycolombo971 https://t.co/O7hKfpbv9W</t>
  </si>
  <si>
    <t>RT @TheNewRight: #FunFacts https://t.co/srOqD2wx14</t>
  </si>
  <si>
    <t>@TheNewRight The #ScudStud @charlesjaco1 everybody yeaaaah!  Inventor of #FakeNews &amp;amp; now living off residuals from CNN for teaching them how to fake it!
https://t.co/2NSEzklT5q</t>
  </si>
  <si>
    <t>@soylentgs So, I'm thinking Watkins found a similar case (except for the evidence part bc there is none in #Greitens case) to bring just to keep his EG on the front of the #PostDisgrace</t>
  </si>
  <si>
    <t>RT @sueweaver16: @ATeamMom1 @88YahamaKeys @RickThomas007 @TheNewRight @Lautergeist @sandibachom @Nyclawyer212 @Alyssa_Milano @davidhogg111…</t>
  </si>
  <si>
    <t>Just a little audio from the #AlWatkins press conference.  As a primer, Al is the attorney for Philip Sneed, aka 🌛, the ex of 😼. 
#Greitens #GreitensIndictment 
#WhoPaid100kTowardMoonsCase
#NoVictimNoEvidence
And how does the Church of Satan factor in here? https://t.co/tBBqFPrroS</t>
  </si>
  <si>
    <t>Whoopsies!! https://t.co/xOLPOeT1d0</t>
  </si>
  <si>
    <t>@88YahamaKeys @ATeamMom1 @RickThomas007 @TheNewRight @sandibachom @Nyclawyer212 @Alyssa_Milano @davidhogg111 @NRA @sueweaver16 @juliematthews50 @Pantszilla77 Nice segue into Katrina Sneed there LOL</t>
  </si>
  <si>
    <t>@juliematthews50 @TheNewRight @staceynewman  https://t.co/s0Te0Pkdcj</t>
  </si>
  <si>
    <t>@juliematthews50 @TheNewRight @staceynewman  https://t.co/kJNPBHCGSd</t>
  </si>
  <si>
    <t>@Beatlebaby64 @AP4Liberty I tried to work that in, just brain dead right now</t>
  </si>
  <si>
    <t>RT @magathemaga1: @meggers789 @K___Garner I dont know burns &amp;amp; am not a Dem, but seems like complete overreaction. Plus Bruce Frank's Jr &amp;amp; c…</t>
  </si>
  <si>
    <t>You can't keep a good man down.  Let's do this!  
#IStandWithJamieAllman
#RedHotPokerGang
#AllmanArmy
#RadioFreeAllman
#OperationHotPoker
#ThePod
#OnlyTheStrongSurvive
@jallman971 #JamieAllman https://t.co/IDRQlFk0Lz</t>
  </si>
  <si>
    <t>.@staceynewman @charlesjaco1
#IStandWithJamieAllman
#JamieAllman @jallman971 
#RadioFreeAllman #RedHotPokerGang
#pokertweet https://t.co/JZQ3OtYJLs</t>
  </si>
  <si>
    <t>"repeatedly attacked students"
Where's your proof @staceynewman ?  You have A tweet of a movie quote, a #metaphor.  
We can disprove what you wrote here, using your distribution list from the #MoLeg
#IStandWithJamieAllman
@jallman971 #JamieAllman
#pokertweet https://t.co/8vlbfGhqF8</t>
  </si>
  <si>
    <t>What's the penalty, ya think, for using licensed trademarks without paying for the privilege?  I don't see the approved stamp for @StLouisBlues 
@Cardinals 
@RedSox 
on ANY of these art projects being sold on Etsy (for profit)
#Daphne
#Theft https://t.co/ZUWmuGoIjE</t>
  </si>
  <si>
    <t>@clairecmc Thanks for having my parents to coffee last week.  Still not voting for you.</t>
  </si>
  <si>
    <t>"Austin and ME" not "Me and Austin".  
#ClaireBear
@AP4Liberty https://t.co/8S1oKuIcqt</t>
  </si>
  <si>
    <t>@Pantszilla77 @RickThomas007 @88YahamaKeys @TheNewRight @ATeamMom1 @sandibachom @Nyclawyer212 @Alyssa_Milano @davidhogg111 @NRA @sueweaver16 @juliematthews50 @ninekiller Gak!!</t>
  </si>
  <si>
    <t>@TheNewRight He ran away and slammed the door like a bitch</t>
  </si>
  <si>
    <t>RT @HotPokerPrinces: @Lautergeist #kimshady hires outside investigator that lies
#nonotestisaby contract has the stlcao paying for his def…</t>
  </si>
  <si>
    <t>Big mistake, bowing down to the #OutrageMafia
#IStandWithJamieAllman
#UnleashedAndUnbridled
@jallman971 #JamieAllman
#Metaphor #Context #INSIST https://t.co/jcCRQz2hwy</t>
  </si>
  <si>
    <t>Wow ~ love her brazen style.  It's empowering! https://t.co/RO6MuU4cgY</t>
  </si>
  <si>
    <t>How dumb can these CEO's be?  #BadMarketingPlan 
@YETICoolers 
https://t.co/inkrtxQRWJ</t>
  </si>
  <si>
    <t>Tisaby &amp;amp; National Security?  That's frightening
#KimShady
#NoNotesTisaby
#Greitens 
#MoonValjean🌛
#NoEvidenceNoVictim 
#BitterCuckholdedExHusband
#MoveOnMoon https://t.co/K0XHo4JrmL</t>
  </si>
  <si>
    <t>@Bren05_ @Beatlebaby64 @TheNewRight @goldfrapp Oooh, where I first met @jallman971 !  @Kaldis_Coffee has a breakfast burrito that's amazeballs</t>
  </si>
  <si>
    <t>@Beatlebaby64 @TheNewRight @Bren05_ @goldfrapp Not ashamed to say I hit them every so often.  Not as much as the soccer days ~ my son used to inhale McGangBangs from the $1 menu, post games</t>
  </si>
  <si>
    <t>@TheNewRight @Beatlebaby64 @Bren05_ @goldfrapp I'm road tripping to Smashedville in 2 weeks, will most likely be over-ruled by my Shotgun and Backseat to hit icky Sbux</t>
  </si>
  <si>
    <t>@Bren05_ @Beatlebaby64 @TheNewRight @goldfrapp What TF is wrong with McD Frapps, anyway?  At least their coffee ain't burned like Sbux.  They have an Iced Turtle Macchiato that's mouthgasmic</t>
  </si>
  <si>
    <t>@Bren05_ @Beatlebaby64 @TheNewRight @goldfrapp Laugh it off @Bren05_  ~ when you meet her, you'll get it!  She's lively company &amp;amp; a Patriot, hon.  Put your shades back up.  She cool</t>
  </si>
  <si>
    <t>I fully &amp;amp; completely appreciate this
#Greitens #IStandWithEricGreitens
#MoGov #MoLeg 
 https://t.co/efdSR0NYYG</t>
  </si>
  <si>
    <t>@RickThomas007 @88YahamaKeys @TheNewRight @ATeamMom1 @sandibachom @Nyclawyer212 @Alyssa_Milano @davidhogg111 @NRA @sueweaver16 @juliematthews50 @Pantszilla77 @ninekiller That's bc babies can't be made by same-sex folks.  They have to come up with an alt-baby</t>
  </si>
  <si>
    <t>@TheNewRight @Beatlebaby64 Well Marc being family-like, I will adjust to some #MorningCox but I'll still put on music for Kilmeade.</t>
  </si>
  <si>
    <t>🚨WARNING🚨#CoffeeSpew🚨 https://t.co/BQCpDwTUaU</t>
  </si>
  <si>
    <t>Inadvertently, @WeAreSinclair @RiverfrontTimes @Entercom @wapo @nytimes @staceynewman @charlesjaco1 will end up financing @jallman971 #JamieAllman new business venture
#RadioFreeAllman
#Metaphor #Context #PokerTweet #RedHotPokerGang #MediaBias #MediaDoubleStandard https://t.co/q1sHA2KiAK</t>
  </si>
  <si>
    <t>@politico @DonaldJTrumpJr @HillaryClinton Why are you still talking about this?  Your pathetic-ness is glaring</t>
  </si>
  <si>
    <t>@88YahamaKeys @RickThomas007 @TheNewRight @ATeamMom1 @sandibachom @Nyclawyer212 @Alyssa_Milano @davidhogg111 @NRA @sueweaver16 @juliematthews50 @Pantszilla77 @ninekiller It does hit my eardrum wrong</t>
  </si>
  <si>
    <t>@Beatlebaby64 My personal favorite!</t>
  </si>
  <si>
    <t>Scared of me. https://t.co/p4sFWXea81</t>
  </si>
  <si>
    <t>.#FailedMarcCoxShowNames
#CoxInTheMorning
#MorningCox
#YourMorningCox
#CoxStand
#TheCoxShow</t>
  </si>
  <si>
    <t>DNA defect https://t.co/qg2OMjw3yN</t>
  </si>
  <si>
    <t>@juliematthews50 @TheNewRight @rcclayton And don't even think about reusing those plates...</t>
  </si>
  <si>
    <t>@88YahamaKeys @RickThomas007 @TheNewRight @ATeamMom1 @sandibachom @Nyclawyer212 @Alyssa_Milano @davidhogg111 @NRA @sueweaver16 @juliematthews50 @Pantszilla77 @ninekiller Shhhh she hasn't blocked me yet so we still have an "in"!!</t>
  </si>
  <si>
    <t>Someone has an insight... 😎
#greitens @HereLiesMoon https://t.co/WnphlFaQW8</t>
  </si>
  <si>
    <t>And conservatives just moved on, because 1)#1A and 2)we have jobs 
That don't allow us time for manufactured outrage
#PokerTweet #RedHotPokerGang
@staceynewman @RuthsChris 
#metaphor @jallman971 #JamieAllman #INSIST https://t.co/Ol2649bvzy</t>
  </si>
  <si>
    <t>@juliematthews50 @TheNewRight Now I want some juicy, red meat</t>
  </si>
  <si>
    <t>@juliematthews50 @TheNewRight @RuthsChris @rcclayton @jallman971 @charlesjaco1 Let's not forget Applebee's beats them, too</t>
  </si>
  <si>
    <t>I'm the furthest thing from a #FanGirl of @kanyewest but wow
https://t.co/pFe4XPsuov</t>
  </si>
  <si>
    <t>RT @tweetingmatty: Oh look the #Libertyexpress is at another event with Missouri voters the #ladderexpress is probably at the gym or tweeti…</t>
  </si>
  <si>
    <t>This is so sad @RuthsChris @rcclayton bc @jallman971 #JamieAllman was your FRIEND.  And you just dumped him on word from #NewsFaker @charlesjaco1 without asking him about the #pokertweet #metaphor
Wow. If this is how you guys treat your friends...
#INSIST
#Context https://t.co/RMJjuOydCE</t>
  </si>
  <si>
    <t>Apologized.  Removed the offensive tweet.  Everyone moved on, right?  
@CharlesJaco1 wasn't fired, no media storm
Unlike @jallman971 #JamieAllman who spoke a #pokertweet #metaphor &amp;amp; @WeAreSinclair @Entercom completely over-reacted
@staceynewman @roykasten
@RiverfrontTimes https://t.co/jglFLlCtGf</t>
  </si>
  <si>
    <t>I remember this AND I recall the #MediaDoubleStandard which folded around him, proclaiming #1A, no protests, advertisor-swarm
@CharlesJaco1 #ScudStud #InventorOfFakeNews @CNN 
@jallman971 #JamieAllman 
#Metaphor #pokertweet https://t.co/TQFe2b7AwU</t>
  </si>
  <si>
    <t>RT @PeggyMom03: @88YahamaKeys @Beatlebaby64 @sueweaver16 @Bren05_ @TheNewRight @ATeamMom1 @Lautergeist @Margare03880660 @dianejneff1 @Speak…</t>
  </si>
  <si>
    <t>Well, now...this has my interest.  Is this the person in the hijab?
#MediaDoubleStandard #Metaphor #INSIST #Context #PokerTweet #HotPokerTweet #RedHotPokerGang
@jallman971 #JamieAllman 
@charlesjaco1 https://t.co/DwiOWX6o76</t>
  </si>
  <si>
    <t>My first guess is s woman, with that Muslim headscarf on.  
Guessing I'm wrong?
#PokerTweet #RedHotPokerGang
#Metaphor #Context #INSIST
#IStandWithJamieAllman
@jallman971 #JamieAllman https://t.co/ZXL1EM9QYU</t>
  </si>
  <si>
    <t>😆😆😆😆😆
...🌛acts so innocent https://t.co/y8QhyvMl7z</t>
  </si>
  <si>
    <t>Whoopsies, @staceynewman ... Oh, wait, she's blocked me, so I can't warn her 😉😆😀😅🤣
#IStandWithJamieAllman
#Metaphor #Context
@jallman971 #INSIST
#pokertweet #HotPokerGang
@Entercom @WeAreSinclair 
@RiverfrontTimes https://t.co/ph6wEAFTGU</t>
  </si>
  <si>
    <t>@HotPokerPrinces @ws_missouri 😀😃 I actually read it as Burns, despite seeing Romanik😃😀</t>
  </si>
  <si>
    <t>RT @markmeyer11: @Lautergeist  https://t.co/NkKyzQaBqk</t>
  </si>
  <si>
    <t>RT @B75434425: 5 Countries Spying.
4 FISA Warrants.
3 Campaign Plants.
2 Lying, Leaking FBI Agents.
1 Lying Porn Star.
0 Evidence of Collus…</t>
  </si>
  <si>
    <t>Stop talking https://t.co/PfiK1R1SuI</t>
  </si>
  <si>
    <t>RT @Margare03880660: @88YahamaKeys @TheNewRight @ATeamMom1 @Lautergeist @sueweaver16 @Beatlebaby64 @PeggyMom03 @dianejneff1 @SpeakerTimJone…</t>
  </si>
  <si>
    <t>RT @HotPokerPrinces: @magathemaga1 @RonFRichard @EricGreitens @Rep_TRichardson @Eric_Schmitt @MOHouseGOP @JohnLamping @MissouriGOP @Lauterg…</t>
  </si>
  <si>
    <t>@JenEnnenbach @Sticknstones4 @stlcao @EricGreitens True ~ I live by memes.  They're me in a picture
Here's one for all of us https://t.co/UCgUqwBOqE</t>
  </si>
  <si>
    <t>@JenEnnenbach @Sticknstones4 @stlcao @EricGreitens @JAllman @jallman971 YES!!  Which is one reason I started following you.  We do agree here!</t>
  </si>
  <si>
    <t>@JenEnnenbach @Sticknstones4 @stlcao @EricGreitens @JAllman See?  No, I don't have to admit anything, but I GET IT.  And yes, if you've been paying attention, the Parkway/Greitens/Allman/Trump issue has one single thread &amp;amp; she's term'ing out soon.
Everyone's on edge ~ which is why when Jamie's new venture launches, I'm looking to exit</t>
  </si>
  <si>
    <t>@Sticknstones4 @JenEnnenbach @stlcao @EricGreitens I know ~ but she, is good people, despite her view of #TheGov.  She loves Jamie like us, so I think she can accept disagreements &amp;amp; not attack the friendlies.  
We all need to stick like glue or we'll ALL be NEXT</t>
  </si>
  <si>
    <t>@JenEnnenbach @Sticknstones4 @stlcao @EricGreitens Yep, we all have.  The hate coming at me re Jamie is INCREDIBLE.  Knowing it was coming, I knuckled down security on EVERYTHING.  My volunteer work would never understand</t>
  </si>
  <si>
    <t>@JenEnnenbach @Sticknstones4 @stlcao @EricGreitens We're all "friendlies" here ~ we might disagree but what"s happened to @jallman is tied to #Greitens.  Everything's a test for Trump &amp;amp; the future of #ConservativeOppression
Let's just all agree to disagree but STICK LIKE GLUE.</t>
  </si>
  <si>
    <t>RT @Sticknstones4: @magathemaga1 @RonFRichard @EricGreitens @Rep_TRichardson @Eric_Schmitt @MOHouseGOP @JohnLamping @MissouriGOP @Lautergei…</t>
  </si>
  <si>
    <t>Some of us don't have media jobs where most of our employers will protect our asses if we preach a #ConstitutionalConservative message, which is why we choose to use a #NommeDeGuerr
Too many friends who didn't have been disciplined, discriminated, harrassed.  
#TheWarIsReal</t>
  </si>
  <si>
    <t>@JenEnnenbach @Sticknstones4 @stlcao @EricGreitens Will you stop saying bot please?  No one here is a bot, promise.
Like EG or not, don't get mad at US.  We're fighting for our conservatism which is under attack 
See #JamieAllman
Using a nomme de guerr protects us/our jobs, family from the spiteful, hateful left</t>
  </si>
  <si>
    <t>@88YahamaKeys @TheNewRight @ATeamMom1 @Margare03880660 @sueweaver16 @Beatlebaby64 @PeggyMom03 @dianejneff1 @SpeakerTimJones #ElectionsHaveConsequences</t>
  </si>
  <si>
    <t>.#NeverSurrender
#WinstonChurchill
#FightBackHarder
#IStandWithEricGreitens https://t.co/aXFiTqp3ZS</t>
  </si>
  <si>
    <t>Some of my favorite reads are by this lady
Not that I enjoy them, mind.  
It's how she lays things out, do neat &amp;amp; orderly https://t.co/UsPxhTDSCh</t>
  </si>
  <si>
    <t>RT @KTHopkins: There is one God. Two genders. Three primary colours. And fourk’all you can say to change my mind. #ScrewIdentityBolloticks…</t>
  </si>
  <si>
    <t>Why was he naked?!
Was he on #BathSalts?? https://t.co/gyzimv0lXe</t>
  </si>
  <si>
    <t>RT @Fuctupmind: I'm reading multiple tweets claiming the shooter at the Waffle House in Tennessee, had an AR-15, and was naked.
Note : peo…</t>
  </si>
  <si>
    <t>RT @sowtrout: When you're laying dead on the Waffle House floor, be sure to look up at that 'Gun Free Zone' sign before you close your eyes…</t>
  </si>
  <si>
    <t>In case you were thinking about dropping high dough on @YETICoolers ~ know what they did very well, so as not to lose their market share &amp;amp; your money https://t.co/RIl5fNTwHN</t>
  </si>
  <si>
    <t>@TheMarkPantano @markmeyer11 @YETICoolers @NRA WalMart Ozark brand CONSISTENTLY meets/exceeded in comparison tests with @YETICoolers</t>
  </si>
  <si>
    <t>@JenEnnenbach @Sticknstones4 Pretty sure the illegally-withheld deposition by #KimShady @stlcao did just that.  Pretty sure EVERYONE legally in this country deserves die process &amp;amp; a trial, because #InnocentUntilProvenGuilty.  It's not up to @EricGreitens to prove his own guilt</t>
  </si>
  <si>
    <t>RT @VisioDeiFromLA: For a "politico" you sure dont understand the law.
Greitens doesn't have to prove anything. Hes innocent. 
Until prov…</t>
  </si>
  <si>
    <t>Why is this helium-sniffing, #JabbaTheHut/Pug hybrid still employed at @Fresno_State and where is her hijab &amp;amp; burqa?
 https://t.co/qHC8siXSCX</t>
  </si>
  <si>
    <t>@88YahamaKeys @ATeamMom1 @sandibachom @Nyclawyer212 @RickThomas007 @Alyssa_Milano @davidhogg111 @NRA @sueweaver16 @juliematthews50 @Pantszilla77 @ninekiller @TheNewRight  https://t.co/Facue3BLmJ</t>
  </si>
  <si>
    <t>This gives me hope that we can collectively overpower one huge, oppressive, aggressive entity to protect that which is important to us; #Freedom and #Liberty
#RadioFreeAllman
#NeverGiveUp
#FightBackHard
#HotPokerGang
@jallman971
#JamieAllman
 https://t.co/lQZhfDhQH2</t>
  </si>
  <si>
    <t>RT @Sticknstones4: Bingo !  @senatornasheed takes a ton of campaign contributions from Mo tax credit developers.  She’s been outspoken agai…</t>
  </si>
  <si>
    <t>Here we have video of #JabbaTheTenuredHut from @Fresno_State with some members of the #HungerGamesWannaBeClub
#WheresHerHijab
#DefineTenure https://t.co/Tcon75H7AU</t>
  </si>
  <si>
    <t>The Facebook Live video from @jallman971 #JamieAllman on the formulation of #RadioFreeAllman
#NeverGiveUp
#FightBackHard
#Unleashed
https://t.co/QHNyrm2ghG</t>
  </si>
  <si>
    <t>This makes me think maybe the #pokertweet was the #bait and @jallman971 is the orca
#RadioFreeAllman 
#NeverGiveUp
#FightBackHard
#INSIST
#Metaphor 
#Context
#IStandWithJamieAllman
#JamieAllman https://t.co/AuGwEMBlqC</t>
  </si>
  <si>
    <t>RT @trumpism_45: The Deep State are not Republicans. They are New World Order Illuminati. https://t.co/ALfgk6UREI</t>
  </si>
  <si>
    <t>Asleep by 3am, up at 9.  Making Sunday breakfast.  Bearthday Boy wants pancakes &amp;amp; bacon.  We shall thank God for bacon.</t>
  </si>
  <si>
    <t>God bless @RealCandaceO https://t.co/zjcIaqwLMk</t>
  </si>
  <si>
    <t>Lordy ~ Lordy https://t.co/sMBYvfMAPl</t>
  </si>
  <si>
    <t>Was I drunk Tweeting last night?  And...why doesn't auto-correct work the other way?!
😀😃😂</t>
  </si>
  <si>
    <t>Re-rwading all of this when We drink my Sleepytime tea &amp;amp; unwind from Spirit Communications tonight
Some nice work @Hume
#IStandWithJamieAllman https://t.co/Py79uroDiH</t>
  </si>
  <si>
    <t>2am and I'm watching this &amp;amp; wondering if I run out now, we can have this for breakfast https://t.co/QoBQ3GrBAF</t>
  </si>
  <si>
    <t>RT @KyleKashuv: No, I am saying let's focus on the crux of the matter, making sure the laws on the books are enforced, and not focus on an…</t>
  </si>
  <si>
    <t>RT @CoreyLMJones: In her new book, Hillary claims that “they were never going to let me be president.”
Who are “they” Hillary?
The establi…</t>
  </si>
  <si>
    <t>@ksdknews Why the "Trump Pal" adjectives?  Why couldn't you just say "Roger Stone"? 
Oh yeah, your #MediaBias is showing
#MediaDoubleStandard</t>
  </si>
  <si>
    <t>That's because We The People LOVE him!!  
#IStandWithEricGreitens 
#Greitens https://t.co/Zx2RPzmuuo</t>
  </si>
  <si>
    <t>Can this be real?!  Let's make this happen! https://t.co/zSdT19dD6c</t>
  </si>
  <si>
    <t>Unbelievable #California.  Have fun becoming #Venezuela
https://t.co/Hi19wddt7S</t>
  </si>
  <si>
    <t>He just needed someone to "understand" him https://t.co/Au70PAY1HJ</t>
  </si>
  <si>
    <t>...except when pushing a faux narrative!
#PokerTweet #RedHotPoker
#Sodomy #Metaphor
#Context #INSIST
@RiverfrontTimes @staceynewman @roykasten @wapo @nytimes @WeAreSinclair @Entercom
@jallman971 #JamieAllman 
#IStandWithJamieAllman https://t.co/7o75nvJq2O</t>
  </si>
  <si>
    <t>@HotPokerPrinces @ws_missouri You mean Burns?</t>
  </si>
  <si>
    <t>I'm so excited ... I KNEW it!  You can't keep a good mouth muted!
#IStandWithJamieAllman 
@jallman971 
#JamieAllman
Maybe he'll become so famous, he'll buy advertising on those other places https://t.co/hI1j2jT2Me</t>
  </si>
  <si>
    <t>@TheNewRight Yeah, thinking bottom floor, then the door to the super secret level</t>
  </si>
  <si>
    <t>Many in the #DeepState follow Satanism https://t.co/YRfRKJhYnX</t>
  </si>
  <si>
    <t>Just think about that for one second https://t.co/8EVs07usf9</t>
  </si>
  <si>
    <t>You know your college has failed when they have pugs on tenure
 https://t.co/0FyroRf7GG</t>
  </si>
  <si>
    <t>@RickThomas007 @sandibachom @88YahamaKeys @Nyclawyer212 @Alyssa_Milano @davidhogg111 @NRA @sueweaver16 @ATeamMom1 @juliematthews50 @Pantszilla77 @ninekiller @TheNewRight What I don't understand is at her age, she wants to be taken seriously, yet she still goes by her porn name.</t>
  </si>
  <si>
    <t>@RickThomas007 @88YahamaKeys @sandibachom @Nyclawyer212 @Alyssa_Milano @davidhogg111 @NRA @sueweaver16 @ATeamMom1 @juliematthews50 @Pantszilla77 @ninekiller @TheNewRight Isn't that strange?  My psychiatrist niece says it's borne out of self-loathing &amp;amp; transference.  You know, like bullies.</t>
  </si>
  <si>
    <t>@Nyclawyer212 @RickThomas007 @sandibachom @Alyssa_Milano @davidhogg111 @NRA ...says the guy who gets his nails done</t>
  </si>
  <si>
    <t>@ws_missouri @HotPokerPrinces So, just calling a radio station host now is racist.  👍Got it👍
I don't listen to Romanik so I certainly have no clue what Burns said on the show.
Just because Romanik exercises his #1A with salty &amp;amp; colorful language doesn't mean his callers are that way.</t>
  </si>
  <si>
    <t>That face.  So Senatorial
#FireClaire🔥
#MoSen
@Beatlebaby64 https://t.co/3vTJp69mWc</t>
  </si>
  <si>
    <t>One of rock's greatest commercial hits ~ I love this song so hard
"Dirty White Boy" by @ForeignerMusic 
 https://t.co/x2tDtadnEq</t>
  </si>
  <si>
    <t>@Beatlebaby64 @GatewayMSP Nope.  A McLaren</t>
  </si>
  <si>
    <t>@RickThomas007 @Nyclawyer212 @sandibachom @Alyssa_Milano @davidhogg111 @NRA Lots of kids in our school district take off for turkey hunting now</t>
  </si>
  <si>
    <t>@Jimi971 @jenniferkrneta @Beatlebaby64 @juliematthews50 @ninekiller  https://t.co/7AbP4CWPYF</t>
  </si>
  <si>
    <t>.#JamieAllman  hates kids so much he has a whole bunch of them
@RiverfrontTimes @staceynewman @roykasten #Metaphor #Context
@jallman971 #INSIST https://t.co/wVh2e7iWKr</t>
  </si>
  <si>
    <t>Just ate at @Lotawata Creek in Fairview Heights ~ oh man, I needs me a nap!!</t>
  </si>
  <si>
    <t>The car of choice
#HappyBEARTHday
@GatewayMSP https://t.co/LChqOyIM6V</t>
  </si>
  <si>
    <t>To quote a friend ... #ZOIKS https://t.co/TklGTTiaKs</t>
  </si>
  <si>
    <t>@Adunn68 @TheNewRight @ThreeColumnsArt @sarahfenske @D_Towski @staceynewman @RiverfrontTimes @roykasten #ScoobyCrew</t>
  </si>
  <si>
    <t>Puling in to @GatewayMSP ... Haven't seen my husband this excited since our wedding LOL
 "Red Barchetta" by @rushtheband 
 https://t.co/VQdPO87EtC</t>
  </si>
  <si>
    <t>E. St Lou ...
"All Over the Road" by @rivalsons 
 https://t.co/026yIbmcs2</t>
  </si>
  <si>
    <t>Crossing over to Illinois...@GatewayMSP
"Dragula" by Rob Zombie 
 https://t.co/05nrV7J4zZ</t>
  </si>
  <si>
    <t>Almost to @GatewayMSP ~ excitement building
"Black Sunshine" by White Zombie
 https://t.co/9RfZL4HvH8</t>
  </si>
  <si>
    <t>RT @Sticknstones4: @Lautergeist @GatewayMSP @tompetty i heard won’t back down &amp;amp; made me think theme song for greitens &amp;amp; allman</t>
  </si>
  <si>
    <t>Headed to @GatewayMSP &amp;amp; THIS comes on! 
"Runnin' Down A Dream" by @tompetty 
 https://t.co/2AHbzJVVV9</t>
  </si>
  <si>
    <t>Just for you @jallman971 
#JamieAllman 
@prince 
https://t.co/oREadgaqGO</t>
  </si>
  <si>
    <t>@Allen54131354 @jallman971 @RiverfrontTimes Air it out.  Walk around nekkid.  That helps
😉😉😉😉😉</t>
  </si>
  <si>
    <t>WHOOP ~ all caught up on the Twitsphere this marnin'!  
Y'all been busy ~ 
Good Mornin' this Mornin'!  Off to drive exotic cars on a track for my husband's #Birthmas present https://t.co/5Z6ynDVeiM</t>
  </si>
  <si>
    <t>@Allen54131354 @jallman971 @RiverfrontTimes Landfill material.  Don't try flushing THAT</t>
  </si>
  <si>
    <t>@Jimi971 @jenniferkrneta @Beatlebaby64 @juliematthews50 @ninekiller I'm UP!  Husband's birthday, we're driving exotic cars!</t>
  </si>
  <si>
    <t>@Margare03880660 I can too on a good caffeine day.  I watched #LALaw</t>
  </si>
  <si>
    <t>Please let me sit in the front row.  I'll behave. https://t.co/L3ioSpXn1a</t>
  </si>
  <si>
    <t>Such in-depth reporting  
@RiverfrontTimes 
#PokerTweet
#HotPokerGang
#Metaphor
#AppealToReason
#INSIST
@staceynewman 
@jallman971 #JamieAllman
#Context #IStandWithJamieAllman 
#AMetaphorIsAMetaphor
#RobbyBenson
#ReservoirDogs https://t.co/wVh2e7iWKr</t>
  </si>
  <si>
    <t>RT @JackPosobiec: Hi @AllisonMack! What did you mean by this? https://t.co/QRCIDDFA0e</t>
  </si>
  <si>
    <t>RT @StephenMilIer: Hillary Clinton: Nobody can have a more embarrassing book tour than me.
Comey: Hold my beer.</t>
  </si>
  <si>
    <t>Care to comment @RiverfrontTimes ? 😀😅🤣😆
@jallman971 #JamieAllman 
#AMetaphorIsAMetaphor
#PokerTweet #RedHotPoker #HotPokerGang #RoyalFlush
#INSIST #MediaDoubleStandard https://t.co/LidsfK7R8c</t>
  </si>
  <si>
    <t>Bringing up some past to meet the hear &amp;amp; now ... https://t.co/IIuqOqbRgC</t>
  </si>
  <si>
    <t>There goes that #ScandalFree 8 years. https://t.co/bsGkdlcN0x</t>
  </si>
  <si>
    <t>RT @tseidenstricker: Austin Petersen speaking at #DentCounty Lincoln Days in Salem, Mo. @AP4Liberty #MoSen https://t.co/DZ0kZJo6uY</t>
  </si>
  <si>
    <t>@SKOLBLUE1 I'm so confused.</t>
  </si>
  <si>
    <t>RT @realDonaldTrump: James Comey illegally leaked classified documents to the press in order to generate a Special Council? Therefore, the…</t>
  </si>
  <si>
    <t>Let. Me. Guess.
He's a #Democrat.  "We need to give opiate-addicts a safe place to do their drugs.  Let them come out of the shadows"
Huh?  Opiates or illegals?!  Dems interchanging issues now.
https://t.co/KZXw2poDXL</t>
  </si>
  <si>
    <t>RT @samigilkes: HAHAHA you own a $3M private plane and a $2.7M DC condo, @clairecmc. #MOSen https://t.co/tL895gnLCF</t>
  </si>
  <si>
    <t>RT @DeplorableGoldn: RT-ing 🚨
Cuz first charge from that washed up DJ ex husband fell apart - &amp;amp; was fake.
They are just throwing stuff aga…</t>
  </si>
  <si>
    <t>Nope, not buying it.  The John Galt shirt was a dead giveaway 
🤣🤣🤣 https://t.co/dHGeSJb641</t>
  </si>
  <si>
    <t>Too bad, so sad Commies!  You #Fail at #Boycotts because you never spend your own money anyway! https://t.co/jYMA1cPuB4</t>
  </si>
  <si>
    <t>@prayingmedic  https://t.co/YQEExAboui</t>
  </si>
  <si>
    <t>Stop with the #WitchHunt!  We, The People, elected @EricGreitens !  Stop trying to over-reaction our votes! #KimShady #IStandWithEricGreitens
#MoLeg #NoNotesTisaby @HereLiesMoon #MoonValjean #BitterCuckholdedExHusband https://t.co/iroDPQ775F</t>
  </si>
  <si>
    <t>This is so distressing, the death of @Avicii 
I am going to be forever haunted by this song, and yes, I know it was a commercial but the visuals, with the vocals ... 
https://t.co/G5RhLDJeH1</t>
  </si>
  <si>
    <t>'tis begun
#Pizzagate #SexTrafficking
#SexTraffickingRing https://t.co/PujGtSscAy</t>
  </si>
  <si>
    <t>All's quiet for now.  I'ma going to watch some tv until things heat up again.</t>
  </si>
  <si>
    <t>OMG YOU GUYS! Did you know about #RedHotPokerPlants?!  The OUTRAGE! Someone tell @staceynewman @RiverfrontTimes @charlesjaco1 
@jallman971 #JamieAllman 
https://t.co/rVfPfL0hv5</t>
  </si>
  <si>
    <t>Put down the one-hitter Chucky.  Your obvious pandering is leaking out
#420Day https://t.co/xvkb5I2GMO</t>
  </si>
  <si>
    <t>Says Daphne's mom who refuses to show her face 
#TrollTools #Sodomize #RedHotPoker #PokerTweet @jallman971 #JamieAllman 
Wondering if she knows Daphne snuck on to her laptop in the kitchen when he came down from the attic to make a sammiche
#Metaphor #IStandWithJamieAllman https://t.co/jk3yJi5XXX</t>
  </si>
  <si>
    <t>YESSSSSSSSS https://t.co/ydtGBIVH05</t>
  </si>
  <si>
    <t>Poor Daphne.  She never even saw the bus
#HotPokerGang
#PokerTweet
#INSIST
#ExposedTroll https://t.co/Sk9mmKKeeM</t>
  </si>
  <si>
    <t>@TheNewRight OPE...</t>
  </si>
  <si>
    <t>Using licensed sports teams logos like the @StLouisBlues  @Cardinals &amp;amp; @redsox is okay when you're doing it on little acrylic squares for $7-$8 each &amp;amp; it doesn't SAY the name on the canvas, right?
This whole thread w/1 small popcorn bowl
Psst: Your lines aren't straight https://t.co/hEN1LFOsnM</t>
  </si>
  <si>
    <t>RT @SebGorka: What do Klingons say about the temperature of Revenge?
This will get SO interesting.
FAST.
The @DNC just made the biggest…</t>
  </si>
  <si>
    <t>Hi @EricGreitens @SheenaGreitens #LegalTeam 
Did you know there's a St Louis artist who claims intimate knowledge of the affair? 
Because here he is expanding on the #IncompleteHouseReport with details. 
How does he know these details, I wonder? 
#Defamation https://t.co/E4CScWy3S1</t>
  </si>
  <si>
    <t>Heh 😀 #TrollTools #Pfffft 
@staceynewman @jallman971 #JamieAllman  #PokerTweet https://t.co/kdYZWsZw3B</t>
  </si>
  <si>
    <t>Daphne ~ 😂🤣
#PokerTweet
#RoyalFlush
Just don't say a #Straight or someone might get offended
#PCPokerTweets
@ThreeColumnsArt https://t.co/3JUJ373gdE</t>
  </si>
  <si>
    <t>Nothing has been signed or delivered!!
#PokerTweet
@jallman971 got his #PokerFace on
#JamieAllman
#IStandWithJamieAllman
#FatLadyAintSingin
 https://t.co/vScN5xbrgD</t>
  </si>
  <si>
    <t>Zooms out to see the big picture
#context 
#pokertweet https://t.co/FPo4qgUFLf</t>
  </si>
  <si>
    <t>@TheNewRight @jallman971 .#HotPokerGang
#HotPokerMetaphorHeardRoundTheCountry
#ReservoirDogs
#LennyBruce
#NotGayRobbyBenson
@jallman971 
#JamieAllman</t>
  </si>
  <si>
    <t>@ThreeColumnsArt @TheNewRight @jallman971 @staceynewman @roykasten @charlesjaco1 @RiverfrontTimes @wapo @nytimes @davidhogg111 @971FMTalk @Entercom Show us on the tweet where @jallman971 #JamieAllman said he was going to #sodomize Hogg !!  😂🤣😀😅😃🤣😆</t>
  </si>
  <si>
    <t>Doubled-down on the #Sodomy lie 
😅🤣😀😆🤣😂😃😅😃
OMG Dan, keep it up, I might die laughing!  (#metaphor)
@jallman971 #JamieAllman 
#IStandWithJamieAllman https://t.co/z2OCtsEQhJ</t>
  </si>
  <si>
    <t>.#HotPokerExpress #PokerTweet
#HotPokerGang @jallman971 #JamieAllman https://t.co/GWsTvtjrCT</t>
  </si>
  <si>
    <t>.#IStandWithJamieAllman 
@jallman971 #JamieAllman https://t.co/i7XNHn8JsW</t>
  </si>
  <si>
    <t>@AndrewsDisciple @markmeyer11 @Sticknstones4 @jallman971 @staceynewman @Entercom @WeAreSinclair @KDNLABC30 @971FMTalk @jeffallen971 Yes!  I met @Jamie at @Kaldis_Coffee when we took some Cub Scouts there on a field trip!  OMG, yes.  I just saw #Smash at the old Kriegers in T&amp;amp;C, he looked ~ er ~ SMASHING</t>
  </si>
  <si>
    <t>@markmeyer11 @Sticknstones4 @jallman971 @staceynewman @Entercom @WeAreSinclair @KDNLABC30 @971FMTalk @jeffallen971 @JJCarafano @Judgenap @Doug_Giles @gatewaypundit Marc has relationships with them ... don't fret</t>
  </si>
  <si>
    <t>.#RoyLikedTheTweet 
#JamieAllman
@jallman971 
#DestructionOfAGoodMan
#RedMedia
#Insist
#OutrageMafia https://t.co/8SgRQby9fw</t>
  </si>
  <si>
    <t>We wanted to call our soccer team The Blues but couldn't get approval 
How much does that licensing cost, @ThreeColumnsArt ?
@StLouisBlues approved this, right? https://t.co/hEN1LFOsnM</t>
  </si>
  <si>
    <t>@TheNewRight Ope!!  You search MY music and you'll get @Megadeth  &amp;amp; @joshgroban 
Don't judge</t>
  </si>
  <si>
    <t>More left-wing loons (because I don't know what the preferred pronoun) who thinks that a movie #metaphor = forced sodomy on a teenager
@jallman971  #JamieAllman
#Context #AppealToReason #CharacterAssassination
Thanks @RiverfrontTimes 
Thanks @staceynewman https://t.co/U1jMWRvtXm</t>
  </si>
  <si>
    <t>Follow this thread closely as @TheNewRight lays the foundation for his next piece of research
#INSIST #metaphor #Context #IStandWithJamieAllman 
@jallman971 #JamieAllman
#pokertweet #AppealToReason https://t.co/AIy7Jn2w6V</t>
  </si>
  <si>
    <t>Like he CARES to make sure everything is in #Context
#Metaphor #JamieAllman @jallman971 #INSIST https://t.co/FPo4qgUFLf</t>
  </si>
  <si>
    <t>@markmeyer11 @Sticknstones4 @jallman971 @staceynewman @Entercom @WeAreSinclair @KDNLABC30 @971FMTalk @jeffallen971 I used to listen to dr. Laura and I couldn't stand her!</t>
  </si>
  <si>
    <t>Happy 4:20 https://t.co/GceIVd4Qip</t>
  </si>
  <si>
    <t>"Phones are LIT" 
You're killing me @MarcCox971 
🤣😂😀😄😃😂🤣😃😀
#mcs971</t>
  </si>
  <si>
    <t>"HIGH ALERT" LOLZ
#420Day 
#mcs971 
@MarcCox971</t>
  </si>
  <si>
    <t>@Sticknstones4 @HotPokerPrinces @BearGrylls Uhm, yellow or dijon??</t>
  </si>
  <si>
    <t>@Sticknstones4 @markmeyer11 @jallman971 @staceynewman @Entercom @WeAreSinclair @KDNLABC30 @971FMTalk @jeffallen971 Wish we could listen on @971FMTalk but @WeAreSinclair &amp;amp; @Entercom pretty much screwed that pooch (#metaphor)</t>
  </si>
  <si>
    <t>@Margare03880660 Kinda weird when you repress a really bad memory &amp;amp; when it suddenly rushes back.  It's frightening AND fascinating all at the same time
Like cyst popping ~ ha 😒</t>
  </si>
  <si>
    <t>@Margare03880660 Books &amp;amp; newspaper articles on it.  Bastard escaped the death penalty because
#HeWasAChild  #WhyICarry</t>
  </si>
  <si>
    <t>@HotPokerPrinces @BearGrylls  https://t.co/xJeBfEAhdE</t>
  </si>
  <si>
    <t>Heh, NOPE
@jallman971 #JamieAllman
#IStandWithJamieAllman 
#Insist #AppealToReason
#Metaphor #PokerTweet
#RedJournalism #RedMedia
#MediaDoubleStandard https://t.co/ITJ2LOspce</t>
  </si>
  <si>
    <t>The first 2 paragraphs tell me this girl is an elitist child of 1%'rs
Why would @CNN think this would win over readers?  Here's another helicoptered child, at 16, who wants to tell ME how to live
#NoThanks
#AdiosFelicia
 https://t.co/f1nTiXmUY2</t>
  </si>
  <si>
    <t>How about organize on a Saturday or Holiday or #TeacherWorkDay
School is for learning, not activism.  Do that shit on your own dime in college
I'm curious how a 16-yr old organized this before she was born.  Haven't there been walk-outs every year since #Columbine? https://t.co/LEmnGEa5Ml</t>
  </si>
  <si>
    <t>Praying my #PrayerOfProtection for @POTUS, as the #pedos fall https://t.co/P7H0cXsKdl</t>
  </si>
  <si>
    <t>"Head Down" ~ @rivalsons https://t.co/UX9MVDqwph</t>
  </si>
  <si>
    <t>@markmeyer11 Kinda makes the WaPo vulnerable, ya think?</t>
  </si>
  <si>
    <t>I mean since he's apparently not going to college, and you know, his writing is so stellar, why not make a #CommunistManifesto on #GunControl, make some dough?
#HoggWash
#CameraHogg
#RedHotPoker https://t.co/WxrIcWPuBs</t>
  </si>
  <si>
    <t>Yeah, I'll pass.  Being a 15-year old shooting hit list survivor myself, you're have no idea what I endured
#HoggTalk
#CameraHogg
#Fascist https://t.co/EQU9CKT1RK</t>
  </si>
  <si>
    <t>RT @RealJamesWoods: Why not donate the money equally to the surviving immediate families of the 17 actual victims? Oh, right, you’re being…</t>
  </si>
  <si>
    <t>@StacyOnTheRight You should have done your stocking up YESTERDAY, people.  Stay home!</t>
  </si>
  <si>
    <t>Who does @clairecmc think she's representing?  She"s bought &amp;amp; paid for by 1%'rs
#FireClaire🔥
#MoSen https://t.co/qBLYBC9pvE</t>
  </si>
  <si>
    <t>RT @ReaganBabe: It’s 4/20. Chuck is lit. Now explain Obamacare in this new found federalism. https://t.co/jR90ftDIMi</t>
  </si>
  <si>
    <t>@Conservative_VW Or a #RedHotPoker</t>
  </si>
  <si>
    <t>@ATeamMom1 Why is she even around?  Do people really find her funny?</t>
  </si>
  <si>
    <t>@AndrewsDisciple @staceynewman @jallman971 Yes, but she goes to *work" when not siphoning our tax money 😉😉😉</t>
  </si>
  <si>
    <t>Snakes are good eatin' too.  I watched @BearGrylls tear one with his teeth https://t.co/M7zj3xIVNo</t>
  </si>
  <si>
    <t>@markmeyer11 @staceynewman @jallman971 Nice work @markmeyer11 !</t>
  </si>
  <si>
    <t>Folks, just because she's blocked you, you can still use her "at" ~ and when someone who's NOT blocked RETWEETS WITH COMMENT, she gets it!
This is THEIR tactic ~ we're just using it https://t.co/nB466yKRzM</t>
  </si>
  <si>
    <t>You created your own worst nightmare @staceynewman ~ getting @jallman971 off air 
#JamieAllman is unleashed &amp;amp; he's going back to his investigative reporter roots.  
Worried yet?  😎
#RedMedia #OutrageMafia 
#Karma #Retribution
#ThatWatchedFeeling
#pokertweet #insist https://t.co/BSHlGu770b</t>
  </si>
  <si>
    <t>And, just so you know @WaPo advertisers DIDN'T leave @971FMTalk despite @staceynewman @RiverfrontTimes @charlesjaco1 #RedArmy &amp;amp; the #OutrageMafia attempted #boycott
They ++ ad buying &amp;amp; some will even support @jallman971 in his next venture
#INSIST
#Context
#JamieAllman https://t.co/LkCVcQYLti</t>
  </si>
  <si>
    <t>Hi @wapo ~ show us in the original "tweet" where @jallman971 #JamieAllman (late of @WeAreSinclair &amp;amp; @Entercom ) said he "threatened to SEXUALLY ASSAULT" David Hogg
I"ll wait over here #OnTheRight
#Metaphor #IStandWithJamieAllman 
#INSIST #pokertweet 
#Context https://t.co/f9sY8JI40y</t>
  </si>
  <si>
    <t>I want to go in here so bad because I don't scare easily and I'm claustrophobic
#HellfireCaves https://t.co/tiq0BRim37</t>
  </si>
  <si>
    <t>But let's not let FACTS and STATISTICS get in the way of re-tread 60's rhetoric so your organization can stay relevant
#EqualRightsAdministrAtion
#WarOnWomen
https://t.co/2l0Z1cl83l</t>
  </si>
  <si>
    <t>I have to say, @JJCarafano is consistently one of my favorite regulars on @971FMTalk 
@SpeakerTimJones 
@MarcCox971 
@jeffallen971</t>
  </si>
  <si>
    <t>Those two photos look damn close
@roykasten @RiverfrontTimes #MediaBias #RoyLikedIt #RoyUnderstoodMetaphorsBeforeHeDidnt  #Insist #Context @jallman #JamieAllman https://t.co/FBNfimpmhZ</t>
  </si>
  <si>
    <t>See how easily the Left's #RedArmy  greatly exaggerates the #MovieQuote #Metaphor to slander @jallman971? 
Well orchestrated &amp;amp; coordinated hysteria by the #OutrageMafia
#JamieAllman #IStandWithJamieAllman
@WeAreSinclair
@Entercom 
#MediaDoubleStandard https://t.co/rw8YiXk8OM</t>
  </si>
  <si>
    <t>@88YahamaKeys @TheNewRight Yeah, please define art 😀😆😅</t>
  </si>
  <si>
    <t>Addendum to @ThreeColumnsArt role in this.  Maybe he should have just stayed a little offside
@staceynewman @roykasten @charlesjaco1 @RiverfrontTimes @wapo @nytimes 
#DestructionOfAGoodMan
@jallman971 #JamieAllman 
#AMetaphorIsAMetaphor #Context #MovieQuotes #Metaphor https://t.co/cqggD2BEas</t>
  </si>
  <si>
    <t>Laying it out ~ like taco night
@staceynewman 
#INSIST #Metaphor @jallman971 #JamieAllman @WeAreSinclair @Entercom @roykasten @RiverfrontTimes #Slander #moleg #DestructionOfAGoodMan https://t.co/r748Yh3yR4</t>
  </si>
  <si>
    <t>The head of the snake?
@staceynewman 
@roykasten @RiverfrontTimes @charlesjaco1 @stltoday
@WeAreSinclair @Entercom 
@jallman971 #JamieAllman
#Insist #Context #MediaDoubleStandard
#moleg #Slander https://t.co/kdYZWsZw3B</t>
  </si>
  <si>
    <t>Oh, hey!  @charlesjaco1&amp;amp; @RoyKasten show up again in this continuing saga 
FOLLOW THIS THREAD
#Insist #MediaDoubleStandard
#AppealToReason #Context #metaphor #RedMedia @jallman971 #JamieAllman @WeAreSinclair @RiverfrontTimes @Entercom #PokerTweet https://t.co/2YeD4Ircix</t>
  </si>
  <si>
    <t>RT @PoliticDspondnt: @chucktodd Chuck is marijuana legal where you live? Cause you must be high. These memos show that DJT welcomed investi…</t>
  </si>
  <si>
    <t>It's so convoluted, #JamesComey https://t.co/HqMLU0qtTB</t>
  </si>
  <si>
    <t>Okay, I laughed ... https://t.co/vMB5RkLU9a</t>
  </si>
  <si>
    <t>@JonahNRO Yawn.</t>
  </si>
  <si>
    <t>I'm kind of mad at people who are trying to shift their anger at @Entercom over @jallman971 's termination on to the remaining on-air talent at @971FMTalk 
They had nothing to do with it, people.  Get your head out your ass (#metaphor) (but the anger is real)</t>
  </si>
  <si>
    <t>Good they have all those journalists there, browsing the books
#JamesComey
#BigFatFail
#DemocratsDontEvenSupportHim
#Liar https://t.co/W7ABiyvRSK</t>
  </si>
  <si>
    <t>Aaaaand I'm bawling my eyes out right now.  What an incredible gift and what a beautiful little boy.
#BlakeSnyder
@BackStoppers https://t.co/oAbwPeRRY4</t>
  </si>
  <si>
    <t>If you are a true fan and supporter of @jallman971 #JamieAllman 
you might want to follow him on the YouTubez
https://t.co/iP7df0FtsF</t>
  </si>
  <si>
    <t>Is this okay with you Missouri?!
Do as I just did (at Bar Louie, sippin' my #MoscowMule) and ring this guy up and tell him OBSTRUCTIONISM is not okay https://t.co/xqfyuMACxq</t>
  </si>
  <si>
    <t>New video from @jallman971 #JamieAllman and he has a disembodied voice this time
#MediaDoubleStandard
#AppealToReason
#Metaphor #Context
https://t.co/N2p1okMSI9</t>
  </si>
  <si>
    <t>I still have your voicemail saved from when you met @KSHE95 @RickBalis &amp;amp; came up with #MarcCoxRox!
"And no, I'm not playing any @rivalsons...". 
But you do now! 💖💖💖
@MarcCox971
#MCS971</t>
  </si>
  <si>
    <t>Maybe someone over at @HubbardRadio @1057thePoint can direct #Moon🌛 to this podcast since the #Cyberbully #Cyberstalker of @SheenaGreitens has blocked me
#MediaDoubleStandard
#AppealToReason #Insist
#GreitensIndictment https://t.co/ALhq2kHaJh</t>
  </si>
  <si>
    <t>Thank you to Ken &amp;amp; "Birdlegs" Becky Miller of #SugarCreekWinery @defiancewinery for your continued support of conservative talk radio on @971FMTalk 
@jeffallen971 @MarcCox971 @anniefreyshow #MCS971 #DGS971 @tonycolombo971</t>
  </si>
  <si>
    <t>.#2ADefenders
#2AShallNotBeInfringed https://t.co/cnM8So2dGe</t>
  </si>
  <si>
    <t>I absolutely love @Dloesch fearlessness https://t.co/N0ETleP2Z8</t>
  </si>
  <si>
    <t>God I miss her here in #TheLou but I love seeing her on the national stage.  Good for her! https://t.co/uQyEYQAAzh</t>
  </si>
  <si>
    <t>Soon to be a major recognized holiday at @ParkwaySchools https://t.co/ikxe4CFNZv</t>
  </si>
  <si>
    <t>I guess #ClaireBear feels she's elevated to the level of only meeting with her donor/Psychophants any more.  
@AP4Liberty #AustinPetersenForSenate
#AustinPetersenForLiberty
#FireClaire🔥
#MoSen https://t.co/IBtlnj2LER</t>
  </si>
  <si>
    <t>@88YahamaKeys @TheNewRight @denysschaefer @kbailey971 @Tricia_971 @MarcCox971 @jeffallen971 @971FMTalk @anniefreyshow @SpeakerTimJones They already KNOW, but couldn't"t resist getting the narrative before the #OutrageMafia  &amp;amp; to their brain-dead zombie parrots</t>
  </si>
  <si>
    <t>@ChrisLoesch And I love #DemiMoore so don't be snarky peeps</t>
  </si>
  <si>
    <t>@ChrisLoesch Oh, #DemiMoore for sure.</t>
  </si>
  <si>
    <t>Anyone for some poker?
#PokerTweet #Metaphor #AMetaphorIsAMetaphor
#WordsNotAction
#INSIST #JamieAllman @jallman971 @Entercom https://t.co/XARZg2REu9</t>
  </si>
  <si>
    <t>@88YahamaKeys @TheNewRight @denysschaefer @kbailey971 @Tricia_971 @MarcCox971 @jeffallen971 @971FMTalk @anniefreyshow @SpeakerTimJones Yes, will take some adjustment.  Jamie moved at a much faster pace, as we liked to get as much info while getting ready for work, driving.  Marc is more in-depth, commentary, interview which works for the afternoon time.  
I hope Jamie will do podcasts until re-established!</t>
  </si>
  <si>
    <t>@KMOXKilleen @EricGreitens .#WitchHunt #Greitens #JesusHRooseveltChrist</t>
  </si>
  <si>
    <t>Not sure if we can believe a #PathologicalLiar https://t.co/OdX9s6v94s</t>
  </si>
  <si>
    <t>Hi @ParkwaySchools @ParkwaySupt will students have adfitional days added at the end of the school year for "protests" during school hours? https://t.co/fe4SkAEUd1</t>
  </si>
  <si>
    <t>This is beyond sweet, I can't even... https://t.co/8IIGAvXyff</t>
  </si>
  <si>
    <t>He's the sweetest #introvert, this side of me.  💖💖 https://t.co/3cuxgVnU2L</t>
  </si>
  <si>
    <t>@88YahamaKeys @denysschaefer @kbailey971 @Tricia_971 @MarcCox971 @jeffallen971 @971FMTalk The ladies are staying ~ with @MarcCox971 !!
The lovely 💖 @anniefreyshow is all grown up now, moving in to Marc's afternoon slot, 12-3
@SpeakerTimJones gets to keep his weekend duties, and will fill in as needed.</t>
  </si>
  <si>
    <t>Just because of the changes at the station, doesn't mean this fight is over
We still fight to expose those who hastened @jallman971 removal, and the #MediaDoubleStandard
#TrumpGreitensAllman are all linked, folks.  
#INSIST</t>
  </si>
  <si>
    <t>@strmsptr @MarcCox971 @anniefreyshow @971FMTalk *Marc = Mac LOL</t>
  </si>
  <si>
    <t>Thank you @SpeakerTimJones 
You"re my favorite "substitute teacher" on @971FMTalk 
@jeffallen971 @971FMTalk 
@MarcCox971 @anniefreyshow</t>
  </si>
  <si>
    <t>@juliematthews50 @TheNewRight @88YahamaKeys @dianejneff1 @AnnetteRR @Margare03880660 @MarcCox971 @SpeakerTimJones I hope no</t>
  </si>
  <si>
    <t>@strmsptr @MarcCox971 @anniefreyshow @971FMTalk And I would never ever try to invalidate your feelings ~ Mac is a consummate professional &amp;amp; a true #ConstitutionalConservative.</t>
  </si>
  <si>
    <t>RT @KatTheHammer1: This is why we stand for our anthem. 👇🇺🇸 https://t.co/O0bqKQvx9J</t>
  </si>
  <si>
    <t>My heartfelt congratulations to @denysschaefer @kbailey971  @Tricia_971 
@MarcCox971 is a great boss, very aware and very caring.  You all will make a great fit.
@jeffallen971 @971FMTalk</t>
  </si>
  <si>
    <t>Although the circumstances are less than pleasant, I can't think of a better person than @MarcCox971 to fill the slot.
A @anniefreyshow in the afternoon I'm so excited!!
@971FMTalk</t>
  </si>
  <si>
    <t>Just listening to Dr Gorka speak makes me feel so much smarter
@SebGorka https://t.co/UpzLvqF2uA</t>
  </si>
  <si>
    <t>.#MakeTaxationTheftAgain 
#MakeTaxationTheftAgain 
#MakeTaxationTheftAgain 
#MakeTaxationTheftAgain 
#MakeTaxationTheftAgain 
#MakeTaxationTheftAgain 
#MakeTaxationTheftAgain 
#MakeTaxationTheftAgain 
#MakeTaxationTheftAgain https://t.co/TmIf0dvv68</t>
  </si>
  <si>
    <t>@Beatlebaby64 Shush!  If I could work remotely I would but...</t>
  </si>
  <si>
    <t>This is not related to the explosives theft in Marietta Georgia.  This is a #metaphor 
#JamieAllman @jallman971 
#TruthBeTold #OutrageMafia
#MediaDoubleStandard
@Entercom @WeAreSinclair 
#AppealToReason #INSIST https://t.co/jFyMzC4Pe3</t>
  </si>
  <si>
    <t>This situation at Northbound 141 and Highway 44 is ridiculous.  For two whole weeks we're going to have to deal with lane closures and there is no contingency plan for the sheer volume of traffic that travels this road way everyday</t>
  </si>
  <si>
    <t>@DailyLibber @juliematthews50 @jallman971 @TheNewRight @Drumrunner2012 @stltoday That's a great idea!  Thanks @DailyLibber !
@jallman971 #JamieAllman</t>
  </si>
  <si>
    <t>Yeah but there's really nothing to worry about.  We don't have foreign and domestic terrorists in the United States right?? https://t.co/516UQXlIHf</t>
  </si>
  <si>
    <t>@dianejneff1 @88YahamaKeys @HawleyMO @ATeamMom1 @juliematthews50 @sperry0111 @EagleEdMartin @gomurphy Diane, I think she was asking me.  We know how hard you guys work to set these things up.</t>
  </si>
  <si>
    <t>This just became a three-way race for #MoSen 
Bye Bye @HawleyMO @AGJoshHawley https://t.co/OMi6ec1NBo</t>
  </si>
  <si>
    <t>@88YahamaKeys @dianejneff1 @HawleyMO @ATeamMom1 @juliematthews50 @sperry0111 @EagleEdMartin @gomurphy It's taken us months to get to this point</t>
  </si>
  <si>
    <t>@88YahamaKeys @dianejneff1 @HawleyMO @ATeamMom1 @juliematthews50 @sperry0111 @EagleEdMartin @gomurphy No ~ only the client can.  It's a paranormal thing.  👻</t>
  </si>
  <si>
    <t>Ope, "Grabbing the bull by the horns"
OMG freak out @Entercom, a #conservative guest with @SpeakerTimJones on @971FMTalk used a #metaphor!  
#IStandWithJamieAllman @jallman971 #AppealToReason
And @HubbardRadio @1057thePoint still employs #cyberbully @HereLiesMoon 
#INSIST</t>
  </si>
  <si>
    <t>Again, we did not elect @EricGreitens to be our moral &amp;amp; spiritual leader.  Simple.  We, the people, elected the guy we felt would best #DrainTheMissouriSwamp &amp;amp; work with @POTUS to #MAGA
GOT IT?  UNDERSTOOD? https://t.co/oKtDUWbBGb</t>
  </si>
  <si>
    <t>As smoking or ingesting marijuana is currently illegal in our state, I'd like drug testing for anyone who is against #Greitens &amp;amp; be fired immediately
#DrainTheMissouriSwamp https://t.co/bzsd1peX2P</t>
  </si>
  <si>
    <t>Hi #MoLeg ~ I move to withhold funding from @ParkwaySchools as they're not teaching the curriculum.  They're teaching #anarchy 
Who's behind this? https://t.co/WqlszjWZWR</t>
  </si>
  <si>
    <t>You all know @foxtheatrestl is haunted @SpeakerTimJones @kbailey971 @denysschaefer @Tricia_971 
#JustSayin</t>
  </si>
  <si>
    <t>@Sticknstones4 @971FMTalk Sadly, I have a contingency line-up.  I'm a closet pessimist</t>
  </si>
  <si>
    <t>@Beatlebaby64 Everyone is forgiven.  My first thought was https://t.co/UwSSIEalTX</t>
  </si>
  <si>
    <t>Waiting with nervous anticipation 
* #Greitens
* @971FMTalk 
* #ClintonIndictment
* #Spring</t>
  </si>
  <si>
    <t>@dianejneff1 @HawleyMO @ATeamMom1 @88YahamaKeys @juliematthews50 @sperry0111 @EagleEdMartin @gomurphy Dang it ~ I have a huge volunteer job that night grrrrrrrr maybe my clients will back out</t>
  </si>
  <si>
    <t>OMG ~ some one pinch me.  Is this FOR REAL?!  
#Comey #Clinton #Lynch #McCabe #Strzonk https://t.co/RuD5j5Km19</t>
  </si>
  <si>
    <t>I want to go! https://t.co/fRakVjU3TA</t>
  </si>
  <si>
    <t>Laura Loomer ~ the female Breitbart https://t.co/MmCERNEbJQ</t>
  </si>
  <si>
    <t>Good God, I hope she's not riding around on re-tread tires https://t.co/L6w10FNx5n</t>
  </si>
  <si>
    <t>She looks like a human pug
 https://t.co/2vJfLI4NxS</t>
  </si>
  <si>
    <t>Thank you, too Blake.
#IStandWithGovEricGreitens https://t.co/SlBER5L46J</t>
  </si>
  <si>
    <t>Nice work, sir.  Someone needed to say it and @Monetti4Senate did.
#MoSen #FireClair🔥 https://t.co/gfQmpxItFJ</t>
  </si>
  <si>
    <t>Butt-hurt soy-boy metrosexual  hound dawg @HereLiesMoon has blocked me.  Go fucking figure.  Fucking stalker.</t>
  </si>
  <si>
    <t>Are you following this @WeAreSinclair @Entercom? 
What is it with the #MediaDoubleStandard?
You guys DESTROY @jallman971's life &amp;amp; career over a #metaphor yet
@HubbardRadio @1057thePoint stands firm with their #Cyberbully #Cyberstalker @HereLiesMoon 
 https://t.co/5tdIvpwyX6</t>
  </si>
  <si>
    <t>.#IStandWithGovEricGreitens 
#IAmBehindEricGreitens
#MediaDoubleStandard
Why is @HereLiesMoon still employed by @HubbardRadio when he #cyberstalked #Cyberbullied @SheenaGreitens !?
#BurnTheConservative https://t.co/Sul5Bh4IQY</t>
  </si>
  <si>
    <t>RT @true_pundit: Singer Morrissey says that ‘modern loony left’ forgot that Hitler was ‘left wing’ https://t.co/0Y5xylHPB6</t>
  </si>
  <si>
    <t>RT @Margare03880660: #IStandWithGovEricGreitens #LadderBoy #DraintheSwamp https://t.co/uQQKjTarmQ</t>
  </si>
  <si>
    <t>RT @Sticknstones4: polling shows a plurality of voters in the heavily Republican-leaning regions outside Kansas City and St. Louis still ap…</t>
  </si>
  <si>
    <t>@DailyLibber @Markknight45 @SmokeyBear2018 @jallman971 @SpeakerTimJones @MarcCox971 @anniefreyshow @VisioDeiFromLA @juliematthews50 @dianejneff1 @971FMTalk @1057thePoint @HereLiesMoon @SheenaGreitens @Entercom @97 1)He's still following people from there
Yes, some are missing, I'll grant you that.  But it could be for any number of reasons.  Maybe he wasn't following them to begin with?</t>
  </si>
  <si>
    <t>Suddenly, @AGJoshHawley @HawleyMO ain't looking so good. https://t.co/OMi6ecjosW</t>
  </si>
  <si>
    <t>@Monetti4Senate @HawleyMO Wow...just, wow</t>
  </si>
  <si>
    <t>More #RedMedia 
@stltoday @RiverfrontTimes 
jumping on the train
#INSIST @jallman971 #JamieAllman 
You started this @WeAreSinclair @Entercom #SlowClap
#DestructionOfAGoodMan #INSIST https://t.co/nrpEsYGNtW</t>
  </si>
  <si>
    <t>LQQKIE HERE ~ yet another tolerant, accepting, name-calling Lefty, defaming &amp;amp; slandering #JamieAllman @jallman971 
THANKS @Entercom 
THANKS @WeAreSinclair 
#KneeJerkReaction #INSIST 
#Metaphor #Context #IStandWithJamieAllman https://t.co/nuQgRRs0Bs</t>
  </si>
  <si>
    <t>Despite#Bolsheviks like @staceynewman, the #OutrageMafia &amp;amp; the #MediaDoubleStandard, #MoGov @EricGreitens is getting things done in Jeff City
@SpeakerTimJones #Greitens https://t.co/7mSpk3aF4C</t>
  </si>
  <si>
    <t>I did not elect @EricGreitens to be my moral compass. I elected him to #DrainTheMissouriSwamp &amp;amp; work with @POTUS  
#GreitensIndictment #Greitens https://t.co/BR3HQ2qctu</t>
  </si>
  <si>
    <t>Hi @POTUS @realDonaldTrump your boy @AGJoshHawley is knee-deep in an attempted coup to rid Missouri of its democratically-elected Republican Governor
#Greitens #MoGov @AP4Liberty
 https://t.co/KkgpB3O1pb</t>
  </si>
  <si>
    <t>@tonycolombo971 @MarcCox971 @HawleyMO @EricGreitens When can we have a poll asking if @EricGreitens should sue @HereLiesMoon for defamation?  Then press charges for 🌛 #cyberstalking #cyberbullying @SheenaGreitens ~ more evidence that this case</t>
  </si>
  <si>
    <t>We elected him to run the State, not to be our moral leader.  That's up to God.  
#IStandWithGovEricGreitens 
#Greitens #MoLeg @HawleyMO 
#MoGov 
However, I think he should sue @HereLiesMoon for #defamation https://t.co/bLbg8I2Emk</t>
  </si>
  <si>
    <t>OMG I REMEMBER THIS!! https://t.co/y3LXVgV7Cw</t>
  </si>
  <si>
    <t>Back to conference.
#yawn</t>
  </si>
  <si>
    <t>But but but...
#Greitens #GreitensIndictment
#MediaDoubleStandard 
@HereLiesMoon #KimShady @stlcao 
The REAL story here is a bitter ex-husband  mentally abusing his ex wife &amp;amp; her paramore AND #cyberstalking #cyberbullying @SheenaGreitens 
BUT LET'S NOT TALK ABOUT THAT https://t.co/a3Ogy3E3Lm</t>
  </si>
  <si>
    <t>.#IStandWithJamieAllman 
#JamieAllman @jallman971 
#AMetaphorIsAMetaphor
#INSIST
#MediaDoubleStandard https://t.co/pGUYgmiB3G</t>
  </si>
  <si>
    <t>Hit this hard, gang
#IStandWithJamieAllman 
#JamieAllman 
@jallman971 
#MediaDoubleStandard
#Metaphor
#pokertweet
#INSIST https://t.co/OhiBbOPe1N</t>
  </si>
  <si>
    <t>OPE!!! https://t.co/EQAdUqm4FI</t>
  </si>
  <si>
    <t>No shit.  Why can't talk about prom, or summer jobs, or trips &amp;amp; stuff?? https://t.co/mbBoa2bGiI</t>
  </si>
  <si>
    <t>DO THIS.  I #INSIST https://t.co/OhiBbOPe1N</t>
  </si>
  <si>
    <t>@SpeakerTimJones ... Isn't that your job on radio @SpeakerTimJones ?  I mean not to be stating the obvious but you are talking on a conservative radio station ...</t>
  </si>
  <si>
    <t>You can tell @davidhogg111 doesn't know what he's talking about the way he structured that tweet.  
Look kid. You've been on this planet for 18 years. These mutual fund managers have been on this planet three times longer than you.
Shut the FUCK up. https://t.co/vl0xwqcLHs</t>
  </si>
  <si>
    <t>Doesn't this little fuck have some finals to study for it?  I'm sure his daddy's FBI pension has mutual funds from BlackRock and Vanguard because they're some of the top fund families because of their diversification!
What an asshole. https://t.co/vl0xwqcLHs</t>
  </si>
  <si>
    <t>@Beatlebaby64 @SmokeyBear2018 @Markknight45 @jallman971 @SpeakerTimJones @MarcCox971 @anniefreyshow @VisioDeiFromLA @juliematthews50 @dianejneff1 @971FMTalk @1057thePoint @HereLiesMoon @SheenaGreitens @Entercom @97 LOLZ all I heard was Stewie</t>
  </si>
  <si>
    <t>Whoop!  So now using a #metaphor in a whole conversation string makes you a #pedophile
👍👍Got it!👍👍
#HowToFightLikeTheLeft #INSIST
@jallman971 #JamieAllman
#AMetaphorIsAMetaphor https://t.co/RuEa3ryjbS</t>
  </si>
  <si>
    <t>@Beatlebaby64 @SmokeyBear2018 @Markknight45 @jallman971 @SpeakerTimJones @MarcCox971 @anniefreyshow @VisioDeiFromLA @juliematthews50 @dianejneff1 @971FMTalk @1057thePoint @HereLiesMoon @SheenaGreitens @Entercom @97 Me tryin' to go to sleep last with y'all typin' MOMMA
https://t.co/OLlf7LjJu3</t>
  </si>
  <si>
    <t>@Beatlebaby64 @SmokeyBear2018 @Markknight45 @jallman971 @SpeakerTimJones @MarcCox971 @anniefreyshow @VisioDeiFromLA @juliematthews50 @dianejneff1 @971FMTalk @1057thePoint @HereLiesMoon @SheenaGreitens @Entercom @97 WHAAAAAAT?  I forgive you.  Me sleepy!  Go to bed!!</t>
  </si>
  <si>
    <t>Hey @AP4Liberty @Monetti4Senate  @SykesforSenate  maybe #ClaireBear will loan you her interns when one of you beats her butt (#metaphor)
#FireClaire🔥 https://t.co/fmDQx1FNLb</t>
  </si>
  <si>
    <t>@SmokeyBear2018 @Beatlebaby64 @Markknight45 @jallman971 @SpeakerTimJones @MarcCox971 @anniefreyshow @VisioDeiFromLA @juliematthews50 @dianejneff1 @971FMTalk @1057thePoint @HereLiesMoon @SheenaGreitens @Entercom @97 You a'iight Beary.</t>
  </si>
  <si>
    <t>I'm done.  That last exchange just sapped the rest of my brain &amp;amp; I have an all-day conference tomorrow
UUUUUUUUGH SMH SMH SMH</t>
  </si>
  <si>
    <t>@Beatlebaby64 @Markknight45 @SmokeyBear2018 @jallman971 @SpeakerTimJones @MarcCox971 @anniefreyshow @VisioDeiFromLA @juliematthews50 @dianejneff1 @971FMTalk @1057thePoint @HereLiesMoon @SheenaGreitens @Entercom @97 Hhhhhyeah.</t>
  </si>
  <si>
    <t>@Markknight45 @SmokeyBear2018 @jallman971 @SpeakerTimJones @MarcCox971 @anniefreyshow @VisioDeiFromLA @juliematthews50 @dianejneff1 @971FMTalk @1057thePoint @HereLiesMoon @SheenaGreitens @Entercom @97 Maybe when Jamie lands back on his feet, we'll all get together and do that beer or whiskey thing we always dreamed of.</t>
  </si>
  <si>
    <t>@Markknight45 @SmokeyBear2018 @jallman971 @SpeakerTimJones @MarcCox971 @anniefreyshow @VisioDeiFromLA @juliematthews50 @dianejneff1 @971FMTalk @1057thePoint @HereLiesMoon @SheenaGreitens @Entercom @97 I'm DISAPPOINTED, not mad.  But, I'm glad we worked this out.  You enjoy listening &amp;amp; supporting 103 dot whatever and patronizing their advertisers.</t>
  </si>
  <si>
    <t>@Markknight45 @SmokeyBear2018 @jallman971 @SpeakerTimJones @MarcCox971 @anniefreyshow @VisioDeiFromLA @juliematthews50 @dianejneff1 @971FMTalk @1057thePoint @HereLiesMoon @SheenaGreitens @Entercom @97 I get it too.  But killing off everine because you beefin' isn't going to FIX anything.  But go ahead and take your ball &amp;amp; go home Mark.  We'll do the difficult work &amp;amp; heavy lifting.</t>
  </si>
  <si>
    <t>@Markknight45 @SmokeyBear2018 @jallman971 @SpeakerTimJones @MarcCox971 @anniefreyshow @VisioDeiFromLA @juliematthews50 @dianejneff1 @971FMTalk @1057thePoint @HereLiesMoon @SheenaGreitens @Entercom @97 @kbailey971 @Tricia_971 @denysschaefer @rachelz971 @tonycolombo971  https://t.co/8DLpzrKx1L</t>
  </si>
  <si>
    <t>@88YahamaKeys @stlcao Pffft ALRIGHTY THEN!!</t>
  </si>
  <si>
    <t>And another actual sexual predators assaulting kids, most likely by a deviant Democrat.  Where's @staceynewman ?  Filing her talons to attack more conservatives https://t.co/yzb12UfLDI</t>
  </si>
  <si>
    <t>@Markknight45 @SmokeyBear2018 @jallman971 @SpeakerTimJones @MarcCox971 @anniefreyshow @VisioDeiFromLA @juliematthews50 @dianejneff1 @971FMTalk @1057thePoint @HereLiesMoon @SheenaGreitens @Entercom @97 What would you have them do?  QUIT?? And what good would that serve?  If that's what you think #JamieAllman would have wanted, then you don't friggin' know Jamie at all.  Your anger is completely misplaced &amp;amp; should be directed at those who orchestrated this whole thing!</t>
  </si>
  <si>
    <t>@Markknight45 @SmokeyBear2018 @jallman971 @SpeakerTimJones @MarcCox971 @anniefreyshow @VisioDeiFromLA @juliematthews50 @dianejneff1 @971FMTalk @1057thePoint @HereLiesMoon @SheenaGreitens @Entercom @97 They are under contract.  Please understand these orders came from Pennsylvania ~ NOT ST LOUIS.  Some here locally nearly lost THEIR jobs, fighting to keep Jamie.  Please give the our people more credit than that.</t>
  </si>
  <si>
    <t>@88YahamaKeys @stlcao Always looking for ways to get the message out, sistah.  You did good</t>
  </si>
  <si>
    <t>@Markknight45 @SmokeyBear2018 @jallman971 @SpeakerTimJones @MarcCox971 @anniefreyshow @VisioDeiFromLA @juliematthews50 @dianejneff1 @971FMTalk @1057thePoint @HereLiesMoon @SheenaGreitens @Entercom @97 I won't.  @MarcCox971 is like family.  I love the girls @kbailey971 @Tricia_971 @denysschaefer @rachelz971 &amp;amp; @anniefreyshow.  @SpeakerTimJones indulges me on Twitter.  @tonycolombo971 &amp;amp; I share a Pit. Tracy Ellis is a super cool friend when I least expect it.</t>
  </si>
  <si>
    <t>@SmokeyBear2018 @jallman971 @SpeakerTimJones @MarcCox971 @anniefreyshow @VisioDeiFromLA @juliematthews50 @dianejneff1 We don't want the Red Left watching and taking snaps of what's being said &amp;amp; turning it on us.  I like when we all work together!</t>
  </si>
  <si>
    <t>@SmokeyBear2018 @jallman971 @SpeakerTimJones @MarcCox971 @anniefreyshow @VisioDeiFromLA @juliematthews50 @dianejneff1 No one agrees more right now.  Everyone's pissed, mad, hurt, devastated.  It's like a friend died.  We all need to just be careful what we post going forward, luv.</t>
  </si>
  <si>
    <t>@SmokeyBear2018 @SpeakerTimJones @MarcCox971 @tonycolombo971 @971FMTalk @juliematthews50 @Entercom Jamie said I was boycotting the station in a video?  I didn't see that in any of the videos he put up since the his suspension.  Just remove any reference of my boycotting @971FMTalk &amp;amp; we'll be good
@jallman971 #JamieAllman</t>
  </si>
  <si>
    <t>@SmokeyBear2018 @SpeakerTimJones @MarcCox971 @tonycolombo971 @971FMTalk @juliematthews50 @Entercom Uhm, I completely risked my job yesterday, bustin my ass to help set up what we're doing so all you guys have to do is retweet with comments.  We need warriors for the Conservative cause, but if you want to split, that's on you.  Sorry you can't just admit you were wrong &amp;amp; fix it</t>
  </si>
  <si>
    <t>I signed it already &amp;amp; so should every freedom-loving, red-blooded American.  She's making a mockery of our law system!
#KimShady #KimGardner
#OfCourseItsAlwaysTheDemocrats
@stlcao https://t.co/m0PG8iJBwr</t>
  </si>
  <si>
    <t>@SmokeyBear2018 @jallman971 @SpeakerTimJones @MarcCox971 @anniefreyshow @VisioDeiFromLA @juliematthews50 @dianejneff1 I'm not mad, but you misinterpreted the direction of my fury.  Just make it right, K?  
{{BearHug}}</t>
  </si>
  <si>
    <t>@SmokeyBear2018 @jallman971 @SpeakerTimJones @MarcCox971 @anniefreyshow @VisioDeiFromLA @juliematthews50 @dianejneff1 Okay, but I'm NOT boycotting @971FMTalk.  Au contraire.  I'd appreciate if you put something up that indicates that, that you remove it.  If anything, I'm coming after advertisers of @1057thePoint for harboring @HereLiesMoon for #cyberstalking #cyberbullying @SheenaGreitens</t>
  </si>
  <si>
    <t>@SmokeyBear2018 @SpeakerTimJones @MarcCox971 @tonycolombo971 @971FMTalk @juliematthews50 Uhm, yeeeeah...I'm not boycotting @971FMTalk . @Entercom is not my favorite entity right now, but @971FMTalk is still my station.  Where did you get the idea I was boycotting them?  I'm actually promoting businesses who stayed on</t>
  </si>
  <si>
    <t>@SmokeyBear2018 @jallman971 @SpeakerTimJones @MarcCox971 @anniefreyshow @VisioDeiFromLA @juliematthews50 @dianejneff1 Yeah, pretty much it's a place to store all the pics from my phone any more and to advertise the cool places I go to.</t>
  </si>
  <si>
    <t>We know exactly how you feel Scarlet.  I feel un petit morte.
#IWantMyJamieBack
#IStillStandWithJamieAllman
#IStandWithJamieAllman
No one wakes me up the way he did. I love Tim, don't get me wrong, but it's like Sir James &amp;amp; I THOUGHT alike. https://t.co/nG7ovD793l</t>
  </si>
  <si>
    <t>@SmokeyBear2018 @jallman971 @SpeakerTimJones @MarcCox971 @anniefreyshow @VisioDeiFromLA @juliematthews50 @dianejneff1 Well, okay then Smarty bear 😘
I got to watch the video because he told me it was up &amp;amp; to go watch it.  I thought I'd tell you what he said, since you didn't get to see it.  I understand.  You're just coming out of hibernation.  You need a Snickers.</t>
  </si>
  <si>
    <t>Like a stale cookie https://t.co/48cXWP8m2m</t>
  </si>
  <si>
    <t>@SmokeyBear2018 @jallman971 @SpeakerTimJones @MarcCox971 @anniefreyshow @VisioDeiFromLA @juliematthews50 @dianejneff1 Trying this AGAIN ~ ENTERCOM was contracted to send him any work-related ppwk to his ework email.  So they turned off his work email &amp;amp; said they parted ways 
#Pffffffffft</t>
  </si>
  <si>
    <t>@ShwMeGrl Shhhh I had 2 Moscow Mules on my boss's personal liquor tab</t>
  </si>
  <si>
    <t>I'm about to go in to our seminar now so everyone hold down the noise til I get back
😉😀😉😀😉😀😉</t>
  </si>
  <si>
    <t>RT @WSCP1: @Kaybirds @deplorabletx71 @Jwally54 @TheManSam @Michaelcraddo16 @RiemDebra @ReaIFakeNewts @Champenoise46 @LewisWilson43 @Ginlefe…</t>
  </si>
  <si>
    <t>Holy hell, I did repost that way early today...shit https://t.co/LosTgMjSAQ</t>
  </si>
  <si>
    <t>My new 💖💖💖 is @VisioDeiFromLA  for this retweet https://t.co/LL5gwwYaZ4</t>
  </si>
  <si>
    <t>@VisioDeiFromLA @Avenge_mypeople @Monetti4Senate @SmokeyBear2018 @juliematthews50 @jallman971 @EricGreitens @SykesforSenate @Steffi_Cole @FN4AP @AvrilMai91 @AP4Liberty Tell AP I will vouch for Viz.</t>
  </si>
  <si>
    <t>@Monetti4Senate @VisioDeiFromLA @Avenge_mypeople @SmokeyBear2018 @juliematthews50 @jallman971 @EricGreitens @SykesforSenate Dang it ~ I'm stuck in a seminar until 8 @Monetti4Senate ~ will there be a FB Live or Periscope I can watch later?</t>
  </si>
  <si>
    <t>It's not a #WitchHunt, apparently
😉😉😉😉😉 https://t.co/PemM9UMN8W</t>
  </si>
  <si>
    <t>Sign and Retweet with Comment
#KimShady the EEOC hire at @stlcao needs to go
#Unethical
#ExposedLiar https://t.co/WV6lT9GDc8</t>
  </si>
  <si>
    <t>Hi @WeAreSinclair @Entercom
You cut @jallman971 #JamieAllman  loose without blinking an eye  
So many local advertisers &amp;amp; members of our community were supporting him
This is why we hate out-of-towners.
#MediaDoubleStandard
#KneeJerkReaction
#IWantMyJamieBack
#INSIST https://t.co/r3pLpxPPwF</t>
  </si>
  <si>
    <t>No, actually this whole thing was started by @HereLiesMoon #PhilipTaylorSneed
Everyone else asked forgiveness for the affair, moved on.  🌛 ego can't let it go ~ he was cuckholded by a Navy Seal while he's just a bass slapper
#INSIST #Greitens https://t.co/FMRZUlR2ko</t>
  </si>
  <si>
    <t>Thank you #DaveSinclairDodge in Pacific for your continued support of conservative radio in St Louis!
💖💖💖💖💖💖💖
@971FMTalk 
@MarcCox971 
#MCS971</t>
  </si>
  <si>
    <t>We have this exact same problem here in #Missouri with the #Boleshevik #Media 
#IWantMyJamieBack https://t.co/MyJJzmaAlI</t>
  </si>
  <si>
    <t>Oh HEY ~ just FYI, @TheDemocrats want to go back to the days of over-taxation, stealing MORE of your hard-earned money Trump just gave back to you
#MCS971 https://t.co/nqCdGEbv59</t>
  </si>
  <si>
    <t>A movement of the #Marxist #Boleshevik Left is at the forefront of this attack in #TheLou, starting w/smearing Parkway BOE candidates
#IStandWithJamieAllman @jallman971 #JamieAllman
#MediaDoubleStandard #INSIST
#AppealToReason @Entercom
#IWantMyJamieBack
#Context https://t.co/srBEFklvOe</t>
  </si>
  <si>
    <t>Oh, REALLY.  Where have we heard #OutOfContext recently?  Hmmm
#MediaDoubleStandard
#IStandWithJamieAllman
@staceynewman 
#INSIST #OutrageMafia
@WeAreSinclair @Entercom https://t.co/lyY4WcWP5y</t>
  </si>
  <si>
    <t>RT @AmfellinAlicia: @FoxNewsSunday Please share the @jallman971 video with the truth about what happened.  https://t.co/wFwHnsUXOx</t>
  </si>
  <si>
    <t>@Beatlebaby64 That one cracks me up!  (#metaphor)</t>
  </si>
  <si>
    <t>Racist!!! https://t.co/c2yxMGzQL1</t>
  </si>
  <si>
    <t>@TheNewRight Yeah, yeah ... I got your dollar RIGHT HERE
(that's a metaphor, don't get your knickers in a twist)</t>
  </si>
  <si>
    <t>@88YahamaKeys @racerx150 @SpeakerTimJones @Pantszilla77 @Bren05_ @jallman971 @TheNewRight @ninekiller @MarcCox971 @juliematthews50 Yeah!!! You must have inadvertantly been caught in a cleansing.  Happened to me &amp;amp; #DanaLoesch</t>
  </si>
  <si>
    <t>Robby Benson was so beautiful
#AllTheWayUp 
#pokertweet
#INSIST https://t.co/29DVZ5IKnb</t>
  </si>
  <si>
    <t>@racerx150 @88YahamaKeys @SpeakerTimJones @Pantszilla77 @Bren05_ @jallman971 @TheNewRight @ninekiller @MarcCox971 @juliematthews50 In the doghouse for you!  @SpeakerTimJones please reconsider</t>
  </si>
  <si>
    <t>This guy @RoyKasten of the @RiverfrontTimes LIKED the original #pokertweet by @jallman971 ~ was following along with the whole conversation/thread #ISIS #AppealToReason https://t.co/FZRAwR6adD</t>
  </si>
  <si>
    <t>Yeah, I didn't get any of that reading the original tweet.  I heard Robby Benson (who's NOT gay btw) in my head, getting righteous come-uppance.  
#IStandWithJamieAllman @jallman971 #IWantMyJamieBack
#Insist @D_Towski @roykasten @stltoday @RiverfrontTimes https://t.co/g6gGY4Qrmm</t>
  </si>
  <si>
    <t>Someone just needs to give up on social media #JustSayin #MiRite
#INSIST @jallman971 #JamieAllman
#IStandWithJamieAllman 
#IWantMyJamieBack
@Entercom @WeAreSinclair 
#CommonSenseRadio #Metaphor #Context #AMetaphorIsAMetaphor https://t.co/9knVbl1Rqv</t>
  </si>
  <si>
    <t>I agree.  Dr Nepute is a reasonable, sensible man &amp;amp; very fun to watch.
Thank you @NeputeWellness for continuing to support common sense radio!
@971FMTalk https://t.co/3SKNoeOs5A</t>
  </si>
  <si>
    <t>Interesting theory
#INSIST
#MediaDoubleStandard
@jallman971 #JamieAllman https://t.co/O2AX9pycru</t>
  </si>
  <si>
    <t>.#MeThree 💖
(bc Me Too was taken) https://t.co/HRrpZ52J3f</t>
  </si>
  <si>
    <t>RT @LearnGaelicScot: Bainne cruidh Ghàidhealtachd / The milk of highland cattle
Coimhead #Gàidhlig - Bhidio, teacsa is faclan feumail 
Wa…</t>
  </si>
  <si>
    <t>The word "egregious" means what?  
"Conspicuously bad or offensive"
#Greitens #GreitensIndictment 
#KimShady #NoNotesTisaby
https://t.co/tRlvDFfQ51</t>
  </si>
  <si>
    <t>Putting this on my Scotland Bucket List https://t.co/gYBpKXSRUa</t>
  </si>
  <si>
    <t>RT @InverOutlanders: Congratulations to our friends @InvernessCastle 29,000 visitors to the viewpoint in the first year!  We've been a few…</t>
  </si>
  <si>
    <t>Oh my gosh ~ right?? https://t.co/OC9eOe0ARd</t>
  </si>
  <si>
    <t>@markmeyer11 @Entercom @WeAreSinclair @jallman971 Me too!  How he was able to share breathing space with Wacko Jaco, I'll never know</t>
  </si>
  <si>
    <t>I'd like to give a huge shout-out to Dr Michael White, DDS for continuing to support common sense radio radio in St Louis on @971FMTalk 
THANK YOU
@MarcCox971 
#MCS971</t>
  </si>
  <si>
    <t>Because, we all know @NewYorkerMag that every @ChickfilA delicious, warm, plump breast that fits perfectly in your hand is loaded with #ChristianCooties
Who are you to speak for ALL New Yorkers?  As evidenced by the lines, you're WRONG.
JUST DON'T EAT THERE 
#ProblemSolved https://t.co/9b3D3rBRXE</t>
  </si>
  <si>
    <t>BOOM x4 ~ bears watching! https://t.co/qZYnqalcpR</t>
  </si>
  <si>
    <t>@RealTravisCook The #OutrageMafia have moved off our issue here in StL for this new outrage.  I just met friends at a SBUX recently &amp;amp; AS A COURTESY, I bought something.  WTF is wrong with people?  Just hanging out, using the free WiFi, taking up space.  Go on, git!</t>
  </si>
  <si>
    <t>@ATeamMom1  https://t.co/IemKEU1Y2F</t>
  </si>
  <si>
    <t>Good Morning This Morning!  
#AllmanInTheMorning @jallman971 #JamieAllman #AitM #AitE https://t.co/YaKjUzNgHH</t>
  </si>
  <si>
    <t>How much money could have been made by @Entercom &amp;amp; @WeAreSinclair if only they'd just stayed quiet.  Already the #OutrageMafia have moved on to other issues #JamieAllman @jallman971
#LikeAFartInTheWind ~ Warden Norton, Shawshank Redemption (one of the greatest movies ever) https://t.co/n2AXlPlrUq</t>
  </si>
  <si>
    <t>Driving up Northbound Highway 141 almost to Clayton Road and what do I see flying in the air?
A pelican.
Why TF is there a pelican flying over Highway 141?!?!</t>
  </si>
  <si>
    <t>@88YahamaKeys @SpeakerTimJones @Pantszilla77 @Bren05_ @jallman971 @TheNewRight @ninekiller @MarcCox971 @juliematthews50 That's weird!  Maybe the station has put the fear of God into the talent and told them to stop following all of us? I haven't checked miy followers yet</t>
  </si>
  <si>
    <t>If only @WeAreSinclair  &amp;amp; @Entercom were so bold in their support of @jallman971 #JamieAllman #AllmanInTheMorning @TheAllmanReport https://t.co/TNNvyxXYMO</t>
  </si>
  <si>
    <t>I might reconsider them in the future if I hear that they continue to support conservative radio in St Louis, but we Missourians never forget. This is why we love trivia night! https://t.co/lDh534ToCv</t>
  </si>
  <si>
    <t>@RealTravisCook I just don'tv like their coffee. It tastes burned me. And their K-Cups are way more expensive than they need to be</t>
  </si>
  <si>
    <t>Uhm, NO.  #JustSayNo to Red Communist publications! https://t.co/BGVpPfQut9</t>
  </si>
  <si>
    <t>This whole thread is damning to @stlcao #KimShady #NoNotesTisaby
#GreitensIndictment #Greitens 
And still @HubbardRadio @1057thePoint harbors the lying, scheming #cyberstalker #Cyberbully  🌛in their stable of "talent"
@HereLiesMoon 
@SheenaGreitens 
@EricGreitens https://t.co/vcCvowr5Fv</t>
  </si>
  <si>
    <t>Huh.  Even Syrias want out of Syria
@SpeakerTimJones</t>
  </si>
  <si>
    <t>Hi @Staceynewman ~ where's your Red Brigade on actual sodomy?
 https://t.co/Q6ox0LHdlB</t>
  </si>
  <si>
    <t>Oh my God. Right under their noses https://t.co/zbkDhq2dc8</t>
  </si>
  <si>
    <t>.#wtfjer #wtfval @stltoday @roykasten @RiverfrontTimes #INSIST @jallman971 #jamieallman  #MediaDoubleStandard @entercom
#IStandWithJamieAllman https://t.co/nrpEsYpc5m</t>
  </si>
  <si>
    <t>So, let me get this straight. #JamieAllman never said "rape" "sodomize" anyone?  That was #JournalisticMalpractice covered by a #MediaDoubleStandard? @RayKasten @RiverfrontTimes #INSIST @Entercom 
👍Gotcha!👍 https://t.co/g6gGY4Qrmm</t>
  </si>
  <si>
    <t>Whoopsies, there's that #MediaDoubleStandard again!  @RiverfrontTimes can use threatening words but #JamieAllman uses a #moviequote #Metaphor &amp;amp; pearls need clenching
#INSIST @Entercom @971FMTalk https://t.co/V8CNlmGejd</t>
  </si>
  <si>
    <t>More from @RiverfrontTimes &amp;amp; their crowing about getting @WeAreSinclair @Entercom  to fire @jallman971 over a #metaphor 
#JournalisticMalpractice
#MediaDoubleStandard ~come on, have you never seen their back pages?! #Insist https://t.co/CLInZ5rgRw</t>
  </si>
  <si>
    <t>@Midwestfitz Fascistbook took it down despite 16k+ views.</t>
  </si>
  <si>
    <t>Too bad so sad.  We need to replace our chain link in back &amp;amp; thought about a privacy bc of barking neighbor dogs.  
I guess we'll see who else is around https://t.co/NIS41Ei4TM</t>
  </si>
  <si>
    <t>I second that motion
#Greitens #GreitensIndictment 
#FireJoshHawley🔥
#FireClaire🔥
@AP4Liberty https://t.co/bUFjV8TUaJ</t>
  </si>
  <si>
    <t>This.  
#Greitens #GreitensIndictment
 @AGJoshHawley is a TRAITOR
@AP4Liberty ##FireClaire🔥
(does Josh even KNOW law?!) https://t.co/cguan47tEF</t>
  </si>
  <si>
    <t>@Midwestfitz Yeah, I don't think that works bc it's not leading me to his video.</t>
  </si>
  <si>
    <t>@TheNewRight @ATeamMom1 @juliematthews50 D'amn straight</t>
  </si>
  <si>
    <t>.#JeSuisJamieAllman</t>
  </si>
  <si>
    <t>"Don't go changing your profile pic now @RoyKasten "  HAHAHAHAHAHA  #RoyLikedIt #pokertweet - guess that means he LIKED the #metaphor before he decided he was offended by it?!  OMG what a dope!  @Insist #JamieAllman @Entercom @971FMTalk @StaceyNewman https://t.co/w5tQmXklCD</t>
  </si>
  <si>
    <t>Lots of people in this town and across the nation love @jallman971 @JamieAllman
What a shame the #OutrageMafia is so biased in this town @FOX2now @KMOV @KSDK @WeAreSinclair @Entercom @971FMTalk #Insist https://t.co/cG2pMjNISl</t>
  </si>
  <si>
    <t>You're a petty ... you're a petty little man @roykasten and one day I hope to be witness to karma coming for you 
#MediaDoubleStandard @RiverfrontTimes @KMOV @KSDK @KDNL @FOX2now #DeathOfAGoodMan #AllForPolitics #IStandWithJamieAllman  @WeAreSinclair @Entercom @971FMTalk #INSIST https://t.co/iilBgkiGNu</t>
  </si>
  <si>
    <t>"Nothing can stop me, I'm ALL THE WAY UP" w/that #pokertweet  right @roykasten ?  That was you, wasn't it, telling the @RiverfrontTimes to tickle the @nytimes.  Brilliant.  You &amp;amp; @StaceyNewman  - #SlowClap #INSIST @Entercom @WeAreSinclair #DoubleStandard  #JeSuisPres https://t.co/2B8pd8RL1m</t>
  </si>
  <si>
    <t>Hune: "Who's that little profile pic peeking out at me?"
@RoyKasten "It's Me! It's Me"
@RiverfrontTimes #MediaDoubleStandard 
But WAIT!  There's MORE!  There's more, right?  This can't be the end??
#INSIST #JamieAllman So @Entercom was PLAYED?! https://t.co/kgyxlWeRmt</t>
  </si>
  <si>
    <t>Someone's been caught w/his hand in the cookie jar (that's a #metaphor) 
@RoyKasten of @RiverfrontTimes was offended SO HARD over #JamieAllman's offensive tweet that he LIKED it? That's messed up, esp when he's now crowing about ruining the man (see prev post) #INSIST https://t.co/iBgVFmX6ls</t>
  </si>
  <si>
    <t>Liked a tweet?  Of course he likes tweets.  Which tweet are you talki...oh my goodness, he didn't, did he?  @RoyKasten from the @RiverfrontTimes "LIKED" #JamieAllman's #pokertweet?  Nuh-uh.  This is the @ShowMeState Hume.  Show me #INSIST https://t.co/7Mu4muJm6U</t>
  </si>
  <si>
    <t>Hold up - I ran out of popcorn.  This is going to be good.  REALLY GOOD.  #AMetaphorIsAMetaphor right @roykasten  @RiverfrontTimes ?  A #metaphor makes people LAUGH OUT LOUD, right?  I'm laughing at this &amp;amp; I haven't even read it yet #INSIST #JamieAllman #Context https://t.co/NsJFFzEz5l</t>
  </si>
  <si>
    <t>Ah, but you DID "take a political stance" didn't you @ChesterfieldFD .  Read @StaceyNewman's Tweet.  This hurts, because right now I hear your commercial in my head.  #JamieAllman deserved better from you.  He was your FRIEND! @Entercom @971FMTalk #INSIST #Metaphor https://t.co/DkJobJ8OQe</t>
  </si>
  <si>
    <t>Oh NO...nonono...I just recommended @ChesterfieldFD to my NextDoor group!  I'm going to go back on and tell them to not use them now since they bow to #fascist tactics without an #AppealToReason! #INSIST @staceynewman #JamieAllman #metaphor #Context https://t.co/78ITbsLnP0</t>
  </si>
  <si>
    <t>OMG so funny ~ the visual... https://t.co/I69B5t5nV4</t>
  </si>
  <si>
    <t>@ShwMeGrl @SmoothieKing Excellent!! I will, uhm...er, TELL MY FRIEND!!</t>
  </si>
  <si>
    <t>.#INSIST #FireStacey #DrainTheMissouriSwamp https://t.co/xocF6MPU4o</t>
  </si>
  <si>
    <t>@grcfay @EricGreitens @jallman971 @WeAreSinclair @Entercom @971FMTalk @KMOV @fox2n @ksdknews I watched it ... stick in the eye (metaphor) to his haters with that poker table LOL</t>
  </si>
  <si>
    <t>The #PostDisgrace never comes near my property - #FakeNews #MediaDoubleStandard #MediaBias #INSIST Don't we deserve actual news and not OPINIONS in every article?  Yes we do.  #JamieAllman #Greitens https://t.co/NBhVj651fl</t>
  </si>
  <si>
    <t>OMG I just spewed #FiveFarms all over my laptop @juliematthews50 - how did I miss this?!  #INSIST #JacosMinions #StaceyNewmansPillBox #JamieAllman https://t.co/SJiSiGpeEG</t>
  </si>
  <si>
    <t>.#TruthAche #INSIST @Entercom @WeAreSinclair @RuthsChris @rcclayton #AppealToReason #IStandWithJamie #AMetaphorIsAMetaphor #Metaphor #Context @971FMTalk @jallman971 #JamieAllman #MediaDoubleStandard https://t.co/8IFeQK9NnJ</t>
  </si>
  <si>
    <t>Hi @his4thieves - you're gonna get what's comin' - maybe you should be more careful with YOUR words. Maybe someone will take YOUR words literally, too?  #ScreencapsAreForever @#JamieAllman @jallman971 @Entercom @WeAreSinclair #Context #Metaphor @rcclayton @RuthsChris #INSIST https://t.co/mwLgoSg6IV</t>
  </si>
  <si>
    <t>Please explain to the public @rcclayton @RuthsChris what your "investigation" entailed.  #AMetaphorIsAMetaphor @WeAreSinclair @Entercom @971FMTalk #INSIST #WitchHunt #OutrageMafia @RiverfrontTimes #Context #AppealToReason #MediaDoubleStandard https://t.co/yuRin3uBKk</t>
  </si>
  <si>
    <t>Why are these state reps on Twitter and emailing all day to destroy people's lives like @Jallman971 #JamieAllman and @EricGreitens when they should be doing the work we elected them to do?  @jeffreyjonesmo @staceynewman #INSIST #Context #Greitens https://t.co/yshTWixS2x</t>
  </si>
  <si>
    <t>Now we see @charlesjaco1 is involved - threatening advertisers of @jallman @Entercom @WeAreSinclair  - it fits since he was the one who showed @CNN how to make fake newscasts and create fake news stories #MediaDoubleStandard #MediaBias #INSIST #FakeNews #SoundStudio https://t.co/XKZ01nsFkL</t>
  </si>
  <si>
    <t>That's rich  @rcclayton @RuthsChris - this guy must spend gobs of money from his expense account with you (again, Liberal who makes someone else pay) #IStandWithJamieAllman #MediaDoubleStandard #AMetaphorIsAMetaphor #AppealToReason #Context #INSIST https://t.co/fH5rZrzPEk</t>
  </si>
  <si>
    <t>.#Insist @Entercom @WeAreSinclair @FOX2now @KMOV @ksdknews @jallman971 #JamieAllman #MediaDoubleStandard https://t.co/m41f5pVKC0</t>
  </si>
  <si>
    <t>So sick of the #DoubleStandard  #Insist #AppealToReason #Context #AMetaphorIsAMetaphor @RuthsChris #IStandWithJamieAllman #JamieAllman @jallman971  - Ruth's will serve THESE potty-brains, but throw Jamie under the bus over a #metaphor.  Thanks Ruth's Chris! https://t.co/3dmvQ9AvFc</t>
  </si>
  <si>
    <t>People kind of want to know @RuthsChris  - do you believe as this OBVIOUS Doctor of Mental Health  @MatthewBParksSr does just from reading a response to a whole string of tweets? #metaphor #AppealToReason @jallman971 #pokertweet #ToBeFair #INSIST #NeedToKnow https://t.co/J5rRvO1hSx</t>
  </si>
  <si>
    <t>Let's take the scenic route, shall we?  @thor4_thor did.  @RuthsChris @TheGellmanTeam - I hope you continue to stay afloat w/all the Liberals who won't patronize you either, because they only spend other people's money  #JamieAllman #INSIST #AppealToReason #context https://t.co/v1cIormgu4</t>
  </si>
  <si>
    <t>I Defy @Torcho to show us in that whole original thread where @jallman971 #JamieAllman said anything about sexually assaulting someone.  She can't because #AMetaphorIsAMetaphor #AppealToReason #INSIST #OutrageMafia @RuthsChris https://t.co/v1cIormgu4</t>
  </si>
  <si>
    <t>More #SwampMonsters https://t.co/ihFJdQZbJi</t>
  </si>
  <si>
    <t>OMG did this #Dipshitiot really put that IN PRINT?!?!  #INSIST #IStandWithJamieAllman #JamieAllman #AitM #AitE @jallman971 #PokerTweet #AMetaphorIsAMetaphor #ShowMe #ShowMeWhereJamieSaidThat https://t.co/I8hf0L70ay</t>
  </si>
  <si>
    <t>As well he should, dirty double-crosser.  Does @AGJoshHawley even know law?  Curious.  #TrialByMedia #GreitensIndictment #Greitens #MediaDoubleStandard #InnocentUntilProvenGuiltyInCourt #MoLeg #MoSen https://t.co/fq95wd0Xar</t>
  </si>
  <si>
    <t>Isn't this amazing?  How well coordinated this smear campaign went?  Coordinated because some bad actors are doing double-time, smearing @EricGreitens at the same time as @jallman971 #JamieAllman #INSIST #PoundOfFlesh @WeAreSinclair @Entercom @971FMTalk @KMOV @Fox2N @ksdknews https://t.co/vf1xMU6Kkn</t>
  </si>
  <si>
    <t>My eyes flood with tears at reading this.  But, it's probably true.  The hard-core Left have lost their ability to see reason, cause &amp;amp; effect.  Which brings this tugboat to shore re #OutrageMafia #MediaDoubleStandard @WeAreSinclair @Entercom @HubbleRadiofm @staceynewman #INSIST https://t.co/AYmc7qBoVq</t>
  </si>
  <si>
    <t>Any #dipshitiot knows @jallman971 wasn't hopping a plane w/a #RedHotPoker to go down to FL after his radio show.  Right?  I mean, RIGHT @staceynewman @WeAreSinclair @Entercom @RiverfrontTimes ?? #AMetaphorIsAMetaphor #AppealToReason #INSIST #PoundOfFlesh https://t.co/taDDYCDBqD</t>
  </si>
  <si>
    <t>Well THIS is intriguing.  I can't wait to see what else there is here  #DoubleStandard  #MediaDoubleStandard #AMetaphorIsAMetaphor @jallman971 @971FMTalk @Entercom @WeAreSinclair #PoundOfFlesh @staceynewman @RiverfrontTimes #pokertweet https://t.co/n4we7kXGc3</t>
  </si>
  <si>
    <t>Uh oh... some people are going to have a really bad day #AMetaphorIsAMetaphor I missed that #rape and #sodomize to death part in that original tweet 
#pokertweet @staceynewman #INSIST #JamieAllman @jallman971 #Appeal https://t.co/p9pEwpOOWs</t>
  </si>
  <si>
    <t>Anyone following these needs hashtags to read this thread IMMEDIATELY.  Retweet with your own thoughts @971FMTalk @Entercom @WeAreSinclair #OutrageMafia  @jallman971 #JamieAllman #DoubleStandard #MediaDoubleStandard #INSIST #DestructionOfAGoodMan #AllmanInTheMorning #AitM #AitE https://t.co/48cXWP8m2m</t>
  </si>
  <si>
    <t>Do you negate the health benefits of a @SmoothieKing smoothie if you add vodka to it when you get home?
Asking for a friend...</t>
  </si>
  <si>
    <t>This could apply to @EricGreitens as well ~ no victim in the @stlcao case against him.  No evidence.  Only a cuckholded ex-husband 
#GreitensIndictment #Greitens 
#WitchHunt #MediaDoubleStandard
#DoubleStandard @HereLiesMoon 
#Insist @staceynewman #KimShady #NoNotesTisaby https://t.co/tj5ULhElsw</t>
  </si>
  <si>
    <t>Hmmm, I know a few here in #Missouri
#INSIST
#Greitens 
#JamieAllman https://t.co/9VR1CTDtGD</t>
  </si>
  <si>
    <t>It's the #MediaDoubleStandard Todd.  We also have #Moon🌛 over at @HubbardRadio @1057thePoint who cyberstalked @SheenaGreitens &amp;amp; no one does anything about it.  He's still making sex jokes on air
#INSIST
#GreitensIndictment 
#IStandWithJamieAllman https://t.co/YjITGa0P2e</t>
  </si>
  <si>
    <t>My heart melts... 💖💖💖 https://t.co/2Iab0o5KQ1</t>
  </si>
  <si>
    <t>@RealTravisCook Ba-dum Tssss!! https://t.co/5TnrBQ1ufO</t>
  </si>
  <si>
    <t>I love @SebGorka https://t.co/kahsRhqE8N</t>
  </si>
  <si>
    <t>There is even a news report that said #KimShady KNEW ON MONDAY they had that videotape
#Greitens #GreitensIndictment 
#DoubleStandard #MediaDoubleStandard
#NoNotesTisaby is ON VIDEO, TAKING NOTES ~ 11 pages of notes he LIED under oath, saying he didn't take! https://t.co/ER1OgQN3rQ</t>
  </si>
  <si>
    <t>This thread
#Cyberstalker 
#Cyberbully
#MoonValjean 🌛
#MediaDoubleStandard
#DoubleStandard
@HubbardRadio 
@1057thePoint
#GreitensIndictment 
@WeAreSinclair 
#IStandWithJamieAllman
#INSIST
#MCS971 https://t.co/I1gwt5OVWo</t>
  </si>
  <si>
    <t>We have to fight for #Freedom
Voting for @clairecmc is not a vote for freedom.  
#MoSen #FireClaire🔥
#ClaireBear #SayNoToClaire https://t.co/SIa1Yl8SQY</t>
  </si>
  <si>
    <t>I get it.  My sensibilities are not offended by movie trivia
#INSIST
#DoubleStandard
#StLouisTriviaCapital
@jallman971 #JamieAllman @Entercom @WeAreSinclair 
#Metaphor
#IStandWithJamieAllman https://t.co/taDDYCDBqD</t>
  </si>
  <si>
    <t>We all need a guardian canine. https://t.co/mV8649FhcZ</t>
  </si>
  <si>
    <t>This man is creepy https://t.co/Dm0Rety2lk</t>
  </si>
  <si>
    <t>Why is it always #Greitens problem?  
It's not for US to judge someone's MORALS.  That's on God.  
What ACTIONS did the Guv commit AS GUV should he resign over? 
@MarcCox971 
#MCS971
@JimLemke
#GreitensIndictment
#DoubleStandard
#INSIST
#WitchHunt
#PenanceAndForgiveness</t>
  </si>
  <si>
    <t>Holy hell ~ why is this not everywhere?!
 https://t.co/NP4wT2muq4</t>
  </si>
  <si>
    <t>https://t.co/NP4wT2muq4</t>
  </si>
  <si>
    <t>I think we can do this.
Let's do this.  Who starts?
🤣😂😅
#INSIST 
#IStandWithJamieAllman 
#Metaphor
#DoubleStandard 
#OutrageMafia https://t.co/nBXrILfQW1</t>
  </si>
  <si>
    <t>@moto62 Now THERE'S a thought ~ can't discriminate, right?  I'm sure heroin users are schlepping their rigs to the bathroom ...</t>
  </si>
  <si>
    <t>@TheNewRight  https://t.co/F2jM9DtPeT</t>
  </si>
  <si>
    <t>I love smokers.  
They get "smoke breaks" which allows me a similar "goof off break"</t>
  </si>
  <si>
    <t>The #DoubleStandard in this town is GLARING
WE demand @HereLiesMoon be fired for his role in the #Greitens #Witchhunt 
If #JamieAllman can be fired for a #metaphor, 🌛should be fired for #Cyberbully #Cyberstalking @SheenaGreitens
#INSIST 
#FairIsFair
@HubbardRadio https://t.co/lNa1dLD4UJ</t>
  </si>
  <si>
    <t>Sickening on @1057thePoint @hubbardRadio this AM.  Their passive-aggressive msgs to #GovGreitens thru masturbation-to-coworkers-faces &amp;amp; sex toys talk, the piece de resistance, playing "Closer" by @nineinchnails
I'm done w/The Point
 #SUCKIT 
#INSIST
#DoubleStandard 
#FireMoon https://t.co/2d4o2rZ3Rm</t>
  </si>
  <si>
    <t>.@HubbardRadio &amp;amp; @1057thePoint's advertisers (@QuickTrip, @MantalityHealth, @amfam @LouFuszToyota) need to be advised they're supporting a #cyberbully
Why does Philip get to keep HIS job?!  I thought the Left HATED bullies
#IStandWithJamieAllman
#INSIST
#DoubleStandard https://t.co/2d4o2rZ3Rm</t>
  </si>
  <si>
    <t>It seems to me that Philip Sneed has some serious mental health issues if he can't distinguished between his rage towards his ex-wife &amp;amp; bullying the innocent wife of the Governor.
@SheenaGreitens
@EricGreitens
#INSIST
#DoubleStandard 
@HubbardRadio 
@1057thePoint https://t.co/2d4o2rZ3Rm</t>
  </si>
  <si>
    <t>Now Philip Sneed, aka Moon, 🌛 Moon Valjean on @HubbardRadio, @1057thePoint, is still employed, despite lying to file a case against #GovGreitens.  Not only that, he #CYBERSTALKED/#CYBERBULLIED @SheenaGreitens!  Like Sheena had anything to do with this
#DoubleStandard
#INSIST https://t.co/2d4o2rZ3Rm</t>
  </si>
  <si>
    <t>The #DoubleStandard in this town is SICKENING.
#JamieAllman, in a long convo on Twitter w/friends, references a Lenny Bruce &amp;amp; a Robby Benson movie quote.  His TV show thru  @WeAreSinclair is cxl'd &amp;amp; he's fired from his radio show on @Entercom 
#Insist
#IStandWithJamieAllman</t>
  </si>
  <si>
    <t>This hurts as I have big time loyalty to them thru soccer.
I would pray they'd stop supporting a #cyberstalker &amp;amp; reconsider spending their advertising money elsewhere unless measures taken
#INSIST 
#SayNoToCyberCrimes
#DoubleStandard
#GreitensIndictment
@NoMoreStalking6 https://t.co/hwbWRTdmO8</t>
  </si>
  <si>
    <t>Seriously on @HubbardRadio @1057thePoint
*Talk of co-workers joeying
*Dominence, Submission
*The new Sex Toy
*Playing "Closer" by @nineinchnails 
While  #cyberstalker 🌛 laughs abt the passive-aggressive message to #Greitens
#INSIST
#DoubleStandard
#GreitensIndictment 
#Bully</t>
  </si>
  <si>
    <t>Don't mess with Juanita. https://t.co/QHI0rEnupg</t>
  </si>
  <si>
    <t>What's with the #DoubleStandard? 
What @WeAreSinclair @Entercom did to #JamieAllman was an over-reaction to a #metaphor
@HubbardRadio @1057thePoint seem to think if they lay low, they can keep their #cyberbully #cyberstalker celeb 🌛
#INSIST https://t.co/KEavmrcDeG</t>
  </si>
  <si>
    <t>I #INSIST there be a review of @jallman971 #JamieAllman's case &amp;amp; he be fully reinstated on air NOW
#Metaphor
@Entercom 
@971FMTalk 
#IWantMyJamieBack https://t.co/rnVC5PC7yv</t>
  </si>
  <si>
    <t>Well, I guess those trips to @MantalityHealth have helped @HubbardRadio 's #cyberbully #cyberstalker on-air personality on @1057thePoint with his "issues"
#INSIST 
@SheenaGreitens 
#GreitensIndictment https://t.co/csTzlBoRTO</t>
  </si>
  <si>
    <t>I wonder if @QuikTrip @amfam  @frankletahonda know they are advertising on a radio station that's harboring a #cyberstalker, a #cyberbully?
#INSIST
#NoExcuses
@SheenaGreitens
@1057thePoint
@HubbardRadio 
@HereLiesMoon 
#MoonValjean</t>
  </si>
  <si>
    <t>#INSIST 
IT TAKES TWO TO CHEAT.
Two people in this three-way relationship have repented, moved on, yet 🌛 can't let it go.
So this gives 🌛 license to #Cyberstalk the other partner's wife?
@SheenaGreitens 
@HubbardRadio
@1057thePoint https://t.co/TJcqigF1SA</t>
  </si>
  <si>
    <t>So @Entercom &amp;amp; @WeAreSinclair drop @jallman971 #JamieAllman over a #Metaphor, yet @HubbardRadio is harboring a cyberstalker on @1057thePoint 
🌛
We need to #INSIST media stop playing favorites with liberal radio show hosts who bully women!
@SheenaGreitens https://t.co/4MVdoR1cFq</t>
  </si>
  <si>
    <t>Again.
👏ALL👏WORDS👏
👏NO👏EVIDENCE👏
Those of you in Jeff City with law degrees, representing us out here paying your salary, should know better
#StopTheWitchHunt
#IStandBehindEricGreitens https://t.co/B97XQCPsIh</t>
  </si>
  <si>
    <t>@SKOLBLUE1 @EricGreitens @HereLiesMoon @MoonValjean @greekfire @1057thePoint I'm sure by morning, he'll be on it.  Probably in bed right now</t>
  </si>
  <si>
    <t>May I suggest some aloe for that burn? https://t.co/R7F0cW46lX</t>
  </si>
  <si>
    <t>Jealousy.  They can't hold a candle to #JamieAllman 's integrity &amp;amp; loyalty
#IStandWithJamieAllman https://t.co/wIygeLgLlV</t>
  </si>
  <si>
    <t>I'm sure by now, everyone knows about a local StL radio host named #BobRomanik who outed #PS as #PhilipSneed, aka 🌛 #MoonValjean.  Why does @EricGreitens get all the exposure, &amp;amp; not @HereLiesMoon ?  Moon's a public figure too like TheGuv
#DoubleStandard
#Greitens https://t.co/a42gtCL6ah</t>
  </si>
  <si>
    <t>Sick ass burn there, Vis.  
#IStandBehindEricGreitens 
#IStandWithJamieAllman 
#GreitensIndictment #moleg #mogov #StaceyNewman https://t.co/EK1PfI9Q2j</t>
  </si>
  <si>
    <t>Why did no one file a police report?
 But 😸 was forcibly made to go back to her lover multiple times for non-consensual sex!?  
🌛 Is wetting his pants from #Greitens eyes giving him death beams thru the TV?!
Seriously
#IStandBehindEricGreitens 
#MoonValjean
#HearKittyKitty https://t.co/PQYXHvZsW1</t>
  </si>
  <si>
    <t>The lnk to @jallman971 #JamieAllman's report on #Greitens  has been removed 
#IStandWithJamieAllman 
#IStandBehindEricGreitens
#MoLeg #MoGov https://t.co/KMfjrbjQ0h</t>
  </si>
  <si>
    <t>In Missouri, we have blatant #JournalisticMalpractice by @stltoday @KCStar @KMOV @FOX2now @ksdknews @WeAreSinclair @Entercom
Except #NewMedia ~ they still have standards #GreitensIndictment
 https://t.co/xytKJJV0sT</t>
  </si>
  <si>
    <t>.#Enemedia #Presstitutes 
#MoGov #MoLeg #GreitensIndictment #StaceyNewman
🌛😸
#IStandBehindEricGreitens and
#IStandWithJamieAllman https://t.co/hH1DjwuH2x</t>
  </si>
  <si>
    <t>Sounds to me like @JaneDueker has some 'splainin to do to the ladies of #MeToo
#Greitens #GreitensIndictment 
#WhatDidJaneKnow
#moleg https://t.co/bfCwtV5bpA</t>
  </si>
  <si>
    <t>.#PRESStitutes #Enemedia
#StaceyNewman introduced 😸 to @EricGreitens ~ now she's got blood on her hands closer to home with @jallman971 #JamieAllman https://t.co/hH1DjwuH2x</t>
  </si>
  <si>
    <t>This thread wraps it up so pretty with one of those Christmas Car Bows.  Brilliant work here
#Greitens #GreitensIndictment #NoNotesTisaby #KimShady
@stlcao @EricGreitens
#IStandBehindEricGreitens #MoonValjean 🌛
#PSKS
😸 https://t.co/WJDXjW5aAh</t>
  </si>
  <si>
    <t>This is an interesting string of words ~ who is this man talking about?  Not Trump, because he didn't cheat, only made a vulgar comment.
Where's this ANGER coming from? From his cheating ex-wife 😸.  Let's not blame the whore/Madonna.
#GreitensIndictment #moleg #mogov https://t.co/eAxQlWZIFE</t>
  </si>
  <si>
    <t>.#IWantMyJamieBack
#IStandWithJamieAllman
#JamieAllman @jallman971 https://t.co/HiJEofMrNR</t>
  </si>
  <si>
    <t>Add a #TravelsWithJay segment and this will set it apart 
#WhereInTheWorldIsJJCarafano
#NewMedia #JamieAllman
#DNN https://t.co/QFMoDKBDre</t>
  </si>
  <si>
    <t>@JJCarafano Brilliant!!  Let's do this before advertisers sign over at Entercom!</t>
  </si>
  <si>
    <t>I would have expected more from @Entercom than knee-jerk reactions  to their number one money-maker
Is this the plan then?  Killing off the conservative message one-by-one?
@jallman971 #JamieAllman
#IStandWithJamieAllman https://t.co/7giUzo3poA</t>
  </si>
  <si>
    <t>Without all the evidence, they only believed one side of the story
@Entercom #JamieAllman https://t.co/gHwID9zp5Q</t>
  </si>
  <si>
    <t>We have the #PostDisgrace and the #WashingtonCompost 
All #PRESStitutes https://t.co/75VtyOCf8h</t>
  </si>
  <si>
    <t>@Joe_Cool_1 @jallman971 @EricGreitens Lawd I really didn't need to read that !</t>
  </si>
  <si>
    <t>Yes!  We are the #FiveFarmsIrishCream of #RadioFans ~ @jallman971 #JamieAllman is the best 
@Entercom https://t.co/Z9ZJRE2b3z</t>
  </si>
  <si>
    <t>It's okay Jay ~ but you &amp;amp; #JamieAllman were friends &amp;amp; we all loved hearing you on air with him, seeing you in person.  Just knowing you stand with him is enough
#IStandWithJamieAllman https://t.co/cfPDohLkap</t>
  </si>
  <si>
    <t>"Just a matter' https://t.co/1Mh75C7akz</t>
  </si>
  <si>
    <t>Oh! Well then. Piss on you too, Commie!
(Sometimes my Snappy comebacks or just lagging)
@EricGreitens 
#IStandBehindEricGreitens
#KimShady
#NoNotesTisaby
🌛😸 https://t.co/nb58V4FImP</t>
  </si>
  <si>
    <t>Came out of the @Costco and nearly died of frostbite https://t.co/5uoi93AQ1N</t>
  </si>
  <si>
    <t>She's probably been to parties in her honor this weekend, celebrating her deeds
#IStandWithJamieAllman 
#JamieAllman https://t.co/Fng3Ff7zTq</t>
  </si>
  <si>
    <t>@grcfay Oh either is good, right Cath?  Don't you just immediately calm down when a man says those magic words?  🤣😅😂</t>
  </si>
  <si>
    <t>You have it on good authority, guys.  We'll just calm the F down https://t.co/zpWoxtxwgc</t>
  </si>
  <si>
    <t>@magathemaga1 @Sticknstones4 @ScottCharton @EricGreitens Nah ~ just trying to drive readership to his shitty "news" paper
#PRESSTITUTE #Enemedia</t>
  </si>
  <si>
    <t>@TheNewRight @jallman971 @EricGreitens TiskTisk Hume, it's s/he ~ s/he may prefer a different pronoun</t>
  </si>
  <si>
    <t>.@AGJoshHawley made that RIDICILOUS, ill-informed statement before #KimShady said, an HR after the #MoWitchTribunal "Ope, I found that deposition I lied about earlier &amp;amp; said didn't exist"
#MoLeg #MoGov #GreitensIndictment 
#NoCaseHere https://t.co/Ng0evd2ohI</t>
  </si>
  <si>
    <t>It's the #OutrageMafia https://t.co/ybFd6iKKlb</t>
  </si>
  <si>
    <t>We need REAL MEN to say #IStandWithJamieAllman 
So strange how we have this attack of @jallman971 #JamieAllman at the same time we have an attack of @EricGreitens 
Could they be connected somehow?!  Just to coincidental https://t.co/lja57NiNjx</t>
  </si>
  <si>
    <t>Right on Hume! https://t.co/LVWpIXlryJ</t>
  </si>
  <si>
    <t>LOLZ, RIGHT?  Not one person with any amount of decency, common sense and knowledge of the LAW is buying this 😸🌛
#GreitensWitchHunt
#GreitensIndictment 
#Greitens
#KimShady https://t.co/FuAY2tIejB</t>
  </si>
  <si>
    <t>@Jimi971 @TheNewRight @Beatlebaby64 @ninekiller @juliematthews50 @genevievewood @denysschaefer @MarcCox971 @anniefreyshow @kbailey971 @Tricia_971 @JimTalent @Entercom @971FMTalk 💖💖💖💖</t>
  </si>
  <si>
    <t>Radio &amp;amp; TV news are dying out.  Internet radio &amp;amp; podcasts are the new media.  Jamie could master this ~ https://t.co/YN3Bj3DP28</t>
  </si>
  <si>
    <t>@ScottCharton @EricGreitens Editorials are not evidence.
Feelings are not evidence.
Opinions are not evidence
#DrainTheMissouriSwamp</t>
  </si>
  <si>
    <t>@ScottCharton @EricGreitens Just words.  No evidence. No photo. No texts. No videos. No handwritten letters. No victim. 
Cuckholded, bitter ex-husband 
#HeSaidSheSaidHeSaid
#NoNotesTisaby #KimShady 
#MoLeg #MoGov #GreitensIndictment 
#DreamOn #IfWishesWereConvictions</t>
  </si>
  <si>
    <t>Thank you @JJCarafano 
You're a stand-up guy and when he's back in the saddle (metaphor), we pray you'll be back too
#IStandWithJamieAllman #JamieAllman @jallman971 https://t.co/HG8zWCoM33</t>
  </si>
  <si>
    <t>SotY going to Australia in May.  They needed a bassist who could commit to the tour.
Seems someone might (?) be sworn to not leave the state/country pending a little court case.
Hmmm~wonder which count case that is?
🌛 + 😸 = ??? https://t.co/2Gin78KeYp</t>
  </si>
  <si>
    <t>Again, his extra-marital affair was before he was Gov.  Absolutely MO PROOF he did anything 😸 or 🌛 say he did.  Not even circumstancial.
We must stop this RIGHT NOW.  
Desperate Democrats do desperate things.
#MoGov #MoSen #MoLeg #GreitensIndictment #KimShady https://t.co/L8qqc8oMSn</t>
  </si>
  <si>
    <t>RT @philip_saulter: @ScottCharton @EricGreitens You clearly do not understand the culture of Missouri.  Missourians don't just take people'…</t>
  </si>
  <si>
    <t>These UNSUBSTANTIATED allegations, IF they occurred, did before @EricGreitens was #MoGov
There is NO EVIDENCE of an impeachable act.  Even if he had an extra-marital while Gov, STILL NOT IMPEACHABLE.
#JesusHRooseveltChrist
#GreitensIndictment
#MoLeg #KimShady https://t.co/MJFdNV6a6o</t>
  </si>
  <si>
    <t>I'll #HellYeah that! https://t.co/ARYspQsa8O</t>
  </si>
  <si>
    <t>There is something congenitally wrong with a State Atty Gen who doesn't know to wait for ALL THE EVIDENCE before proclaiming someone guilty
@JoshHawley #HawleyTrawley
#SayNoToHawley #MoSen
@AGJoshHawley @AP4Liberty 
@Monetti4Senate @EricGreitens
#IStandBehindEricGreitens https://t.co/WGNW5OAwWL</t>
  </si>
  <si>
    <t>I'll follow ... https://t.co/lKQDscL4ex</t>
  </si>
  <si>
    <t>Right?!  That was MY first thought!  When I take pics at shows, it's for my memories, but if someone pulled that diva shit, I'd let one slip past https://t.co/ZGC7yZmWA2</t>
  </si>
  <si>
    <t>RT @ThePerezHilton: .@Beyonce is asking media outlets not to publish any fan photos of her #Coachella performance. She doesn't want any unf…</t>
  </si>
  <si>
    <t>I'm STILL waiting for David Hogg to apologize to me for calling a #SickFuck https://t.co/48cXWP8m2m</t>
  </si>
  <si>
    <t>@Beatlebaby64 I just report, hon.  😒</t>
  </si>
  <si>
    <t>@Beatlebaby64 😂😂😂</t>
  </si>
  <si>
    <t>@magathemaga1 Nothing I can disgust ~ er, DISCUSS here</t>
  </si>
  <si>
    <t>Happy 2-year anniversary today to @MarcCox971 and his debut hour on @KSHE95 #MarcCoxRox!
#BucketList✔️
#TastyTunes 🎶</t>
  </si>
  <si>
    <t>CALL THESE PEOPLE ALL DAY LONG.  LET THEM KNOW WE WILL NOT SUPPORT A #BananaRepublic over throw of a democratically-elected Governor!
#GreitensIndictment #greitens 
#KimShady #MoSen #StaceyNewman https://t.co/WcoQDDT6Pm</t>
  </si>
  <si>
    <t>START CALLING!!  If the phone is busy, CALL AGAIN!  
#GovernorGreitens is in serious jeopardy of losing his job because of LIES. 
Scheming Democrats lost this state due to their dramatic shift towards Communism https://t.co/pYYarO3HLm</t>
  </si>
  <si>
    <t>This CHARADE put on by the cuckholded, not-so-monogamous himself ex-husband and some anonymous big money in St Louis, is blowing up
#GreitensIndictment #KimShady
#MoRepStaceyNewman 
#NoNotesTisaby
#BananaRepublic
#Greitens https://t.co/0wceYLO5hq</t>
  </si>
  <si>
    <t>Who new a 😸 and a 🌛 could work together to try to over throw a Governor overwhelmingly chosen by the people?!
#GreitensIndictment
#KimShady
#DrainTheMissouriSwamp
#MoLeg 
#MoGov https://t.co/ZYHZxPlCpb</t>
  </si>
  <si>
    <t>No truer words
#IStandBehindEricGreitens
#TeamGreitens
#MoGov
#HayseedMafia
#GreitensIndictment
#KimShady
#NoNotesTisaby
#DriveByMedia https://t.co/JEVlWaU3Lj</t>
  </si>
  <si>
    <t>WTF?!?! https://t.co/rzzu0Evwi9</t>
  </si>
  <si>
    <t>Boy Talk in my house right now:
That was an ANGRY fart
That one sounded HEAVY
That fart literally SHOUTED at us
You farted in 👐ALL CAPS👐
#MyLifeWithBoys</t>
  </si>
  <si>
    <t>THIS guy is one bad dood.
#JamesComey
#FBICorruption 
https://t.co/JQam6sqKiJ</t>
  </si>
  <si>
    <t>@StephenGutowski @prosqtor The "writer" lost me with this award-winning line:
Almost the only people we see are a married couple and their two children.
🤔🤔🤔🤔🤔🤔🤔</t>
  </si>
  <si>
    <t>Proud to say I'm good here 
 https://t.co/AgT7vmZ2g8</t>
  </si>
  <si>
    <t>Had to shut my bedroom window AGAIN, dig out my blanket https://t.co/1Rv4FOWrjB</t>
  </si>
  <si>
    <t>Someone DO IT then.  I'm sick of these "reports" https://t.co/XA7VN1Yb0J</t>
  </si>
  <si>
    <t>Respectfully requesting that members of #MoLeg who initially filed an incomplete report on @EricGreitens come out as a single voice and admit they were WRONG, now that they have the deposition video, concealed by #KimShady @stlcao until the report was filed https://t.co/jXTWfDJ0Sy</t>
  </si>
  <si>
    <t>@KevinJacksonTBS @1Cubbie I'm still here, KJ.</t>
  </si>
  <si>
    <t>RT @StephenMilIer: BREAKING: Trump to step down, Pence to take over
.
.
.
.
.
.
.
.
.
.
.
.
.
.
.
.
.
.
.
.
.
.
.
.
.
.
.
.
.
.
.
.
.
.
.
.…</t>
  </si>
  <si>
    <t>I read this today on the stationary bike ~ which is boring enough, but this made my blood boil.  My 80-yr old mom knows more about law than #KimShady @stlcao 
#IAmBehindEricGreitens
😸 🌛 https://t.co/mOLp9r5Je9</t>
  </si>
  <si>
    <t>Of COURSE he did!!  We, The People,  ELECTED him, despite #MissouriSwamp interference!
#IStandBehindGovGreitens 
#EricGreitens #MoGov
#KimShady @stlcao 
😸🌛 https://t.co/2ULOMEFgVW</t>
  </si>
  <si>
    <t>RT @RAWPWR99FATBOY: @juliematthews50 @Lautergeist @Beatlebaby64 @Jimi971 @jenniferkrneta @ATeamMom1 @ninekiller Don't engage the Looney Too…</t>
  </si>
  <si>
    <t>@jmomom1 @jallman971 Do you even know Jamie?  What he's done for fundraising in this community?  Helping out abused women, sick kids, the military?</t>
  </si>
  <si>
    <t>@Pantszilla77 @jmomom1 @88YahamaKeys @sueweaver16 @jallman971 @GatewayBlend @Margare03880660 @backtwobasics @juliematthews50 She's off to her Weekly Communist Tea</t>
  </si>
  <si>
    <t>I see @jallman971 #JamieAllman isn't the only #Conservative being targeted by the #OutrageMedia 
 https://t.co/lVkQovehi3</t>
  </si>
  <si>
    <t>Ridin' the Storm Out!
Congrats @IngrahamAngle ~ we knew THEY were all bark
Thanks also to @AceHardware and @MyPillowUSA for sticking with the #Conservative voices https://t.co/5MMLS8P8BP</t>
  </si>
  <si>
    <t>WHAAAAT?!  Sort of like our good Guvnuh too.  Surpression is key to winning in a #LiberalHipHopcrasy world.
Sure as shit can't win on their "platforms" https://t.co/RPCO6k22M7</t>
  </si>
  <si>
    <t>Maybe you should go to confession and ask God to forgive you for slandering a good ✝ Christian ✝ family man.  
#LiberalHipHoprasy
#IStandWithJamieAllman
@jallman971 #JamieAllman https://t.co/TbSiZdX5vU</t>
  </si>
  <si>
    <t>It's called #DueDiligence
@RuthsChris @rcclayton @TheGellmanTeam @PalmHealthSTL 
You never believed in the Conservative ideology &amp;amp; @jallman971 #JamieAllman, did you? If you did, you would #StopGivingInToFascism
#IStandWithJamieAllman https://t.co/9BOlf4y8xS</t>
  </si>
  <si>
    <t>How sad, those who #kneejerk without all the evidence crush good, solid people.  
No matter, I won't patronage them even if they issue a mea culpa to #JamieAllman @jallman971
#IStandWithJamieAllman
#OutrageMedia https://t.co/RfbFRemJ0I</t>
  </si>
  <si>
    <t>We Conservatives loved us some Mark Kasen!  Just like #JamieAllman @jallman971 did
😒😯😔 https://t.co/66Y5lMmAT2</t>
  </si>
  <si>
    <t>@jenniferkrneta @TheNewRight @Joe_Cool_1 @davidhogg111 @RuthsChris @rcclayton @PalmHealthSTL @TheGellmanTeam Because they're new?  They don't understand our penchant for movies, movie quotes?  Someone needs to take those @Entercom folks to one of our hundreds of Trivia Nights.</t>
  </si>
  <si>
    <t>And she still can't show me any evidence of  where and when #JamieAllman @jallman971 said he wanted to rape or sodomize anyone
#IStandWithJamieAllman https://t.co/r5K5RzLmpS</t>
  </si>
  <si>
    <t>BTW, I squoze our 3 giant boys who learned the Preamble &amp;amp; Take Me Out to the Ball game before Kindergarten.  One serves in the Reserves.  They come down from a long line of Constitutionalists #SAR #Patriots on both sides
#WeAintMutts https://t.co/t9IIwSDqFe</t>
  </si>
  <si>
    <t>@jmomom1 @Pantszilla77 @88YahamaKeys @sueweaver16 @jallman971 @GatewayBlend @Margare03880660 @backtwobasics @juliematthews50 Not the tweets I read.  You got anything else, sister?</t>
  </si>
  <si>
    <t>Okay, I'll play along with your silly game.  Show me where #JamieAllman @jallman971 said he was going to "rape" someone.
Go on.  I'll wait.  (Sips vodka, taps foot) https://t.co/AsrOcIiGtG</t>
  </si>
  <si>
    <t>@Pantszilla77 @jmomom1 @88YahamaKeys @sueweaver16 @jallman971 @GatewayBlend @Margare03880660 @backtwobasics @juliematthews50 She IS from the Socialist State of Illinois, so there's that...</t>
  </si>
  <si>
    <t>@jmomom1 @Pantszilla77 @88YahamaKeys @sueweaver16 @jallman971 @GatewayBlend @Margare03880660 @backtwobasics @juliematthews50 Double-dog dare you, fucking auto correct</t>
  </si>
  <si>
    <t>@jmomom1 @Pantszilla77 @88YahamaKeys @sueweaver16 @jallman971 @GatewayBlend @Margare03880660 @backtwobasics @juliematthews50 Show me where Jamie Allman claimed he wanted to sodomise a child.  I double-digit dare you.  You can't.</t>
  </si>
  <si>
    <t>@jmomom1 @Pantszilla77 @88YahamaKeys @sueweaver16 @jallman971 @GatewayBlend @Margare03880660 @backtwobasics @juliematthews50 Methinks you needs to hush now.</t>
  </si>
  <si>
    <t>@jmomom1 @Pantszilla77 @Margare03880660 @88YahamaKeys @jallman971 @GatewayBlend @backtwobasics @juliematthews50 @sueweaver16  https://t.co/Eo6bCEwpHE</t>
  </si>
  <si>
    <t>Damn girl ~ 🤣😀🤣
I'm actually trying a #MoscowMule at another venue tonite; let's see if I wake up tomorrow with my brain programmed by my Russian Overlord... https://t.co/04s7cSrsW2</t>
  </si>
  <si>
    <t>@jmomom1 @Pantszilla77 @88YahamaKeys @sueweaver16 @jallman971 @GatewayBlend @Margare03880660 @backtwobasics @juliematthews50 By group association, I'm one you pray for.  Buy I don't watch Fox, read Breitbart, so I guess my only problem is Russians.  Since the only thing Russians about me is my #MoscowMules Is #BarLouie's bartender ... and my sources for news are vast but not on my TV.
That do ya?</t>
  </si>
  <si>
    <t>We need @jeffallen971 to stand strong against the #OutrageMedia onslaught that's most likely coming for the rest of the talent at @971FMTalk now that there's been a bloodletting
Please watch out for them Jeff
#IStandWithJamieAllman https://t.co/F721dm5sfO</t>
  </si>
  <si>
    <t>@juliematthews50 @godsmack Oh my goodness ... so beautiful</t>
  </si>
  <si>
    <t>I need popcorn
#MoGov @EricGreitens #KimShady #NoNotesTisaby https://t.co/POjM8Un4bR</t>
  </si>
  <si>
    <t>Well, now.  Isn't this interesting?
What did you do, 😸?  
#IAmBehindEricGreitens
#MoGov https://t.co/O1wbS8RzGB</t>
  </si>
  <si>
    <t>RT @MAGASyndicate: The Black Missouri Senator Who Wanted Trump Assassinated Now Wants Reparations For Slavery 
#Resign
#Democratic 
#Senat…</t>
  </si>
  <si>
    <t>@Joe_Cool_1 I did, and thanked Him for his grave and love</t>
  </si>
  <si>
    <t>@juliematthews50 @godsmack So's Sully 💖💖💖</t>
  </si>
  <si>
    <t>@jmomom1 @Pantszilla77 @88YahamaKeys @sueweaver16 @jallman971 @GatewayBlend @Margare03880660 @backtwobasics @juliematthews50 All because I drink #MoscowMules at #BarLouie ~ God forgive me.  I don't watch Fox News, so the Bartender must be slipping mecmind-control pills</t>
  </si>
  <si>
    <t>When you come home and your darling spousal unit has @godsmack videos cue'd up on the TV 
💖💖💖💖💖💖💖💖💖💖💖💖💖
@juliematthews50</t>
  </si>
  <si>
    <t>When your gym is literally next to an @Arbys &amp;amp; a @littlecaesars https://t.co/KMZ1abRCFK</t>
  </si>
  <si>
    <t>@DailyLibber @jmomom1 @sueweaver16 @88YahamaKeys @jallman971 @GatewayBlend @Margare03880660 @backtwobasics @Pantszilla77 @juliematthews50 😀😅😃👍👍👍 luv you, MAN.</t>
  </si>
  <si>
    <t>Why is it the #OutrageMedia #SpeechPolice never print the tweet before/after this one?
#Enemedia
#Presstitutes 
#IStandWithJamieAllman 
#JamieAllman @jallman971 https://t.co/OvwUDUNYI3</t>
  </si>
  <si>
    <t>Who does that sound like?  I"v heard Stacey's #Fascist speech before
Hmmm ... https://t.co/0v5MBb0Fma</t>
  </si>
  <si>
    <t>Heh ... #Literally
Don't say this in Liberal bars
#OutrageMafia https://t.co/sppCuj56G0</t>
  </si>
  <si>
    <t>His Five+ Minutes have dried up
#IStandWithJamieAllman 
#OutrageMafia
#CameraHogg https://t.co/48cXWP8m2m</t>
  </si>
  <si>
    <t>.#IStandWithJamieAllman 
You hear us @WeAreSinclair  ?
WE allow you to pay your bills
#HumanSacriface to the #OutrageMafia
#JamieAllman
#DeathBeforeFascism
#HokaHey https://t.co/DQqsZZKFSv</t>
  </si>
  <si>
    <t>I'm with you #MrSpeaker
@SpeakerTimJones
#IStandWithJamieAllman 
#IWantMyJamieBack https://t.co/MHk7GCr20M</t>
  </si>
  <si>
    <t>RT @Pantszilla77: @88YahamaKeys @jmomom1 @sueweaver16 @Lautergeist @jallman971 @GatewayBlend @Margare03880660 @backtwobasics @juliematthews…</t>
  </si>
  <si>
    <t>@Pantszilla77 @jmomom1 @88YahamaKeys @sueweaver16 @jallman971 @GatewayBlend @Margare03880660 @backtwobasics @juliematthews50 TRIGGERED BY YOUR ELDER HATE!!</t>
  </si>
  <si>
    <t>There is no way I'm getting on the #HawleyTrawley 
All the way with @AP4Liberty 
#KimShady @stlcao
🌛 🐈 #Greek🔥
#IAmBehindEricGreitens 
#MoSen #FireClaire🔥 https://t.co/X55XK9dfwI</t>
  </si>
  <si>
    <t>.#NoNotesTisaby
#KimShady
#Shithole
@stlcao
#IStandBehindEricGreitens
#StopGivingInToFascists
@EricGreitens #MoLeg
#MissouriSwamp 
🐈
🌛 https://t.co/quWlSHRtm1</t>
  </si>
  <si>
    <t>.#DayOfReckoning
#Shithole
@stlcao 
#KimShady
@EricGreitens 
#IStandBehindEricGreitens https://t.co/LUNRZi6Es4</t>
  </si>
  <si>
    <t>A Day of Reckoning is coming for #KimShady @stlcao and that mess that is the #Democrat stronghold of #StLouisCity
Maybe we SHOULD merge &amp;amp; clean up that Liberal shithole https://t.co/7IyFWI9Jds</t>
  </si>
  <si>
    <t>@jmomom1 @Pantszilla77 @Margare03880660 @88YahamaKeys @jallman971 @GatewayBlend @backtwobasics @juliematthews50 @sueweaver16 Oh, glad you cleared that up.  Because in the 39 Days interview he said different.  He must have left an active shooting scene, got his stuff, THEN re-entered the crime scene.  
Or was he filming when they did the "active shooter" drill earlier?
https://t.co/1wCcjGYv4j</t>
  </si>
  <si>
    <t>@88YahamaKeys @jmomom1 @sueweaver16 @jallman971 @GatewayBlend @Margare03880660 @backtwobasics @Pantszilla77 @juliematthews50 https://t.co/VSIH9mY4Fo</t>
  </si>
  <si>
    <t>RT @PSA_Sitch: The argument is forever settled. https://t.co/GaPejjBZJJ</t>
  </si>
  <si>
    <t>@88YahamaKeys @jmomom1 @sueweaver16 @jallman971 @GatewayBlend @Margare03880660 @backtwobasics @Pantszilla77 @juliematthews50 My bad, he probably pays someone to do that stuff so he can sit at his laptop on Twitter, harrassing Conservatives.  
#SlowClap</t>
  </si>
  <si>
    <t>.#IStandWithJamieAllman 
We will not be silenced
#StopGivingInToFascists
#ThanksSinclair
#ThanksEntercom
#WeWillNotBeSilenced !!
@jallman971
@Entercom 
@WeAreSinclair https://t.co/UehfSb3YSA</t>
  </si>
  <si>
    <t>RT @skoalbandit1776: @KineticCycling @realDonaldTrump @FoxNews No Dolt... behold @TrumpTower #LasVegas..  but Not the tower @HillaryClinton…</t>
  </si>
  <si>
    <t>@jmomom1 @sueweaver16 @88YahamaKeys @jallman971 @GatewayBlend @Margare03880660 @backtwobasics @Pantszilla77 @juliematthews50 Oh, good morning Dan!  Don't you have manly things to do like clean gutters, get the mower ready?</t>
  </si>
  <si>
    <t>@jmomom1 @88YahamaKeys @jallman971 @GatewayBlend @Margare03880660 @backtwobasics @Pantszilla77 @juliematthews50 @sueweaver16 At least I got in to college.
#JustSayin</t>
  </si>
  <si>
    <t>@sueweaver16 His interview.  He says when he heard about the shooting he got all his video equip, rode his bike over ~ in the context of the situation, THIS MAKES NO SENSE.  Was he home, then entered the active crime scene?  Or, did he leave the active crime scene to go home, come back?</t>
  </si>
  <si>
    <t>Jeebus, they're like black mold.  You can't treat them with fungicide or bleach.  Their spores spread when you touch them.  Only SUNLIGHT will kill them
 https://t.co/RSLIriQI01</t>
  </si>
  <si>
    <t>@Pantszilla77 @Margare03880660 @Indivisible_STL @88YahamaKeys @jallman971 @GatewayBlend @backtwobasics @juliematthews50 @sueweaver16 I'm amazed how he was at school when the shooting started, ran home 3 miles to get equip, rode his bike back &amp;amp; re-entered the school during/after the shootings.  
Oh, wait.  He was AT HOME during the shooting, rode his bike over &amp;amp; entered the active shooting/crime scene.</t>
  </si>
  <si>
    <t>@jmomom1 @88YahamaKeys @jallman971 @GatewayBlend @Margare03880660 @backtwobasics @Pantszilla77 @juliematthews50 @sueweaver16 That's because we don't have professional organizers on retainer</t>
  </si>
  <si>
    <t>@jmomom1 @Margare03880660 @Pantszilla77 @88YahamaKeys @jallman971 @GatewayBlend @backtwobasics @juliematthews50 @sueweaver16 It's so sad we don't have the tweets BEFORE it and AFTER it for context ~ y'all know this was the come-uppance line in "One-On-One" with Robby Benson, right?  He throws this line back at his coach?</t>
  </si>
  <si>
    <t>@WalkingDead_AMC Daryl?  Y'all nuts.  He seems so unstable these days.  Carl's death fucked him up</t>
  </si>
  <si>
    <t>RT @skoalbandit1776: @EricHolder You were held in contempt of congress for StoneWalling #FastAndFurious Documents...  #WeThePeople held a R…</t>
  </si>
  <si>
    <t>Yesssssss ... my concert buddy is on the mend from a late case of the Influenza-B, we're back on to enjoy some @robintrower tonight! https://t.co/eLskZOXUQh</t>
  </si>
  <si>
    <t>@Sticknstones4 @Joe_Cool_1 Except for the damn typo!</t>
  </si>
  <si>
    <t>The Greitens thing needs to wrap up
#NoCaseHere
#NoVictim
#LuvGuv
🐈
🌛 https://t.co/VkDsOAU6PL</t>
  </si>
  <si>
    <t>"I Am Ready" 
James Alexander Malcolm McKenzie Fraser's family motto https://t.co/3mMsJq5iEk</t>
  </si>
  <si>
    <t>@RealCandaceO @karenpiscopo1 @TonyRobbins Here! Here!!</t>
  </si>
  <si>
    <t>RT @RealCandaceO: Yesterday, I supported @realDonaldTrump 100% in his efforts to save America.
Today, and after the raid @MichaelCohen212’s…</t>
  </si>
  <si>
    <t>The ENTIRE Transcript from Thursday's court proceedings regarding @EricGreitens and 🐈 and 🌛
#KimShady #NoNotesTisaby
#GovernorGreitens 
 https://t.co/QA3jJ24KaZ</t>
  </si>
  <si>
    <t>RT @SebGorka: The message from @realDonaldTrump tonight to Iran and Russia is clear. 
If you support a monster such as Assad, you will pay…</t>
  </si>
  <si>
    <t>@laurenacooley We triggered a gay man on another thread by posting a picture of Marilyn Monroe.  
Go figure.
Must be that retrograde Mercury thing</t>
  </si>
  <si>
    <t>RT @tweetingmatty: STL in the Am, Boone county in the afternoon and KCMO tonight, @AP4Liberty is the hardest working candidate in this race…</t>
  </si>
  <si>
    <t>@ThreeColumnsArt @88YahamaKeys @ATeamMom1 @DailyLibber @juliematthews50 @ninekiller @jallman971 Stop triggering me with your hurtful rhetoric!</t>
  </si>
  <si>
    <t>@ThreeColumnsArt @88YahamaKeys @DailyLibber @ATeamMom1 @juliematthews50 @ninekiller @jallman971 Oh, right ... "Wildly offensive"?!  Hahahaha!  But you didn't wildly offend any of us cuz that's how Liberals do!  Hahaha!!</t>
  </si>
  <si>
    <t>.@EricGreitens #KimShady #FollowTheMoney #MoLeg #NoEvidenceOfACrime #PSKS #NoNotesTisaby
🐈
🌛 https://t.co/N7qICRaWxS</t>
  </si>
  <si>
    <t>Don't resign and give the power to The Deep State @EricGreitens 
#NoEvidenceOfCrime https://t.co/HCx5BLKqHA</t>
  </si>
  <si>
    <t>@RiverfrontTimes Slow news week RFT?  Yeah, nothing else going on in Missouri.</t>
  </si>
  <si>
    <t>@88YahamaKeys A real good boy https://t.co/OimqK2o3UL</t>
  </si>
  <si>
    <t>@88YahamaKeys I like Dan. He's been a good sport today.</t>
  </si>
  <si>
    <t>@ThreeColumnsArt @DailyLibber @ATeamMom1 @juliematthews50 @88YahamaKeys @ninekiller @jallman971 I thought ALL gay men loved Marilyn!  Sorry Dan.  Here ya go https://t.co/Ys76AK8cwb</t>
  </si>
  <si>
    <t>@DailyLibber @ATeamMom1 @ThreeColumnsArt @juliematthews50 @88YahamaKeys @ninekiller @jallman971 That's right.  We're wild &amp;amp; sexy, boys.  More woman than either you Soy Boys can handle. https://t.co/8oaO0etUjI</t>
  </si>
  <si>
    <t>The power of God protects me.
The light of God surrounds me.
The love of God fills me.</t>
  </si>
  <si>
    <t>@_wintergirl93 @HonkyTonkJew I'm so tempted to click on it &amp;amp; hear it but I've heard it before &amp;amp; I know my bill will rise...
...but I want to click it ...
#LivingWithOCD</t>
  </si>
  <si>
    <t>Wow ~ I hope the Guvnuh  and his family have enough energy to punch back at every one if you mother fuckers who say he's guilty.  The only one guilty here is 🌛 https://t.co/ajvRgNkMam</t>
  </si>
  <si>
    <t>Man, I love these videos https://t.co/93c6QdSnld</t>
  </si>
  <si>
    <t>@ATeamMom1 @ThreeColumnsArt @juliematthews50 @DailyLibber @88YahamaKeys @ninekiller @jallman971  https://t.co/DlsQ3JJdBT</t>
  </si>
  <si>
    <t>Guessing EBT, WIC, free internet, free Obamaphones &amp;amp; not paying any taxes don't count?  
Asking for a friend @MariaChappelleN https://t.co/G5xUkO3XXO</t>
  </si>
  <si>
    <t>Please join our fight!  This is not over @Entercom @WeAreSinclair 
We conservatives are your base, your foundation.  You kicked us hard , but we hold your financial future.  
#IStandWithJamieAllman 
#IWantMyJamieBack
#StopGivingInToFascism https://t.co/IcXrPooIph</t>
  </si>
  <si>
    <t>Ahhh Friday https://t.co/GgOWf61QJb</t>
  </si>
  <si>
    <t>@ThreeColumnsArt @juliematthews50 @jallman971 Julie.  You and Jamie are starting a cooking show?  Why didn't you tell me?
Dan, you look like a fun guy.  Really.  Most artists have trust funds or a rich lover/benefactor.  I defaulted to trust fund.  My bad
😘😘😘</t>
  </si>
  <si>
    <t>@juliematthews50 @ThreeColumnsArt @jallman971 Ope!  Today's the last day, Dan!  Better hurry!
😘😘😘</t>
  </si>
  <si>
    <t>@Monetti4Senate That's a cool shot, sir</t>
  </si>
  <si>
    <t>Trading in the Mazda, if this beauty comes with ManTrans https://t.co/HZnIOAZa2I</t>
  </si>
  <si>
    <t>@SpeakerTimJones  https://t.co/QhEehOnHls</t>
  </si>
  <si>
    <t>@ThreeColumnsArt @juliematthews50 @jallman971 Go make some "art", Trust Fund baby.</t>
  </si>
  <si>
    <t>@Tricia_971 😘😘😘😘 keeping all of you in my prayers of protection 😘😘😘</t>
  </si>
  <si>
    <t>RT @citymuseum: 2nd Floor Vault Room. https://t.co/j3M8o1WQze https://t.co/tOElQmG0j7</t>
  </si>
  <si>
    <t>LOL @Tricia_971 !!  
"I have a sunburn.  It's awesome"
Love you, chicky ~  you're doing great!</t>
  </si>
  <si>
    <t>@imagerm69 @AMike4761 @SheilahBird 👍👍👍😉😀😅😂👍👍👍</t>
  </si>
  <si>
    <t>With a second here ... hold up.
TEN PEOPLE voted AGAINST this bill?!?!  
 https://t.co/AxP48h8K47</t>
  </si>
  <si>
    <t>RT @Beatlebaby64: @971FMTalk @SpeakerTimJones 
@AP4Liberty 
How could people NOT vote for @AP4Liberty ?
He is so in tune to the realities o…</t>
  </si>
  <si>
    <t>You get them, girls. https://t.co/BMMXwYo1eo</t>
  </si>
  <si>
    <t>RT @PeggyMom03: I agree @sueweaver16. I would not have known about @MichaelsFloor93 w/o listening to @jallman971 &amp;amp; watching @AllmanReport.…</t>
  </si>
  <si>
    <t>How in the hell did I send that tweet without tagging @AP4Liberty ?! https://t.co/mm9lkqewNb</t>
  </si>
  <si>
    <t>AUSTIN!!!!!
On #AllmanInTheMorning #AitM with @SpeakerTimJones 
See you soon AP!
#IStandWithJamieAllman 
@971FMTalk 
@jeffallen971</t>
  </si>
  <si>
    <t>@juliematthews50 @ThreeColumnsArt @DailyLibber @88YahamaKeys @ATeamMom1 @ninekiller @jallman971 Is that his artwork or does he have an autistic child that he's promoting?</t>
  </si>
  <si>
    <t>I'm all about the first amendment but come on.
You're reported.  That's just uncalled for.</t>
  </si>
  <si>
    <t>The Inmates are running our schools.  They have assume control. https://t.co/7BwzUBr2Y1</t>
  </si>
  <si>
    <t>@Joe_Cool_1 WTF??</t>
  </si>
  <si>
    <t>RT @88YahamaKeys: We believe in @jallman971!  Protested in front of @GatewayBlend who want to revoke free speech! Not on our watch! @Margar…</t>
  </si>
  <si>
    <t>@88YahamaKeys @DailyLibber @Margare03880660 @ATeamMom1 @juliematthews50 @ninekiller @Pantszilla77 @eeynouf THUGS?!  They're exercising their First Amendment Rights Daniel.  How does this make them "thugs"? Like, by your very breathing &amp;amp; being a man automatically makes you a "rapist" thug analogy?</t>
  </si>
  <si>
    <t>The Fascist Left in this town smell the blood in the water and they're circling.  They won't be satisfied until they get @Entercom to kill @971FMTalk
SIGN THE PETITION
Richard Schmaeling/Entercom: 
#IStandWithJamieAllman 
https://t.co/WYyuqMposM via @Change</t>
  </si>
  <si>
    <t>I'm out for the night.  Some of you are cheering.</t>
  </si>
  <si>
    <t>@lernvsradio It will lull you to sleep.  My backyard neighbor is obviously DEAF to his dog's hysterical barking (afraid of the dark??) 
Ugh</t>
  </si>
  <si>
    <t>@Midwestfitz why we beefin' with that Jersey Girl? 😀😃😅</t>
  </si>
  <si>
    <t>@EAKirkCuomo @Midwestfitz @politico  https://t.co/s6yI0xuPZu</t>
  </si>
  <si>
    <t>So 🌛 doesn't have to say anything, as the filer in this case.  And no one questions who's paying his bills?! https://t.co/QMOfocWrcC</t>
  </si>
  <si>
    <t>@JohnStandlee @Margare03880660 @971FMTalk @jallman971 Respectfully, I wanted to do that, too.  But I live Pippy, Katie, Denny's, Marc, Church-dog, Colombo, Rachel...so I will keep listening.  But I'm ready to go to war on Sinclair, who started all this</t>
  </si>
  <si>
    <t>@exjon "chortled winsomely"?  "As is my wont"?!   😂😂😂😂😂😂😂😂😂😂😂</t>
  </si>
  <si>
    <t>RT @StoriesOfPeopIe: Soldier carried his service dog down a mountain because it was 117 degrees and the rocks were burning his paws https:/…</t>
  </si>
  <si>
    <t>@Sticknstones4 @davidsonmark650 @OkayBeckie @RepAnnWagner @tonymess @staceynewman What the hell does she do all day, on the taxpayer's dime?  She gets paid from all of us, yet she hyena-laughs over getting conservative 's money</t>
  </si>
  <si>
    <t>RT @Sticknstones4: @lindabluff @staceynewman https://t.co/dUnoqJapua</t>
  </si>
  <si>
    <t>@Sticknstones4 @Margare03880660 @RealTravisCook @WeAreSinclair I have contacts who told me all about Rabbi Talve ~</t>
  </si>
  <si>
    <t>RT @lindabluff: @staceynewman You witch hunter!  Governor Greitens had a consensual affair 2 YEARS before he was in public office! NO CRIME…</t>
  </si>
  <si>
    <t>This is for all you dumbass, out-of-towners tryin' to tell ME abt this case! I got folks EVERYWHERE in this town, telling me stuff.  I don't need your big, fat east coast attitude telling me I'm victim-shaming.  @EricGreitens is the victim, you ninnies!
 https://t.co/RIGNCJZ61J</t>
  </si>
  <si>
    <t>RT @VisioDeiFromLA: Standing with @EricGreitens until he has his day in court
#MoLeg needs to 2 recognize fundamental rule of politics
DA…</t>
  </si>
  <si>
    <t>@EAKirkCuomo @politico And by that, I mean no victim came forward to report this crime.  Only a local celebrity who himself sexualizes women while on tour with his bands.  Why is HE held blameless in this?</t>
  </si>
  <si>
    <t>@EAKirkCuomo @politico Why is he a predator?  There is no evidence in this case.  There isn't even a victim.  Kitty is a witness to a victimless crime.</t>
  </si>
  <si>
    <t>I just absolutely love how all of these out-of-towners and all the skanks who are whores for the left or telling me about my governor and the poor woman that he slept with and she's a victim.  Damn right she's a victim. She's a victim of her ex-husband!!</t>
  </si>
  <si>
    <t>@EAKirkCuomo @politico You are not even from here. I have to live with this all day long in my town.</t>
  </si>
  <si>
    <t>@EAKirkCuomo @politico Her ex-husband Moon lied to her and try to convince her to go make a tape to turn into his attorney is because he was afraid the governor was going to kill him.</t>
  </si>
  <si>
    <t>@EAKirkCuomo @politico I'm saying she probably did it to protect herself into protect her children.  She didn't know she was being recorded.  She thought it was a safe environment.</t>
  </si>
  <si>
    <t>@PuffedUpdater @JPRadioMofo @robschaaf Oh I'm sorry did we ask your opinion?</t>
  </si>
  <si>
    <t>@EAKirkCuomo @politico Look, Erin. Having been a victim of 2 date raps in the 80's, I am going to be behind the woman every time.  She's being blackmailed &amp;amp; threatened by her ex.  She had NO IDEA she was being recorded &amp;amp; probably exaggerated to get 🌛off her back.  Now she's caught...</t>
  </si>
  <si>
    <t>@EAKirkCuomo @politico And my response "no evidence" is still true</t>
  </si>
  <si>
    <t>@EAKirkCuomo @politico And believe me, Bob Romanik is NO FAN of The Guvnuh.  I feel sorry for HER ~ sexually used by one guy, threatened by her ex husband on the other side</t>
  </si>
  <si>
    <t>@EAKirkCuomo @politico https://t.co/fmn6FSdLl1</t>
  </si>
  <si>
    <t>@EAKirkCuomo @politico Moon Valjean took $15k in private donations from anonymous sources to bring this sham of a case.  The only thing this cuckhold has gotten is kicked out of Greek Fire</t>
  </si>
  <si>
    <t>@EAKirkCuomo @politico No evidence has been presented to support this case.  Moon Valjean bought extra time with #KimShady so a search of the Cloud could be done ~ no one's found ANYTHING</t>
  </si>
  <si>
    <t>@EAKirkCuomo @politico I blame her ex-husband Philip Sneed/Moon/Moon Valjean, who made her the victim against her will!  He threatened to "ruin" her in submitted evidence</t>
  </si>
  <si>
    <t>@AmyLaurenSomers @politico @GOP Still no evidence.</t>
  </si>
  <si>
    <t>@politico The "missing" video taped deposition was "suddenly found" after #moleg wrote up their salacious findings-not findings.  She DREAMED the whole camera incident.  She went back and had multiple sexual encounters.  Her ex-husband 🌛threatened her</t>
  </si>
  <si>
    <t>@Cookie_Ladee @politico Except in the videotaped deposition BEFOTE THE COURT, she confessed to multiple sexual encounters.  So she was raped, then went back for more rapings?  Nah.</t>
  </si>
  <si>
    <t>@EAKirkCuomo @politico Except her videotaped deposition, she never saw a camera or phone and confessed she probably dreamed all that part.</t>
  </si>
  <si>
    <t>@SuppressThis @politico And she hated it so much she went back to him, over &amp;amp; over again?</t>
  </si>
  <si>
    <t>@politico ...until the videotaped deposition was discovered, then we find out she was intimidated by her ex-husband, a radio personality 🌛 in St Louis</t>
  </si>
  <si>
    <t>Yeah, that's a nope for me, thanks
https://t.co/7ONxXRFCmU</t>
  </si>
  <si>
    <t>Hi @robschaaf ~ you're a traitor to the Party.  What the hell's wrong with you?!  This whole case against #GovGreitens is nothing but a JOKE, and you BELIEVE it?!  
Just resign now.  You're obviously too stupid to recognize a SCAM
https://t.co/AAtILr95uL</t>
  </si>
  <si>
    <t>RT @AP4Liberty: That’s because it’s “completely inappropriate that our Attorney General, the chief law enforcement officer of the state, wo…</t>
  </si>
  <si>
    <t>@Joe_Cool_1 @KMOV @LaurenTrager @EricGreitens She just wanted those free @greekfire tix</t>
  </si>
  <si>
    <t>RT @JeepMan177: @MarcCox971 Noticed you don't tweet much now, which is probably a smart thing.  Considering how liberal left is targeting t…</t>
  </si>
  <si>
    <t>RT @Beatlebaby64: @ATeamMom1 @ErgoStreetNurse @Lautergeist @Sticknstones4 @juliematthews50 @Entercom @jeffallen971 @jallman971 @971FMTalk @…</t>
  </si>
  <si>
    <t>@YDominus @anniefreyshow @MarcCox971 Yeah, I'm not doing that ~</t>
  </si>
  <si>
    <t>@sueweaver16 @Beatlebaby64 @ErgoStreetNurse @Sticknstones4 @juliematthews50 @Entercom @jeffallen971 @jallman971 @971FMTalk @CapitalGrille @commonsensei @ATeamMom1 @dianejneff1 @AnnetteRR @WeberChevrolet @WeAreSinclair 😃😂😀😉</t>
  </si>
  <si>
    <t>Tell Charles it's not for us to judge anyone's morals.  As @anniefreyshow says, we can judge ethics all day long as a measure of a person. 
@MarcCox971 #MCS971</t>
  </si>
  <si>
    <t>@Beatlebaby64 @ErgoStreetNurse @Sticknstones4 @juliematthews50 @Entercom @jeffallen971 @jallman971 @971FMTalk @CapitalGrille @commonsensei @ATeamMom1 @dianejneff1 @AnnetteRR @WeberChevrolet Ope, my bad!  So sorry John!
It IS strange that no one else is stating the obvious ~ using an analogy here ~ how quickly one can have their legs cut out from under them for pissing off the Fascist elites.
@971FMTalk @Entercom @jeffallen971 @WeAreSinclair</t>
  </si>
  <si>
    <t>OPE, did @MarcCox971 just use an analogy?  A METAPHOR?!  
#LongKnives
#MCS971 
OMG call in the troops ~ 
😒😐</t>
  </si>
  <si>
    <t>@OkayBeckie @davidsonmark650 @RepAnnWagner @tonymess Can we just agree our Guv was a lethario who couldn't KTPITP and move on?  Can't we agree poor Kitty was mind-fucked by two powerful men for her decision, but it's not our concern?</t>
  </si>
  <si>
    <t>@OkayBeckie @davidsonmark650 @RepAnnWagner @tonymess I'm sick of this story and the blatant bias against the Guvnuh.  He was not my choice, but I have to support him as he won.  So far, IMHO he's not killed us yet.</t>
  </si>
  <si>
    <t>@OkayBeckie @davidsonmark650 @RepAnnWagner @tonymess I know her ex lied by omission, by recording her as he asked leading questions.  I believe the Guvnah lied to his wife abt an affair &amp;amp; got caught.  Good enough for you?  
This all happened before Guvnuh ran for office. And, no laws were proven broken while Gov.</t>
  </si>
  <si>
    <t>@MaggieTheCat20 @Entercom @jeffallen971 @jallman971 @971FMTalk Maggie, I feel exactly the same way.</t>
  </si>
  <si>
    <t>OMG this whole thread reads like a NYT Top 10 Mystery Novel https://t.co/zSPPEJRy64</t>
  </si>
  <si>
    <t>@OkayBeckie @davidsonmark650 @RepAnnWagner @tonymess I didn't call you a little, hon.  I simply pointed out that the WIFE probably slightly exaggerated events (lied) to gain sympathy from her cuckholded, soon-to-be non-monogamous-himself rock star husband</t>
  </si>
  <si>
    <t>@AP4Liberty @HawleyMO Nope, but I'll bring $50 to an @AP4Liberty Beer &amp;amp; Liberty event!</t>
  </si>
  <si>
    <t>RT @ReaganBabe: Let's the Blue Coast prove their progressive utopia can stand alone....#Cal3 https://t.co/EzcIZAy4MB</t>
  </si>
  <si>
    <t>@Conservative_VW  https://t.co/qTHHIB89Dp</t>
  </si>
  <si>
    <t>@davidsonmark650 @OkayBeckie @RepAnnWagner @tonymess @staceynewman But it's okay to drag the Guvnah's kids through it NOW.  Ahhh, I see!  The old Republican v Celebrity double standard.  👍👍Got it!👍👍</t>
  </si>
  <si>
    <t>@ErgoStreetNurse @Sticknstones4 @Beatlebaby64 @juliematthews50 @Entercom @jeffallen971 @jallman971 @971FMTalk @CapitalGrille @commonsensei @ATeamMom1 @dianejneff1 @AnnetteRR @WeberChevrolet Did we ask for your opinion John Huffman? https://t.co/9P7J56OoTr</t>
  </si>
  <si>
    <t>@davidsonmark650 @OkayBeckie @RepAnnWagner @tonymess Maybe tell that to @staceynewman who outed Kitty as the wife.  
Maybe tell that to #BobRomanik, the shock jock on KQQZ 1190AM who broke the story on 2/23.  If it wasn't them, he'd have been FIRED/SUED by now.  
Anyone with a computer could find this. It's the worst kept secret</t>
  </si>
  <si>
    <t>@davidsonmark650 @OkayBeckie @RepAnnWagner @tonymess Why?  Why do they get protection but the other half of this cheater team gets full public floggings in the press?</t>
  </si>
  <si>
    <t>@OkayBeckie @davidsonmark650 @RepAnnWagner @tonymess And another thing, have you ever been on the business end of a gun?  Been hunted?  Been on a hit list?  I have.  Why I carry.  So kiss my ass.</t>
  </si>
  <si>
    <t>@OkayBeckie @davidsonmark650 @RepAnnWagner @tonymess Katrina had NO IDEA she was being recorded, so why wouldn't she lie to protect herself during her divorce?  Wouldn't you, if your spouse was threatening you with no visitation, no custody, bc you cheated?</t>
  </si>
  <si>
    <t>@OkayBeckie @davidsonmark650 @RepAnnWagner @tonymess You, of course, jump to conclusions.  I sd PROB bc her ex Moon/Philip threatened her, threatened to keep her from their kids.  She PROB said what she did to win sympathy &amp;amp; defuse his anger.  NOT A BAD THING.  Moon/Philip has threatened to "ruin" her via texts</t>
  </si>
  <si>
    <t>Well, the Oppressors already have the press in this town: @FOX2now @KDNLABC30 @KMOV @ksdknews @WeAreSinclair @Entercom @971FMTalk @RiverfrontTimes @stltoday
#IStandWithJamieAllman 
#IWantMyJamieBack
#StopGivingInToFascists https://t.co/3K0fO0ZtpL</t>
  </si>
  <si>
    <t>@Beatlebaby64 @juliematthews50 @Sticknstones4 @Entercom @jeffallen971 @jallman971 @971FMTalk @CapitalGrille @commonsensei @ATeamMom1 @dianejneff1 @AnnetteRR They can just drop us at @Entercom  local office</t>
  </si>
  <si>
    <t>Applauding all sponsors who are ready to say #IStandWithJamieAllman when @Entercom brings @jallman971 back to @971FMTalk 
All the great work he's done in our community, the military, our history, the USO
My God, the #FascistLeft like @staceynewman have only torn down statues https://t.co/V8rWidP2Ny</t>
  </si>
  <si>
    <t>RT @blackwidow07: @joelcurrier @EricGreitens @StLouisCityCA @stltoday Gardner needs to be DISBARRED. Some of her behavior may be genetic.</t>
  </si>
  <si>
    <t>.#IStandWithJamie
#IWantMyJamieBack
@971FMTalk @jeffallen971 @Entercom @WeAreSinclair 
#StopGivingInToFascism https://t.co/sNkViyH1KU</t>
  </si>
  <si>
    <t>RT @AP4Liberty: Now the @MissouriGOP is in a great civil war. Ladder Climbing, aspiring career politician @HawleyMO throws people under the…</t>
  </si>
  <si>
    <t>HaHaHaHaHaHaHa!  Poor precious dumpling.  Reminds me of that baby elephant chasing geese &amp;amp; falls down ... gets back up &amp;amp; runs to momma
#IStandWithJamieAllman
@davidhogg111
 https://t.co/OPX3eJD1ZW</t>
  </si>
  <si>
    <t>@88YahamaKeys You know, all the way up ... 😉</t>
  </si>
  <si>
    <t>@88YahamaKeys @manerdm @juliematthews50 @Drumrunner2012 @gomurphy @sperry0111 @jallman971 @ATeamMom1 @ninekiller @AnnetteRR @dianejneff1 Practicing, like @davidhogg111 does, with the door shut ... Whoopsies, mom walks in with his tidy whites from the laundry room ...</t>
  </si>
  <si>
    <t>@88YahamaKeys Thank you.  I try to dial it back a bit ~ my ass still stinging from my suspension</t>
  </si>
  <si>
    <t>@Sticknstones4 @Entercom @jeffallen971 @jallman971 @971FMTalk Hey, maybe next week we can all meet Jamie at @CapitalGrille and eat steaks and drink bourbon and celebrate good, conservative values!
@jallman971 @juliematthews50 @commonsensei @ATeamMom1 @dianejneff1 @AnnetteRR @Beatlebaby64</t>
  </si>
  <si>
    <t>.#IWantMyJamieBack
#IStandWithJamieAllman 
@jeffallen971 @Entercom @WeAreSinclair 
#StopBowingToFascism https://t.co/1pTsrzkKGd</t>
  </si>
  <si>
    <t>@GLBourbon @jallman971 ???  Not sure if that's for real or tongue-in-cheek
Ope ~ a metaphor.  Get out the firing squad, right @jeffallen971 @Entercom  @WeAreSinclair ??
Because #MetaphorsAreDangerous
#IWantMyJamieBack
#IStandWithJamieAllman</t>
  </si>
  <si>
    <t>@Sticknstones4 @Entercom @jeffallen971 @jallman971 @971FMTalk RIGHT?!?!?!  We should do this.</t>
  </si>
  <si>
    <t>@juliematthews50 @jallman971 @ATeamMom1 @88YahamaKeys @ninekiller @Drumrunner2012 @dianejneff1 @Beatlebaby64 @sperry0111 @AnnetteRR That hat is too cool for me
#IWantMyJamieBack 
#IStandWithJamieAllman 
@jeffallen971 @971FMTalk @Entercom</t>
  </si>
  <si>
    <t>@Beatlebaby64 Oh, I'll concede that point 😀😆😄</t>
  </si>
  <si>
    <t>@Beatlebaby64 Oh, it finally loaded!  It took almost an hour...
😠😠😠</t>
  </si>
  <si>
    <t>@Beatlebaby64 Sure, but we have to STOP with the interference of classroom time to do it.  
Like I said, do it extracurricular, or during lunch, or before school.</t>
  </si>
  <si>
    <t>@davidsonmark650 @RepAnnWagner @tonymess The ex-husband brought this case, based on a taped "confession" of his ex-wife of "WHY" she cheated on him.
She prob exaggerated her story to make herself look better, as he was threatening to take their kid away (despite being a non-monogamous traveling musician)</t>
  </si>
  <si>
    <t>Our friend.  Our voice.
#IStandWithJamieAllman 
#IStandWithJamieAllman 
#IStandWithJamieAllman 
#IStandWithJamieAllman 
#IStandWithJamieAllman 
#IStandWithJamieAllman 
#IStandWithJamieAllman 
#IStandWithJamieAllman 
@Entercom @jeffallen971 
@jallman971 #AitM @971FMTalk https://t.co/064wVCEtvZ</t>
  </si>
  <si>
    <t>I love this so much, but cannot condone walking out on school time for it.
School time is learning time.  Protesting should be done extracurricular.  
#NationalWalkoutForTheUnborn
 https://t.co/LaSLBIip8P</t>
  </si>
  <si>
    <t>Sorry @kbailey971 girl you know I love you but that song made my ears bleed
#STAAAAAAAHP</t>
  </si>
  <si>
    <t>@juliematthews50 @manerdm @Drumrunner2012 @gomurphy @sperry0111 @jallman971 @ATeamMom1 @88YahamaKeys @ninekiller @AnnetteRR @dianejneff1 I don't see ANYWHERE that we asked for your opinion.  Move On, douche canoe.  Didn't your wife tell you to get them kids ready for their playdate?</t>
  </si>
  <si>
    <t>Stop this, @RepAnnWagner 
There is no call for you to comment.  
There is absolutely NO EVIDENCE, NO VICTIM in this case, just a disgruntled, cuckholded ex-husband who cheated on his own wife while touring with his many bands https://t.co/ptmaR4iq4c</t>
  </si>
  <si>
    <t>@manerdm @juliematthews50 @Drumrunner2012 @gomurphy @sperry0111 @jallman971 @ATeamMom1 @88YahamaKeys @ninekiller @AnnetteRR @dianejneff1 Just get off our conversation Hater.  You have nothing to contribute to this.  Block us if we offend your pretty little head.</t>
  </si>
  <si>
    <t>@manerdm @juliematthews50 @gomurphy @sperry0111 @jallman971 @ATeamMom1 @88YahamaKeys @ninekiller @AnnetteRR @dianejneff1 @Drumrunner2012 Well, you can just keep on listening To Moon at 105.7 then.  Go on. Git.  We don't need you over here.</t>
  </si>
  <si>
    <t>RT @juliematthews50: Good morning all.. Here's your bit of beauty and positivity..my swans. 
Now.. Let's do disss.  
#IStandWithJamieAllm…</t>
  </si>
  <si>
    <t>RT @LauraLoomer: WATCH: .@SteveScalise grilled Facebook CEO #MarkZuckerberg on Capitol Hill about Facebook's use of algorithms to censor Co…</t>
  </si>
  <si>
    <t>Is this what SHE was elected to do? Go out &amp;amp; SYSTEMATICALLY target conservative voices, make up lies and spread vitriol all over our city so that she can shut us up?!  
@971FMTalk @jeffallen971 
#IStandWithJamieAllman 
#ThePod @SpeakerTimJones
#AitM4Ever https://t.co/CY4wdFtwPw</t>
  </si>
  <si>
    <t>RT @KyleKashuv: I think you need to learn the difference between boycotting due to bigoted and racists remarks (what @benshapiro did) versu…</t>
  </si>
  <si>
    <t>@RealBarefoot @EricGreitens @LaurenTrager It's all just so icky</t>
  </si>
  <si>
    <t>SHUT UP ABOUT MARLENE'S BECAUSE NOW I WANT TO CALL IN SICK TO #WORK !!!
(pick me up on your way out)
@SpeakerTimJones @denysschaefer 
@kbailey971 
@Tricia_971 https://t.co/clqeWnhl36</t>
  </si>
  <si>
    <t>RT @AmericanVoterUS: Meet @ABC "news" executive producer Ian Cameron who happens to be married to #susanrice
Orchestrated effort to deceiv…</t>
  </si>
  <si>
    <t>THANK YOU @JimTalent !! 
"...reaction to the tweet was disproportionate.. ". 
EXACTLY
@971FMTalk @Entercom 
@jeffallen971 
#IStandWithJamieAllman 
#IWantMyJamieBack
#AitM #AllmanInTheMorning
#StopEnablingFascism</t>
  </si>
  <si>
    <t>This ALSO could apply to the @EricGreitens case in #Missouri
A cuckholded ex-husband shopped his ex-wife's affair w/the Gov before he was a candidate.  No one would touch it.
Until #KimShady decided to commit career suicide for the ex-husband &amp;amp; Fascist Union Democrats https://t.co/tj5ULhElsw</t>
  </si>
  <si>
    <t>If I owned a radio station in the St Louis market struggling w/ratings &amp;amp; I heard @Entercom STUPIDLY suspended their #1 morning guy @jallman971 #JamieAllman, I'd be rounding up my lawyers to see abt bringing him &amp;amp; his conservative followers &amp;amp; advertiser $$ on over
@971FMTalk</t>
  </si>
  <si>
    <t>@DRUDGE_REPORT @Markknight45 So, giving people in her district a couple thousand $ each (if they can prove they are dependants of slavery?  Or just bc they's black) will instantly lift them out of poverty?</t>
  </si>
  <si>
    <t>Anyone who thinks this needs to be run out of town on a rail.
Hrrrrmph.  
 https://t.co/Pjf9NB1LD9</t>
  </si>
  <si>
    <t>RT @HonkyTonkJew: Good Morning Maniacs https://t.co/0QscGoYWGy</t>
  </si>
  <si>
    <t>RT @sueweaver16: Shoulda stood with @jallman971 https://t.co/GoavgUCmhw</t>
  </si>
  <si>
    <t>RT @88YahamaKeys: Hey @mattschindler This is the real Parkway!  Wake up call for you and your little status quo group.  @juliematthews50 @P…</t>
  </si>
  <si>
    <t>RT @JJCarafano: Actions speak louder than words https://t.co/J9Xwb8BGdx</t>
  </si>
  <si>
    <t>RT @AllenTruitt1: @SKOLBLUE1  @Str8DonLemon 
#IStandWithJamieAllman https://t.co/zClZFKlImm</t>
  </si>
  <si>
    <t>RT @lbecker18: @sallybhunt @Allstate @GetSpectrum @MichaelsFloor93 @360_ira @AmcoRanger @ArrowheadBldg @BannerConstruct @ChesterfieldFD @Dr…</t>
  </si>
  <si>
    <t>RT @FoxNews: .@DiamondandSilk on being deemed "unsafe" for Facebook: "I was happy to hear [Mark Zuckerberg] admit that they made a mistake.…</t>
  </si>
  <si>
    <t>RT @88YahamaKeys: Hey Ya’ll!  I commented to @staceynewman about her lies concerning @jallman971 and turns out, she can’t handle the truth!…</t>
  </si>
  <si>
    <t>RT @JennyLynnO1: ATTN:Allman in the Morning @jallman971 listeners on @971FMTalk here’s @jeffallen971’s email address Jeff.Allen@entercom.co…</t>
  </si>
  <si>
    <t>@HonkyTonkJew @TwitchyTeam OMG I was locked up for 7, +1 for trying to access on my laptop and another nickname.  I liked to have DIED.  WOW ~ I'm not worthy, #WilsonSister.  You ROCK! https://t.co/XSKMotEmBT</t>
  </si>
  <si>
    <t>@HonkyTonkJew @TwitchyTeam  https://t.co/XmqInULPcN</t>
  </si>
  <si>
    <t>@HonkyTonkJew @TwitchyTeam We're you in the Twitter Jail too?  Where'd you go?</t>
  </si>
  <si>
    <t>This thread is a must.  Watching Survivor now, will read it after 😀 https://t.co/0wE1U43Qca</t>
  </si>
  <si>
    <t>RT @blckriflecoffee: Just retweet it. Don’t ask questions just retweet the video pls and someone get this man a cup of coffee. #brcc #coffe…</t>
  </si>
  <si>
    <t>RT @LibertarianJedi: “I believe in a world where gay married couples can defend their marijuana fields with fully automatic machine guns” -…</t>
  </si>
  <si>
    <t>Gangstuh https://t.co/PMCigjAQdo</t>
  </si>
  <si>
    <t>@DrMZB @AllenTruitt1 @MarcCox971 @jallman971 Excellent!</t>
  </si>
  <si>
    <t>@Beatlebaby64 I blow them up on my side.  Negative reinforcement.  Actually, the girls came out &amp;amp; I talked to them.  The older one picked Doxie up he let me pet him. That's a FIRST!</t>
  </si>
  <si>
    <t>@DailyLibber Just checking.  😁</t>
  </si>
  <si>
    <t>About to go blow up some firecrackers at my fence line if my fucking neighbor doesn't put that fucking obnoxious scream-barking doxie in the house</t>
  </si>
  <si>
    <t>@DailyLibber You mad, dude?</t>
  </si>
  <si>
    <t>@true_pundit Shoot them, then.  They're illegal invaders</t>
  </si>
  <si>
    <t>@DailyLibber @YDominus @jallman971 I've not had personal contact w/him, relaying thru a 3rd party. Sorry</t>
  </si>
  <si>
    <t>Hopefully @RuthsChris sends @staceynewman a gift card for tipping them off to all the Liberals who will now flood their restaurant &amp;amp; spend tons of $$
Oh wait ~ Liberals only spend OTHER people's money...looks like Ruth's is done here in #TheLou! https://t.co/cLHQaBsHq5</t>
  </si>
  <si>
    <t>@AllenTruitt1 @DrMZB @MarcCox971 @jallman971 It's my fault, I probably used up all available space in his Inbox.</t>
  </si>
  <si>
    <t>Yes!  This guy!
@Entercom @WeAreSinclair @jallman971 #JamieAllman #AllmanInTheMorning #AitM #AitE @971FMTalk @jeffallen971 https://t.co/6Fpp7nYUC3</t>
  </si>
  <si>
    <t>RT @MAGAKrissy: Yeah pump the brakes CNN #FakeNews .... it’s called draining the Swamp and getting rid of RINOs. He’s a never Trumper, coll…</t>
  </si>
  <si>
    <t>@YDominus @jallman971 Yeah but you can't fire somebody just by announcing it at their work. You have to fire them in person. There's apparently not been a meeting</t>
  </si>
  <si>
    <t>@DMXGuru @Entercom @jeffallen971 @jallman971 @971FMTalk 😆😃😁 I took that a teensy too far??</t>
  </si>
  <si>
    <t>@JPRadioMofo @emoblues @jeffallen971 @jallman971 @971FMTalk @Entercom @WeAreSinclair Dude, if you follow me on Twitter, you know I'm an attention whore.  I just want Happy Humans.  I accept your apology but everyone's passionate right now.  Mercury in retrograde or something... 😘</t>
  </si>
  <si>
    <t>See @Entercom @jeffallen971 ??
@jallman971  #JamieAllman SAVES LIVES
#IStandWithJamieAllman 
#BringBackTheAllmanBrother
@971FMTalk https://t.co/ONQCrzIpiv</t>
  </si>
  <si>
    <t>@ShwMeGrl They can use some local Maull's BBQ sauce!</t>
  </si>
  <si>
    <t>Uhm, this ain't over folks.  Just got auth from @jallman971 #JamieAllman to post this.  He's auth'd everyone who is a friend to repost &amp;amp; spread the wor
#IStandWithJamieAllman https://t.co/LWQUWvofQX</t>
  </si>
  <si>
    <t>@emoblues @jeffallen971 @jallman971 @971FMTalk @Entercom @WeAreSinclair Okay then.  Sorry to have bothered you.  Okay?  Can you leave our conversation then?  Or, would you like to work with true constitutionalists in this fight?  We need HELP.</t>
  </si>
  <si>
    <t>@JPRadioMofo @emoblues @jeffallen971 @jallman971 @971FMTalk @Entercom @WeAreSinclair Can't we just put this aside for awhile, guys??  We really need to RE-FUCKING-FOCUS in the enemy!!</t>
  </si>
  <si>
    <t>@emoblues @jeffallen971 @jallman971 @971FMTalk @Entercom @WeAreSinclair There are people on the Conservative side I can't stomach, but I'd side with them every time they were attacked by the Left.</t>
  </si>
  <si>
    <t>@emoblues @jeffallen971 @jallman971 @971FMTalk @Entercom @WeAreSinclair Michael ~ they're two different people.  I wouldn't even try.
Can't we lay down our weapons against our own and pick them up again against the REAL enemies?</t>
  </si>
  <si>
    <t>Ruh-Roh Rastro.  Someone broke the law &amp;amp; happens to own a media outlet.  
Weird how the same media outlet just FIRED @jallman971 for using the #FirstAmendment
#HypocrisyMuch ??
@WeAreSinclair 
https://t.co/H8mzms7APY</t>
  </si>
  <si>
    <t>@emoblues @jeffallen971 @jallman971 @971FMTalk @Entercom @WeAreSinclair I love Dana ~ just can't pick her up this far west.  I'd love it if she'd unblock me on Twitter (why I'm blocked is beyond me, we're friends on FB despite multiple cullings).  I don't hold it against her.  I just hink she's not acknowledged that Jamie discovered her.</t>
  </si>
  <si>
    <t>@emoblues @jeffallen971 @jallman971 @971FMTalk @Entercom @WeAreSinclair I had a couple of disagreements with him &amp;amp; we're still buds, Michael.  I'm sorry that happened with you.</t>
  </si>
  <si>
    <t>@OfficialRichieT @MarcCox971 @jallman971 We can recover from this ~ although it sucks bigly, it wasn't a lethal strike.  @jallman971 is unleashed now &amp;amp; he's mad...</t>
  </si>
  <si>
    <t>Comment NOW @jeffallen971 you back-stabber?
What kind of a man does this to his friend, his colleague?  
#IStandWithJamieAllman 
@jallman971 @971FMTalk 
@Entercom @WeAreSinclair 
The Fascists in #TheLou are licking their bloodied chops, thanks to Conservative TRAITORS https://t.co/SSGu5PJ7lp</t>
  </si>
  <si>
    <t>RT @stevehenze: @MarcCox971 @jallman971 Call Entercom 610-660-5610, ask for Ex VP Richard Schmaeling and let him know how you feel.</t>
  </si>
  <si>
    <t>RT @commonsensei: @minerjpb @sneakybison @MarcCox971 @jallman971 are you suggesting that the definition of the word “metaphor” has changed…</t>
  </si>
  <si>
    <t>RT @MarcCox971: No one is more sick about this than I am. I’ve been friends with @jallman971 for 25 years. He’s a good man, and great conse…</t>
  </si>
  <si>
    <t>RT @SuperDaveShow: Wednesday's Super Dave Show!
Is the First Amendment and the Second Amendment in trouble?  People getting fired for expr…</t>
  </si>
  <si>
    <t>RT @SuperDaveShow: So proven liar David Hogg is the good guy and a figurative tweet talk show host Jamie Allman is so bad?  Why are we allo…</t>
  </si>
  <si>
    <t>@allhyper75 @ninekiller @MarcCox971 @anniefreyshow @jallman971 Ben, PM me</t>
  </si>
  <si>
    <t>@juliematthews50 Totally get it.  Meet me after work Tonite?  We need to organize.  Just talked to a mutual friend...</t>
  </si>
  <si>
    <t>@juliematthews50 I wish I was at that point Jewels.  I have always said I use Twitter as a dump for my mind.  Having held it all in check this past week, I woke up physically sick.  I hope once this boil is lanced, I can heal &amp;amp; return to positive.</t>
  </si>
  <si>
    <t>Fascism is Fascism.
@WeAreSinclair &amp;amp; @Entercom do not have #Conservatives' backs
They want to destroy us from within.  Look how quickly they pounced.  Spineless bastards https://t.co/vBEtwMGRiO</t>
  </si>
  <si>
    <t>Casualty 1 from MoRep Stacey Newman, her slobbering Fascist Minion, and the #FirstAmendment Haters in #TheLou.  
Conservatives are the minority in this town &amp;amp; Progs just successfully killed one of our biggest voices.
#NoBullying is just something to say in #FascistLand https://t.co/jortRbaLWT</t>
  </si>
  <si>
    <t>This is BULLSHIT.  It's exactly from the degenerate #SaulAlinsky playbook, Rules for Radicals.
It works, as evidenced by @Entercom @971FMTalk caving in to #Fascism &amp;amp; killing @jallman971 
So now the Left in this town are emboldened.  Who you gonna kill next? https://t.co/LLFrlZz2Cu</t>
  </si>
  <si>
    <t>Now I'm mad again, shaking and crying at work.  
I can't keep this inside of me, but it hurts even more to attack those who betrayed us.  
Keeping it inside for a week has made me physically sick, I have to get it out.
I still can't believe this has happened</t>
  </si>
  <si>
    <t>Again ~ COWARDS.  Jamie was so good to you @RuthsChris Clayton but you cowered.  You threw @jallman971 #JamieAllman &amp;amp; the minority conservative voice under the #FascistBus.  
WHY?  You could have said "We're looking in to it".  
Never sending business your way. https://t.co/IMhBwrJM2s</t>
  </si>
  <si>
    <t>COWARDS
@971FMTalk @Entercom 
@jeffallen971 @jallman971 
Jeff Allen, you have resources to get ahold of me if you want me to stop this.  
I'm not stopping.  You all betrayed the minority conservative voice in this town.  You killed us &amp;amp; you killed Jamie. https://t.co/9Q3uPRZYaD</t>
  </si>
  <si>
    <t>Maybe someone with a calmer head, some #CommonSense &amp;amp; some BALLS should have read this &amp;amp; studied #Hannity before knee-jerking on @jallman971 
#JustSayin
#Karma
#JamieAllman
@971FMTalk
@jeffallen971
@Entercom 
https://t.co/1mCzuEJCma</t>
  </si>
  <si>
    <t>RT @Trumpism_45: @realDonaldTrump  https://t.co/YW90L58aVI</t>
  </si>
  <si>
    <t>RT @RealJamesWoods: That would be the most fatal error a man could make. First of all, you could knock any of them on their asses. And if y…</t>
  </si>
  <si>
    <t>This man needs to go away permanently, stop breathing
 https://t.co/zoPNAr2Dp1</t>
  </si>
  <si>
    <t>I cannot imagine what my friend @jallman971 #JamieAllman is going through today ~ scapegoated, libeled, thrown under the bus by his "friends"
Karma has a way of paying you all back for what you did to him &amp;amp; the Conservative voice yesterday
@971FMTalk @Entercom @jeffallen971 https://t.co/wI6L5sKv1V</t>
  </si>
  <si>
    <t>You can locked me up for bogus fucking stupid content but you can NEVER.  EVER. silence my voice.
First off #IStandWithJamieAllman 
Second, you Jew Cunts under Soros'  thumb-like dick...you KNOW he's a Nazi, right?  WTF is wrong with you?!</t>
  </si>
  <si>
    <t>I'm back, bitches https://t.co/FIba0xG0zP</t>
  </si>
  <si>
    <t>RT @FransiscaMangi4: Brave German woman rebukes Islam's lie while iman pray  allahu akbar at Martin Luther Memorial Church Germany https://…</t>
  </si>
  <si>
    <t>@RAWPWR99FATBOY Nah, dude.  That's Joan Jett</t>
  </si>
  <si>
    <t>Dude, some of these drops need to be made available for download on #TheElectricStove
#YouKnooooooow
#VideoRoom
#BunchOfDrunks
#allman971
@jallman971</t>
  </si>
  <si>
    <t>Help me, Aho Mitake Oyasin
You know we're dealing with godless men
#allman971 
@rivalsons</t>
  </si>
  <si>
    <t>I guess this was her Joan Jett look https://t.co/C1hgZwiy7q</t>
  </si>
  <si>
    <t>@LauraLoomer Where is it anywhere that this dead Persian was Jewish?</t>
  </si>
  <si>
    <t>@Partisangirl She wasn't Jewish!</t>
  </si>
  <si>
    <t>RT @StaceyMaLaine: @JackPosobiec Instagram translates for you ... https://t.co/C7K9Eh93ML</t>
  </si>
  <si>
    <t>@Beatlebaby64 Yeah...almost slipped &amp;amp; said it...</t>
  </si>
  <si>
    <t>@Beatlebaby64 Thanks to the #Enemedia like @FOX2now  &amp;amp; @ksdknews &amp;amp; the smelliest #Presstitute of all @stltoday @Jeanie4Parkway @ATeamMom1  couldn't fight them on all fronts.  
Parkway parents ~ I hope you like your new Board.</t>
  </si>
  <si>
    <t>So, she was a single Iranian woman who did NOT have a boyfriend at YouTube .  She was mad at restrictions by YT that cut in to her monetized channels.
https://t.co/hZZm2IWUVg</t>
  </si>
  <si>
    <t>Parkway, you deserve what you get. https://t.co/9bhBeFvuO4</t>
  </si>
  <si>
    <t>I see some companies who cross-promote @IngrahamAngle 
Those companies are going to get a double whammy https://t.co/4qGL6Mvnox</t>
  </si>
  <si>
    <t>@Jimi971 @Beatlebaby64 @jenniferkrneta @jallman971 @juliematthews50 @ninekiller @KrisVanh0use @Drumrunner2012 And that's how you do it</t>
  </si>
  <si>
    <t>@jenniferkrneta @RAWPWR99FATBOY @jallman971 @juliematthews50 @ninekiller @Beatlebaby64 @Jimi971 @KrisVanh0use @Drumrunner2012 Person on the FB site said this has been going on since 2012</t>
  </si>
  <si>
    <t>@Jimi971 @jenniferkrneta @jallman971 @juliematthews50 @ninekiller @Beatlebaby64 @KrisVanh0use @Drumrunner2012 The homeless can work on their car-dodging skills trying to nab them some free Nathan's pickles</t>
  </si>
  <si>
    <t>@ninekiller @jenniferkrneta @RAWPWR99FATBOY @jallman971 @juliematthews50 @Beatlebaby64 @Jimi971 @KrisVanh0use @Drumrunner2012 Seriously ~ the only reason Nathan's are there is cuz someone grabbed them out of Dierberg's trash</t>
  </si>
  <si>
    <t>@jenniferkrneta @jallman971 @juliematthews50 @ninekiller @Beatlebaby64 @Jimi971 @KrisVanh0use @Drumrunner2012 Me too!!  OMG so funny</t>
  </si>
  <si>
    <t>.#ResistWeMuch
@jallman971 @juliematthews50 @ninekiller @Beatlebaby64 @Jimi971 @KrisVanh0use @Drumrunner2012 @jenniferkrneta https://t.co/ED1hVhuDGH</t>
  </si>
  <si>
    <t>RT @deneenborelli: .@reedhastings @netflix You’re Fired! Cancelling my long time subscription because u gave lying Susan Rice a post on ur…</t>
  </si>
  <si>
    <t>RT @thebradfordfile: Kamala Harris: If she was honest. https://t.co/lohBQpe6x9</t>
  </si>
  <si>
    <t>RT @SpeakerTimJones: You also know that it's impossible to gerrymander a "statewide" election, right? Because it's just one district...THE…</t>
  </si>
  <si>
    <t>RT @SpeakerTimJones: The state is not gerrymandered.  You do know that the 2010 legislative districts were drawn by judges, right? Most of…</t>
  </si>
  <si>
    <t>@Jimi971 @jenniferkrneta @Beatlebaby64 @juliematthews50 @ninekiller (35 mph sustained winds blowing my chairs off the deck)</t>
  </si>
  <si>
    <t>@jenniferkrneta @ninekiller I KNEW who it was ~ I just wanted you to worry about Sinead some more</t>
  </si>
  <si>
    <t>RT @Daniel_Knauf: Miss the power of killer brass in pop? Dig these James-Bond-horns! https://t.co/mxuqoKuTDN</t>
  </si>
  <si>
    <t>RT @Skyhartman: No, Kyle stuck up for himself and you idiots didn't like that. You and others went after him because your idea of standards…</t>
  </si>
  <si>
    <t>RT @SpookyIsles: John Polidori: Genesis of The Vampyre and the Byronic Hero https://t.co/QroSMaGikm #gothic #maryshelley #vampires</t>
  </si>
  <si>
    <t>RT @foxandfriends: .@lukerosiak: You would do more vetting when you hire a babysitter than Dems did when they hired Pakistani IT aides, inc…</t>
  </si>
  <si>
    <t>@ninekiller Isn't that song by Sinead?</t>
  </si>
  <si>
    <t>RT @SpeakerTimJones: Gerrymandering on STEROIDS. For leftwing liberals. @CleanMissouri https://t.co/70kw75DVpZ</t>
  </si>
  <si>
    <t>Show me #58MassShootings 
You can't.  Because there aren't https://t.co/Z5faYWuebb</t>
  </si>
  <si>
    <t>Lying Bots ~ we've not had 58 mass shootings in 2018 ~ stop lying! https://t.co/Z5faYWcDjD</t>
  </si>
  <si>
    <t>.#MCS971 #dgs971 
@MarcCox971 @DJChurchdogg 
@tonycolombo971 @rachelz971 
@971FMTalk 
#SchizophrenicMissouriWeather https://t.co/4jX7V0ecQz</t>
  </si>
  <si>
    <t>Stay strong, #Patriots.  The #MediaMatters #Fascism is amping up
#StopTheScalpings 
#SayNoToFascism https://t.co/DV9anm1mTx</t>
  </si>
  <si>
    <t>. #MCS971 
@MarcCox971 
@DJChurchdogg 
@971FMTalk 
#TornadoWatch
#SchizophrenicMissouriWeather https://t.co/Qa0RhYqqQG</t>
  </si>
  <si>
    <t>@parkway4ever @Jeanie4Parkway Open your eyes ...</t>
  </si>
  <si>
    <t>@Jennifrrrrr @BG_exdem @Jeanie4Parkway @jallman971 @971FMTalk @SpeakerTimJones Why do you want so much government in your business?  That's not how this was all supposed to go.  It's #CreepingFascism</t>
  </si>
  <si>
    <t>RT @sperry0111: @AnnetteRR @ATeamMom1 @vote4rathod @KTrifonoff @cowgirlathart @Lautergeist @Beatlebaby64 @juliematthews50 @jallman971 @dian…</t>
  </si>
  <si>
    <t>@parkway4ever @Jeanie4Parkway Actually, it still works.  You do seem to lack capable thought &amp;amp; perception, no awareness of your surroundings.</t>
  </si>
  <si>
    <t>@parkway4ever @Jeanie4Parkway You're right.  There's no edit feature so you got me there.</t>
  </si>
  <si>
    <t>@Jennifrrrrr @BG_exdem @Jeanie4Parkway @jallman971 @971FMTalk @SpeakerTimJones The Democrats I know are still registered as such.  But they vote outside their party.  Good luck with this ridiculous ploy.</t>
  </si>
  <si>
    <t>I hope she's happy, the Queen of Hell
#WinnieMandela
#WinnieMandelaStompie https://t.co/PjxxfHiccs</t>
  </si>
  <si>
    <t>RT @Shaughn_A: #LoveAMuslim #woman/#girl and stop requiring many to wear hijabs and submit to #sharia law, allow them to drive, stop dumpin…</t>
  </si>
  <si>
    <t>I'd tag certain people in that but they know who they are https://t.co/rq2lS7sWD2</t>
  </si>
  <si>
    <t>@MartiMaurer @Jeanie4Parkway @ParkwaySupt Why weren't YOU out there with signs then?  I was told it was "before school" ~ certainly you could have stood with her?  Scared of being caught by Media?</t>
  </si>
  <si>
    <t>@StLouisCityPhot @Jeanie4Parkway Aww thanks!  And your a real hoot, hiding behind a handle that represent NOTHING of the sort</t>
  </si>
  <si>
    <t>RT @JoyceWoodhouse: I'm glad we are 1 step closer to putting these bogus recalls behind us. Thank you to everyone who volunteered &amp;amp; helped…</t>
  </si>
  <si>
    <t>@Jennifrrrrr @BG_exdem @Jeanie4Parkway @jallman971 @971FMTalk @SpeakerTimJones Democrats have perfected gerrymandering to a new level.  Which is why when Republicans figure it out, Democrats try a NEW tactic</t>
  </si>
  <si>
    <t>RT @MtRushmore2016: Missourians: The “Clean Missouri” initiative is anything BUT clean; is funded by George Soros &amp;amp; Planned Parenthood inte…</t>
  </si>
  <si>
    <t>@Jeanie4Parkway @jallman971 @971FMTalk @SpeakerTimJones @MarcCox971  #MCS971</t>
  </si>
  <si>
    <t>@SpeakerTimJones @georgesoros @CleanMissouri .@MarcCox971</t>
  </si>
  <si>
    <t>@MartiMaurer Children should be seen &amp;amp; not be used as puppets by their parents.  She CLEARLY was your human shield so you wouldn't face blowback.
My God, you Liberals are soulless.  You lie, slander, name-call when you see competition 
@Jeanie4Parkway ~ here's your son's REAL tormentor</t>
  </si>
  <si>
    <t>@parkway4ever You're unhinged or you'd be more careful w/ libelous claims. 
Liberals should never have children in their care; they only use them as human shields.
You should be ashamed, but you aren't, because you don't have a conscious.  
@Jeanie4Parkway #JeanieAmes</t>
  </si>
  <si>
    <t>Yes, but we knew this every time we established another bad-for-America tariff.  Someone had enough &amp;amp; was tired of this issue being swept under the rug.
Yes, it will hurt, but things will settle down &amp;amp; we'll be better for it https://t.co/YUP3ANBYpS</t>
  </si>
  <si>
    <t>I knew it.  He's a she https://t.co/YyouHAK8mT</t>
  </si>
  <si>
    <t>RT @President1Trump: #LIVE: This fraud is still trying to swindle millions of dollars from anyone he can! Clinton global initiative action…</t>
  </si>
  <si>
    <t>RT @RealMAGASteve: Emma Gonzales and her classmates bullied the high school weirdo Nikolas Cruz for three years until one day he snapped an…</t>
  </si>
  <si>
    <t>.#HaHaHaHaHaHaHaHaHaHa
Lock up your daughters!
Lock up your wives!!
C-stores, stock up on Certs &amp;amp; hand sanitizer
#PervyJoeIsCominToTown
#CrazyUncleJoe
#MCS971
@MarcCox971 https://t.co/augdv0chuJ</t>
  </si>
  <si>
    <t>Looks like a case for a slander suit, but that's just me.  4 years ago, this shit didn't happen.  
This is school time.  Put the signs down &amp;amp; get your asses in class https://t.co/CP4gcVHFhD</t>
  </si>
  <si>
    <t>@StLouisCityPhot @Jeanie4Parkway Stereotypical behaviour from the Left</t>
  </si>
  <si>
    <t>Trump wins another staring contest
#MAGA
#IllegalImmigration
@POTUS 
@realDonaldTrump
https://t.co/SE6EIYLmxp</t>
  </si>
  <si>
    <t>Her generation are snorting condoms.  She's worried about someone seeing her tampons.
Put them in a wristlet purse.  
#YoureWelcome https://t.co/5rK4AWcf3f</t>
  </si>
  <si>
    <t>@ninekiller #Irony</t>
  </si>
  <si>
    <t>Every Step of the Way 
@KansasBand 
That's my jam, man 😍
#allman971</t>
  </si>
  <si>
    <t>Stop the Witch Hunts against conservatives
https://t.co/FnfPWlkgoV</t>
  </si>
  <si>
    <t>Give Rose the old mrs. Jones treatment
#allman971</t>
  </si>
  <si>
    <t>RT @skoalbandit1776: #CNNSucks #CNNisFakeNews #CNNSucks #CNNisFakeNews #CNNSucks #CNNisFakeNews #CNNSucks #CNNisFakeNews #CNNSucks #CNNisFa…</t>
  </si>
  <si>
    <t>Shall we go on a Witch Hunt for @joanwalsh's advertisers now for bullying @KyleKashuv ? I'm so confused on how to behave in this world today.
#StandWithLaura
#allman971</t>
  </si>
  <si>
    <t>Dude comes home from work &amp;amp; a sheriff is there at the request of the FBI.  Why?  Check it out 
https://t.co/7b3ZV2bKi7</t>
  </si>
  <si>
    <t>It's been 4 days now and I still haven't gotten my apology from @davidhogg111 for calling me a #SickFuck
@Wayfair @StateFarm @sleepnumber @hulu @JosABank 
@IngrahamAngle @FoxNews
https://t.co/8Wstc5KN76</t>
  </si>
  <si>
    <t>RT @88YahamaKeys: What says desperation more than vandalising? @SpeakerTimJones @Lautergeist @juliematthews50 @jallman971 @toddstarnes @Sta…</t>
  </si>
  <si>
    <t>RT @TheScaryNature: Crab rips its own arm off https://t.co/fPpwdHo6N2</t>
  </si>
  <si>
    <t>@CaroleFor45KAG This video was from 2015 FYI</t>
  </si>
  <si>
    <t>And we're Facebook LIVE at #LempBottleworks RIGHT NOW!!
@STLPRS 
https://t.co/4nZAeRPt1O</t>
  </si>
  <si>
    <t>.@TripAdvisor @bayer @JosABank @hulu @nutrish @statefarm @sleepnumber @LibertyMutual @officedepot @JennyCraig @Wayfair 
Feel stupid for being duped by @davidhogg111 yet?
You should.  #Fascism never works well.  
Re-sign with @IngrahamAngle 
#StandWithLaura
#StopTheScalpings https://t.co/2vvGQrdyCH</t>
  </si>
  <si>
    <t>RT @thenationsrage: ... @GovAbbott has kept #Texas no. 1. Keep Texas great, #KeepTexasRed #ImWithAbbott #Abbott2018 https://t.co/f3TM1j1wB3</t>
  </si>
  <si>
    <t>RT @dianejneff1: Trump approval numbers at 50%..7 points higher than Obama's at this same point. Amazing considering the Press coming out a…</t>
  </si>
  <si>
    <t>California seems to be a little bit bipolar https://t.co/7WadEXLnAc</t>
  </si>
  <si>
    <t>RT @AfroAmericunt: @british_woman Imagine being so woke that you don’t realize that the Chinese invented guns</t>
  </si>
  <si>
    <t>I forgot I have a JOB that requires me to WORK.
SO ~ I'ma gonna pass on a number of things I really REALLY wanted to pursue https://t.co/ojaGH6h4YT</t>
  </si>
  <si>
    <t>We're considering a new dog for our home.  Looks like @Nutrish &amp;amp; @rachaelray are going to lose because we don't support those without a good, American spine to stand up to #Fascist tactics as displayed by @MediaMatters &amp;amp; @davidhogg111 
#IStandWithLauraIngraham 
@IngrahamAngle</t>
  </si>
  <si>
    <t>RT @ReaganBabe: Be like Momma 
#StandWithLaura and #BoyCottTheBoycotters.
For a list of companies with phone #'s, automated emails and twe…</t>
  </si>
  <si>
    <t>@BonBee81 @TripAdvisor @IngrahamAngle @FoxNews I'd LOVE for them to "See the error of their ways" from all the negative blowback.  
@TripAdvisor MAKES ITS LIVING from the First Amendment.  How long until some other #Fascist takes umbrage with them &amp;amp; the reviews and ratings?
No one is safe if any of the Amendments fall</t>
  </si>
  <si>
    <t>@lanag2003 She also speaks Russian!</t>
  </si>
  <si>
    <t>@BBCARKING @IngrahamAngle @davidhogg111 Something tells me he's seen his own "O" face while practicing his Hitler stance in the mirror
Ooooh!
Ooooh!
(Mom walks in) MOM!  KNOCK!!</t>
  </si>
  <si>
    <t>RT @BBCARKING: @IngrahamAngle
If You #StandWithLaura Tweet Sponsors &amp;amp; Tell Them Not Cave 2 @davidhogg111 Nonsense
@Bayer 
@LibertyMutual…</t>
  </si>
  <si>
    <t>Hi @TripAdvisor ~ I'm about to embark on a two week driving vacation like I have the last couple of years &amp;amp; would LOVE to sit back nightly &amp;amp; post reviews when you #StandWithLaura
@IngrahamAngle @FoxNews 
#DenyTheHogg #Fascism https://t.co/rkczGuf2j2</t>
  </si>
  <si>
    <t>RT @GabLeitao: @KyleKashuv @IngrahamAngle Here's something David Hogg will never understand because he's too busy playing the Politics of V…</t>
  </si>
  <si>
    <t>RT @ReaganBabe: IT IS TIME TO FIGHT BACK. Linked below is a list of sponsors with links to twitter handles, emails, social media, phone #s,…</t>
  </si>
  <si>
    <t>@ReaganBabe @MarcCox971 @SUZIRICE Yeah!  I just submitted my "application"
😀😀😀</t>
  </si>
  <si>
    <t>Very interesting read at lunch today.  It's about poking holes in the Media's claim that this #MarchForOurLives was "organic" &amp;amp; "student-led"
#mcs971
 https://t.co/E40bnDDBbO</t>
  </si>
  <si>
    <t>RT @JJCarafano: I asked Twitter for a blue check mark over a year ago-waiting https://t.co/lHWMySc2eo</t>
  </si>
  <si>
    <t>When you CLEARLY mark "CLIENT COPY" in pink hilighter and the client returns it in the SASE &amp;amp; makes me have to pay the postage due.
That's petty af</t>
  </si>
  <si>
    <t>Another stupid Democrat BLOCKED.  
LOOK, I don't have all day to sit here &amp;amp; type reasons why you"re a retard, mmmkay?</t>
  </si>
  <si>
    <t>@StephanieChiar5 @tapati @realDonaldTrump You know that Executive Orders can only CLARIFY an existing law, right? They cannot be used to MAKE A NEW LAW?</t>
  </si>
  <si>
    <t>@StephanieChiar5 @tapati @realDonaldTrump DACA should NEVER have been enforced as it wasn't amending a current law.  
There is no law on the books stating "Foreigners who illegally sneak in to this country get to stay here, no matter what" &amp;amp; Obama wrote an EO to say "children born to those illegals..."</t>
  </si>
  <si>
    <t>@Jeanie4Parkway @AllmanReport @Kristen_Taketa @jallman971 @971FMTalk @MarcCox971 Here! Here!</t>
  </si>
  <si>
    <t>@juliematthews50 @jallman971 @Pippy971 @denysschaefer @971FMTalk @kbailey971 HAHAHAHA!  That"s awesome Julie!  OMG</t>
  </si>
  <si>
    <t>RT @TrumpChess: @realDonaldTrump Sinclair Broadcasting airs the most popular show in #STL you did a phone interview @AllmanReport @jallman9…</t>
  </si>
  <si>
    <t>@ninekiller That whole page ~ 😂🤣😃</t>
  </si>
  <si>
    <t>RT @Roscoe_Notrub: @NicoLuppino @Randy35437262 @holachola @DLoesch @StephenGutowski @CrossFireRange @blackrainord You won’t amend the #2A.…</t>
  </si>
  <si>
    <t>Choose Wisely for @ParkwaySchools 
Choose the #CommonSense candidate @Jeanie4Parkway https://t.co/VG8LZFVVWh</t>
  </si>
  <si>
    <t>@tapati @realDonaldTrump The Democrats killed #DACA because they refused to moved toward the center on the wall funding.  
Every business deal requires some give &amp;amp; take.  Proving Democrats, once again, don't care about #DACA recipients.</t>
  </si>
  <si>
    <t>@realDonaldTrump You offered @TheDemocrats SO MUCH MORE than they were asking!  They chose to put wall funding ahead of those whom they claimed to be helping.  
Stay strong, sir.
#MAGA</t>
  </si>
  <si>
    <t>RT @jojoh888: Democrats.
#Biden
#Biden2020 pedo 
#Trump2020 
#KeepAmericaGreat https://t.co/Dtq66GSdWo</t>
  </si>
  <si>
    <t>Oh, I understand.  Like #ISIS &amp;amp; #ISIL has nothing to do with #Islam 
👍😉Got it!
#SatanicTemple
@EricGreitens 
#allman971</t>
  </si>
  <si>
    <t>@therealroseanne Your laugh is so big and bold and fully of joy.</t>
  </si>
  <si>
    <t>44.  44 Democrats signed off on @DWStweets Pakistani Paramour and his"team" of IT Hackers
https://t.co/Pl5zDH0jaa</t>
  </si>
  <si>
    <t>@Jeanie4Parkway @88YahamaKeys @EducatorRogue @jallman971 Well of course it's legal for THEM to use the Parkway logo! They are the Board Favorite!</t>
  </si>
  <si>
    <t>@MahutiMom Yes, but now I'm questioning the "Approaching Horde From Central America".</t>
  </si>
  <si>
    <t>@anniefreyshow @jallman971 @MarcCox971 @SpeakerTimJones @dbongino @kilmeade @seanhannity @marklevinshow Yes.  Will take it down after I "come out" as a dumbass to other posts</t>
  </si>
  <si>
    <t>@Beatlebaby64 @ninekiller @Jimi971 @jenniferkrneta @juliematthews50 Our school must have had that same dictionary!  OMG LOL</t>
  </si>
  <si>
    <t>UPDATE:. I was watching @WalkingDead_AMC so I didn't do my due diligence on this video. 
Another researcher dropped the link on me &amp;amp; I should have checked the date.  Dude said it was last weekend; the date stamp says 2015.  
Leaving it up to apologize for my stupidity https://t.co/bAshVWux4r</t>
  </si>
  <si>
    <t>@Jimi971 @Beatlebaby64 @jenniferkrneta @juliematthews50 @ninekiller You need a spanking Jimi https://t.co/W4PiUyzAc5</t>
  </si>
  <si>
    <t>@MahutiMom This video was from August 2015.  Sorry gang.  I should have checked it myself instead of trusting another researcher I don't know</t>
  </si>
  <si>
    <t>@ninekiller @anniefreyshow @jallman971 @MarcCox971 @SpeakerTimJones @dbongino @kilmeade @seanhannity @marklevinshow Seriously ~ no wonder I couldn't find it LOL ~ someone on FB sent it to me after I asked for the original video LOLOLOL why I don't do investigative journalism</t>
  </si>
  <si>
    <t>RT @OliverMcGee: Retweet if you still support @IngrahamAngle https://t.co/bbSQEmcxqB</t>
  </si>
  <si>
    <t>@NoSpeakDimocrat I argued w/a flake if the shooting started &amp;amp; he ran 3 miles home to get his bike &amp;amp; camera, how did he get back in thecschool if it was an active crime scene?  No answer.  So he WAS home, so he rode to an active shooter situation to film?!  
Neither scenario works</t>
  </si>
  <si>
    <t>@charliekirk11 Aloys P Kaufmann was the last Republican in St Louis city, served 1943-1949</t>
  </si>
  <si>
    <t>Could I hate two people more?  
Doubtful
@sprint https://t.co/2tHGb2Tq9I</t>
  </si>
  <si>
    <t>@Jimi971 @Beatlebaby64 @jenniferkrneta @juliematthews50 @ninekiller Ladies don't fart.  We panty-whisper</t>
  </si>
  <si>
    <t>I just blocked someone because he couldn't shut the hell up.  I'm TRYING to watch @WalkingDead_AMC !!</t>
  </si>
  <si>
    <t>@Jimi971 @jenniferkrneta @Beatlebaby64 @juliematthews50 @ninekiller  https://t.co/KjFXIUv2qi</t>
  </si>
  <si>
    <t>@mediocre_possum @RonBraun6 @RealJamesWoods @xwordmark If you have Facebook, here's the link to the news story.  I'm trying to find online but I keep getting your responses https://t.co/OUbCBxJegt</t>
  </si>
  <si>
    <t>@mediocre_possum @RonBraun6 @RealJamesWoods @xwordmark The 1200-1500 Central Americans coming WITH MEXICAN ESCORTS to Tijuana, to crash the Border Patrol!  Go look it up!  ABC-10 in San Diego reported a dry run last weekend!</t>
  </si>
  <si>
    <t>@mediocre_possum @RonBraun6 @ARay5135 @RealJamesWoods @xwordmark On THAT we find common ground.  High five 🖐️</t>
  </si>
  <si>
    <t>@mediocre_possum @RonBraun6 @RealJamesWoods @xwordmark Dude, do your own work.  You just don't want to.  You're lazy.  Get off my timeline</t>
  </si>
  <si>
    <t>@Jimi971 @Beatlebaby64 @jenniferkrneta @juliematthews50 @ninekiller Bet a buck she can't bench press me 😉😉</t>
  </si>
  <si>
    <t>@mediocre_possum @RonBraun6 @RealJamesWoods @xwordmark We'll need our guns and ammo to defend ant-gun folks from the hordes of Invaders coming here in the next week or so.</t>
  </si>
  <si>
    <t>@mediocre_possum @RonBraun6 @ARay5135 @RealJamesWoods @xwordmark I want the FBI to do it's fucking job and keep bastards like these guys from getting guns! https://t.co/yI6DTe0E3g</t>
  </si>
  <si>
    <t>@Jimi971 @Beatlebaby64 @jenniferkrneta @juliematthews50 @ninekiller Gotta go in.</t>
  </si>
  <si>
    <t>RT @ARay5135: @mediocre_possum @Lautergeist @RonBraun6 @RealJamesWoods @xwordmark He’s been advocating against the 2nd for a while now.  If…</t>
  </si>
  <si>
    <t>@Jimi971 @jenniferkrneta @Beatlebaby64 @juliematthews50 @ninekiller Or reverse it ~ Slunder Theets.  Like Biffy Cliro did!</t>
  </si>
  <si>
    <t>@mediocre_possum @RonBraun6 @RealJamesWoods @xwordmark We had Mexican drug gangs dry-running the wall and border patrol coverage in San Diego last week, no national news coverage.  But now we have 1200-1500 Central Americans marching to Tijuana RIGHT NOW to storm the border patrol and come here.
But hey ~ they won't hurt us</t>
  </si>
  <si>
    <t>David Hogg still hasn't apologize for calling me a #SickFuck
David Hogg still hasn't apologize for calling me a #SickFuck
David Hogg still hasn't apologize for calling me a #SickFuck
David Hogg still hasn't apologize for calling me a #SickFuck https://t.co/V3mjwLk7tB</t>
  </si>
  <si>
    <t>@ninekiller We could try ~ it worked on Manuel Noriega</t>
  </si>
  <si>
    <t>@Jimi971 @jenniferkrneta @Beatlebaby64 @juliematthews50 @ninekiller I have thunder sleet</t>
  </si>
  <si>
    <t>@ninekiller @jaketapper @CNN @andersoncooper @MSNBC @JoeNBC @brianstelter @NBCNews @FoxNews  https://t.co/EExgsX5AwA</t>
  </si>
  <si>
    <t>@ninekiller Why would he wear that??  Even I wouldn't wear that and I dabble!</t>
  </si>
  <si>
    <t>RT @therealroseanne: Let's stop fighting and start solving problems together.</t>
  </si>
  <si>
    <t>RT @RealJamesWoods: Send the National Guard to the border until you can rid Congress of #RepublicansWithoutBalls. We need to elect a Congre…</t>
  </si>
  <si>
    <t>@jallman971 @ninekiller @971FMTalk @AllmanReport That's magnificent!!</t>
  </si>
  <si>
    <t>@FMoniteau I grow weary of so-called anti-religious left who, on Sunday, search the internet for out-of-context Bible passages that will fit their narrative.</t>
  </si>
  <si>
    <t>RT @AntlerWhisperer: @RealJamesWoods  https://t.co/X3SUHrdOzY</t>
  </si>
  <si>
    <t>@AntlerWhisperer @RealJamesWoods God, she's one ugly sow</t>
  </si>
  <si>
    <t>@mediocre_possum @RonBraun6 @RealJamesWoods @xwordmark He ceases to be a child when he continually puts himself out there as a spoke person for a movement to overthrow our Constitution and the Amendments that give us our freedoms</t>
  </si>
  <si>
    <t>@ninekiller The name Crowley derives from the English Crowley meaning "wood of crows". The Irish "O Cruadhlaoich" or "Ua Cruadhlaoich", a Gaelic name meaning "descendant of the hard hero" or "descendant of the hardy warrior", was anglicised to "Crowley" or "O'Crowley".</t>
  </si>
  <si>
    <t>RT @Ta2ewdRN: @ninekiller @jaketapper @CNN @andersoncooper @MSNBC @JoeNBC @brianstelter @NBCNews @FoxNews And the point is, coming in illeg…</t>
  </si>
  <si>
    <t>@ninekiller @jaketapper @CNN @andersoncooper @MSNBC @JoeNBC @brianstelter @NBCNews @FoxNews Maybe send volunteers down there with Social Security applications and all the other freebies.  Then they can start sucking up benefits as soon as they cross over</t>
  </si>
  <si>
    <t>@jenniferkrneta  https://t.co/xQH5Fa2RRX</t>
  </si>
  <si>
    <t>.@SenateMajLdr @SpeakerRyan @RandPaul @RoyBlunt @RepAnnWagner 
#LetsDoThis
#NuclearOption
Military get 1st dibs, then families get 2nds ~ fill out application to stay. This in prison?  Sorry.  Make an example of the worse offenders &amp;amp; firing squad on the border https://t.co/HakpreL27j</t>
  </si>
  <si>
    <t>When the #Hoggmeister loses @CNN 
 https://t.co/Z37erNtnLW</t>
  </si>
  <si>
    <t>RT @KyleKashuv: Round 2: https://t.co/hymsCYW5Tq</t>
  </si>
  <si>
    <t>Invasive species ... Do we never learn?
https://t.co/T7Oav8W0nS</t>
  </si>
  <si>
    <t>Guys.  When your partner asks for suggestions for dinner, unless you're Italian, do NOT say #lasagna.  
I fucking hate making lasagna</t>
  </si>
  <si>
    <t>RT @FreedomWorks: Iowa is set to pass a bill to skirt Obamacare rules. More states need to jump on this train! #AMPFW https://t.co/57hRQGMr…</t>
  </si>
  <si>
    <t>@haveuanywool @therealroseanne Babe.  It's #America and if you don't like it, you don't have to watch it.  Go watch Teen Moms or some Housewives.  But whatever you do, don't try those #Fascist tactics because soon, you'll run out of things to boycott &amp;amp; you'll have to break your word &amp;amp; go back on it</t>
  </si>
  <si>
    <t>RT @therealroseanne: please don't argue w idiots here! just block them-give 0 quarter!</t>
  </si>
  <si>
    <t>Go out looking good on Friday, see no one I know
Ponytail, glasses, just mascara today.  I see 2 people from soccer at the grocery store &amp;amp; 1 at the Walls of Mart
God keepin' me humble LOL</t>
  </si>
  <si>
    <t>RT @MaryFass3: @Thomas1774Paine The Holy Bible, in The Book of Revelation, God has foretold us 2000 years ago about what is happening befor…</t>
  </si>
  <si>
    <t>Excuse me ~ who ate you again?  Oh yeah, Mr Awkward Big Hands with the Perpetual Bounce.
Why don't you just bounce on outta here.  Now git. https://t.co/MPfl87mbxV</t>
  </si>
  <si>
    <t>RT @NWOinPanicMode: In less than 2 years, Obama was able to decimate ISIS, lower taxes, bring back manufacturing jobs, maintain 3% GDP, get…</t>
  </si>
  <si>
    <t>Easter.  It's not about candy https://t.co/YJpnk4Rl77</t>
  </si>
  <si>
    <t>Because I'm hard core Protestant https://t.co/qJseO0nuVo</t>
  </si>
  <si>
    <t>@juliematthews50 @godsmack A new album coming!!?</t>
  </si>
  <si>
    <t>ONG HELL HATH FROZEN OVER
KSHE IS PLAYING @godsmack 
@juliematthews50</t>
  </si>
  <si>
    <t>So, #ClaireBear's latched on to this just in time for her re-election.  #HowClaireDo #FireClaire🔥 @AP4Liberty 
"The legislation, pushed by Sen. Claire McCaskill, D-Mo., AMONG OTHERS ..." (emphasis mine) https://t.co/4OCSz9wR0k</t>
  </si>
  <si>
    <t>@SlavikSean @DAN_GLEASON @RealOkayestCop @AP4Liberty Believe me, if Russia or NK can find a way to hit us with an EMP, this country will be ripe for the pickings and terrorism as other countries try to take over</t>
  </si>
  <si>
    <t>RT @BrianIammartino: @AP4Liberty Protip for @AP4Liberty: Machine guns are both *legal* AND *highly-regulated.* And in an extreme coincidenc…</t>
  </si>
  <si>
    <t>These perverted #Fascists have permeated every grade in our schools with their destructive, anti-American agenda.  
You can begin to get control back in #ParkwaySD by voting @Jeanie4Parkway 
Otherwise, this is coming your way
https://t.co/MA4kFQen0I</t>
  </si>
  <si>
    <t>Still waiting on that apology @davidhogg111 
I'm a #ConstitutionalConservative,  #Republican by default.
Until you apologize for calling me a #SickFuck, you will be called #LittleHitler #Fascist
@IngrahamAngle @Wayfair @TripAdvisor @sleepnumber
@JosABank @StateFarm</t>
  </si>
  <si>
    <t>RT @Jimi971: You media clowns just keep holding onto this immature, clueless, obnoxious, kid. See where this get you. https://t.co/fuvCjz0d…</t>
  </si>
  <si>
    <t>Why can I not longer "comment" on my own posts?  That's so weird</t>
  </si>
  <si>
    <t>RT @KTHopkins: March 2018. London has a higher  murder rate than New York.....And Ramadan’s not yet begun. https://t.co/VTKUg0etB5</t>
  </si>
  <si>
    <t>Tell me that story again, Genetically-Modified Biological Daddy! https://t.co/dpyM6CWrtS</t>
  </si>
  <si>
    <t>Six &amp;amp; a half hours later and I STILL haven't gotten an apology from #CameraHogg @davidhogg111 for calling me (a #ConstitutionalConservative #Republican)  a #SickFuck
@Wayfair @hulu @TripAdvisor @StateFarm @JosABank https://t.co/sgXRMtwweC</t>
  </si>
  <si>
    <t>RT @ScottMGreer: What The Laura Ingraham Boycott Is Really About https://t.co/0po3KJaEn5</t>
  </si>
  <si>
    <t>RT @FoxNews: .@dbongino: "You don't send [your children] to school for propaganda. You send them to school for learning. This whole liberal…</t>
  </si>
  <si>
    <t>RT @KyleKashuv: Oh, I see how this goes... You ask for a finger and take the whole arm, right? Is he finally admitting this is all about po…</t>
  </si>
  <si>
    <t>RT @RealCandaceO: Removing a live baby’s brain with a small vacuum is not “reproductive care”.
It’s murder. https://t.co/hsyKX5ch2H</t>
  </si>
  <si>
    <t>RT @SteveScalise: I applaud President Trump for standing up for the 2nd Amendment against attempts by liberals like former Supreme Court Ju…</t>
  </si>
  <si>
    <t>Even his own mom admits he's so busy with his new-found fame, he can't be bothered to mourn those killed at #Parkland ~ kids her son probably thought he was too good to know or probably bullied
https://t.co/OMoRW0eO0H</t>
  </si>
  <si>
    <t>@FoxNews She's just hoping to sell to a Trump supporter</t>
  </si>
  <si>
    <t>@MSUmaroon @GayPatriot His head's swelling.</t>
  </si>
  <si>
    <t>RT @JackPosobiec: Is it bc they are Hillary donors? https://t.co/RZejFeXugI</t>
  </si>
  <si>
    <t>@juliematthews50 @ninekiller Her smile down under</t>
  </si>
  <si>
    <t>@ninekiller @juliematthews50 Fernando's Gap</t>
  </si>
  <si>
    <t>@juliematthews50 @ninekiller Someone's not wearing underwear...
#LadyBits</t>
  </si>
  <si>
    <t>@ninekiller @juliematthews50  https://t.co/N2v18uXKFW</t>
  </si>
  <si>
    <t>RT @dalefog: @politico Do you have any real news to report. When you do I may read an article.</t>
  </si>
  <si>
    <t>@politico Except for that pesky abusive husband thing she can't quite hide ... https://t.co/5tosm7bWep</t>
  </si>
  <si>
    <t>RT @Beatlebaby64: chag Pesach kasher vesame’ach
Blessings to all in Twitterland who celebrate as Jesus did practicing his Jewish faith ✡️ h…</t>
  </si>
  <si>
    <t>I want to compile a list of cool places like this across the UK then spend a half a year investigating them all.  Who's with me?
@STLPRS 
https://t.co/kctb3xm8jx</t>
  </si>
  <si>
    <t>@airassault6 @jgsgerard @ksdknews @davidhogg111 So, we're supposed to believe a traumatized student ran home, grabbed his camera equipment &amp;amp; his basketball game press pass &amp;amp; was able to gain access to AN ACTIVE CRIME SCENE.  And, in his interviews, he talks to kids IN THE SCHOOL.</t>
  </si>
  <si>
    <t>@ninekiller She's thinking of you right now https://t.co/oUABU8UNnA</t>
  </si>
  <si>
    <t>@airassault6 @jgsgerard @ksdknews @davidhogg111 NEWSWEEK.  You're kidding, right?</t>
  </si>
  <si>
    <t>@ninekiller She's a perfect woman.</t>
  </si>
  <si>
    <t>@ninekiller She's a #Lebensborn product!</t>
  </si>
  <si>
    <t>Hey @ninekiller don't you have a healthy hetero male fascination with #AnniFridLyngstad of #ABBA?
I read this about her
https://t.co/yO5pa6kN4K</t>
  </si>
  <si>
    <t>Mike Yeo made the right call ~ just mad @tara9191 had to get his pretty face gashed open ...
#DaddysInTimeOut
#LGB
#AllTogetherNowSTL
@StLouisBlues 
@Panger40</t>
  </si>
  <si>
    <t>@jgsgerard @airassault6 @ksdknews @davidhogg111 Why you name-calling?</t>
  </si>
  <si>
    <t>@jgsgerard @airassault6 @ksdknews @davidhogg111 What the HELL are you even TALKING about?</t>
  </si>
  <si>
    <t>RT @LauraLoomer: MUST WATCH VIDEO: Family of #Orlando Pulse #ISIS Widow Refuses To Call JIHAD Terrorism
#NoorSalman 
https://t.co/PJ93I4w…</t>
  </si>
  <si>
    <t>Someone's trying REALLY HARD to surpress this information.  That's actually LOVE it if it went MISSING
#StormyDaniels
 https://t.co/KgBG4dD4MH</t>
  </si>
  <si>
    <t>Because in their little cloistered world, gays minorities &amp;amp; women will be the first to be executed.  Except those fertile ladies ~ you know, for breeding stock. https://t.co/heTLhxrNiB</t>
  </si>
  <si>
    <t>RT @StLouisBlues: Start us off right, boys. #stlblues #AllTogetherNowSTL https://t.co/ujuK7G8mp9</t>
  </si>
  <si>
    <t>Lookie there ~ that's how you do THAT!  Congratulations to THIS kid!  
 https://t.co/9EZ3dHJcuB</t>
  </si>
  <si>
    <t>@jgsgerard @airassault6 @ksdknews @davidhogg111 And, I'm a practicing agnostic Hugeunot,  but thanks for thinking of my soul.  Very kind 💝</t>
  </si>
  <si>
    <t>@jgsgerard @airassault6 @ksdknews @davidhogg111 Oh, and here ya go.  Zip right on ahead to 4:25
https://t.co/FaDbe115c1</t>
  </si>
  <si>
    <t>@jgsgerard @airassault6 @ksdknews @davidhogg111 So you're pinning our Constitution and all our rights on a 17-year old child who you are saying isn't mature enough to make decisions.  
👍👍 Got it! 👍👍</t>
  </si>
  <si>
    <t>RT @AmericaFirstDC: Many thanks to everyone who appealed to Twitter to reverse this unfair suspension especially @ali and @lucianwintrich…</t>
  </si>
  <si>
    <t>RT @Jimi971: Claire "the low hanging fruit" Senator will finally be booted out.  #MOSen https://t.co/xHAvbkXfJH</t>
  </si>
  <si>
    <t>I'm, if they're illegals, they broke our immigration laws.  If they're in JAIL, they had their due process, dumbass.  They were found GUILTY https://t.co/qqlLH50b36</t>
  </si>
  <si>
    <t>I can recommend a good ENT https://t.co/arRNAN21CO</t>
  </si>
  <si>
    <t>@ninekiller  https://t.co/fciDTmEy7u</t>
  </si>
  <si>
    <t>@jgsgerard @ksdknews @davidhogg111 And yes, these kids were too on the same side of the AR-15 as the #Parkland5 and the shot #Parkland17.</t>
  </si>
  <si>
    <t>RT @DocIrm: If you live in Missouri make sure to vote for this man on the upcoming ticket.  Need more like him in government!  Not only a s…</t>
  </si>
  <si>
    <t>@jgsgerard @ksdknews @davidhogg111 Y'all just can't make up your minds about him, can you.  He's either a spokesman for gun control &amp;amp; fascism, or he's a kid leave him alone.  Make up your mind.  My head's on a swivel trying to keep up with you people https://t.co/8zuMIBkSNr</t>
  </si>
  <si>
    <t>@airassault6 @jgsgerard @ksdknews @davidhogg111 I saw the God-damned video interview where the words came out of his fucking mouth, mmmkay?</t>
  </si>
  <si>
    <t>@airassault6 @jgsgerard @ksdknews @davidhogg111 Yeah, about Snopes ... https://t.co/yDlZxtesZF</t>
  </si>
  <si>
    <t>.#MeadowsMovement #MarchForMeadow https://t.co/uUcQUrNWDT</t>
  </si>
  <si>
    <t>@jgsgerard @ksdknews Neither did @davidhogg111 
He was conveniently at home, skipping school, or maybe his FBI daddy called him in "sick".</t>
  </si>
  <si>
    <t>RT @LisaMcGov: God bless Andrew and his family and all the other families of people killed at SDH
Hundreds of bikers will make the ride fro…</t>
  </si>
  <si>
    <t>Attention.  Something other than the approved narrative made it's way on to a major local broadcast https://t.co/OP2cdprqhF</t>
  </si>
  <si>
    <t>RT @StLouisBlues: Jake Allen will make his 12th consecutive start tonight. See the rest of tonight's projected lineup. https://t.co/kHa5Dve…</t>
  </si>
  <si>
    <t>Some of these are in my portfolio.  I need to find suitable replacements on Monday.
How un-American of them https://t.co/l13w50zAtZ</t>
  </si>
  <si>
    <t>I'm still not shaking this guy's hand.  Or kissing his cheek.  Friggin' weirdo OMG
https://t.co/8uVW0p3J2J</t>
  </si>
  <si>
    <t>They WISH!  #HaHaHaHa!  No she's not!
 https://t.co/85FWsGpoTz</t>
  </si>
  <si>
    <t>@sueweaver16 @ParkwaySchools @JillSchupp @JasonKander @ParkwaySupt @88YahamaKeys @SpeakerTimJones @anniefreyshow @MarcCox971 @jallman971 I'm SO saving this for the Sunday posts &amp;amp; pre-election posts on Monday</t>
  </si>
  <si>
    <t>@ninekiller Stallonugent?
Nugeallone?
Frank Nugent?
Ted Stallone?</t>
  </si>
  <si>
    <t>RT @Jimi971: @anniefreyshow    When Democrats booed God.
https://t.co/ZlGQQQqjeC</t>
  </si>
  <si>
    <t>Still waiting for#CameraHogg @davidhogg111 to apologize to me for calling me, a #ConstitutionalConservative #Republican a #SickFucker https://t.co/1oa6wJT3k7</t>
  </si>
  <si>
    <t>RT @VanessaOblinger: I just received an internship application from a Harvard student that included screenshots of mean tweets she sent to…</t>
  </si>
  <si>
    <t>@Beatlebaby64 @ninekiller @Jimi971 @juliematthews50 @jenniferkrneta She's right you know.  Want to support my stance for an edit button?!</t>
  </si>
  <si>
    <t>Sell this to a private individual for $1
 https://t.co/iN0e1wA6eh</t>
  </si>
  <si>
    <t>RT @danielocarmon: While Hamas stressed the Palestinians killed during the #GreatReturnMarch were peaceful protesters,it now admits 5 were…</t>
  </si>
  <si>
    <t>@Jimi971 @Beatlebaby64 @jenniferkrneta @ninekiller @juliematthews50 @anniefreyshow Man, why can't we have edit feature??
Getting my ear buds now to listen to Ms Annie!
#AnnieFreyday
@anniefreyshow 
@fm https://t.co/b21ZhZ1K2S</t>
  </si>
  <si>
    <t>@Beatlebaby64 @Jimi971 @juliematthews50 @jenniferkrneta @ninekiller I can't stop watching that earring</t>
  </si>
  <si>
    <t>@Jimi971 @Beatlebaby64 @juliematthews50 @jenniferkrneta @ninekiller  https://t.co/mP71cq4emI</t>
  </si>
  <si>
    <t>@Jimi971 @jenniferkrneta @juliematthews50 @Beatlebaby64 @ninekiller This was exactly the perfect thing at exactly the right time Jimi.  Thank you 😢☺️ https://t.co/zljqwhlZdX</t>
  </si>
  <si>
    <t>@Beatlebaby64 @ninekiller @juliematthews50 @KrisVanh0use @MarcCox971 @jallman971 The 1356 Seasoned fries OMG ... and they still have Boursin Cheese, but now they got Bison burger to go with it OMG I'm bustin"' at the seams</t>
  </si>
  <si>
    <t>@Jimi971 @Beatlebaby64 @juliematthews50 @jenniferkrneta @ninekiller  https://t.co/Qvn9cFRQKG</t>
  </si>
  <si>
    <t>@Jimi971 @jenniferkrneta @Beatlebaby64 @juliematthews50 @ninekiller My family was all good 'n tight til my BIL effed it all up.  We could have gone all our lives without this information.</t>
  </si>
  <si>
    <t>@Beatlebaby64 @jenniferkrneta @Jimi971 @juliematthews50 @ninekiller Holy hell ~ this is a story for beers after work Jen!</t>
  </si>
  <si>
    <t>@Beatlebaby64 @jenniferkrneta @Jimi971 @juliematthews50 @ninekiller Funny, my momma always said you can pick your friends and you can pick your butt ...</t>
  </si>
  <si>
    <t>@Jimi971 @Beatlebaby64 @juliematthews50 @jenniferkrneta @ninekiller We're all a little fucked up.</t>
  </si>
  <si>
    <t>@ninekiller @Beatlebaby64 @juliematthews50 @Jimi971 @jenniferkrneta That's 9k's Seal of Approval</t>
  </si>
  <si>
    <t>@Jimi971 @Beatlebaby64 @juliematthews50 @jenniferkrneta @ninekiller "Now hear me Mr Jimi.  Dem biscuits done bin put away.  Dis here's LUNCH time.  Now gwon,  git your pants on"</t>
  </si>
  <si>
    <t>@Jimi971 @Beatlebaby64 @juliematthews50 @jenniferkrneta @ninekiller We'll be watching Conquest, playing at Delmar Gardens, right @Jimi971 ?! 😎</t>
  </si>
  <si>
    <t>@Beatlebaby64 @Jimi971 @jenniferkrneta @juliematthews50 @ninekiller Ooooh Sharon, bringing the suggestive!</t>
  </si>
  <si>
    <t>Bill wanted this as our wedding dance song, he loved it that much.  
"Heartland"  by @U2 
 https://t.co/Ol43VkD9hJ</t>
  </si>
  <si>
    <t>@Jimi971 @juliematthews50 @jenniferkrneta @Beatlebaby64 @ninekiller Yep.  It stayed dormant intil my ex BIL startrd fighting with my mom a couple yrs ago.  Then he pulled his best con-job ever &amp;amp; here we are</t>
  </si>
  <si>
    <t>RT @cooper__999: @Education4Libs @JacobAWohl They did, and have been BRUTAL to Barron Trump, and I don't believe he's ever uttered a public…</t>
  </si>
  <si>
    <t>Little Davie, a young Hitler-in-Training.  Attacks Conservatives with a full army behind him, then runs away crying "I'm a child" when called out 
@Nutrish @StateFarm @hulu @Wayfair @TripAdvisor @sleepnumber @davidhogg111 #CameraHogg #ThirdReich #Fascism https://t.co/N1j9aikymB</t>
  </si>
  <si>
    <t>@Jimi971 @juliematthews50 @jenniferkrneta @Beatlebaby64 @ninekiller My dad, God love him.  Raised another man's child.  My ex bro-in-law tore our family apart with the info he conned out of the family pastor.  No one ever needed to know this. Now everyone knows &amp;amp; like ripples in an earthquake...</t>
  </si>
  <si>
    <t>@Jimi971 @juliematthews50 @jenniferkrneta @Beatlebaby64 @ninekiller Oh, no bruh.  The big family secret, the reveal.  The thing that blew apart my sister"s marriage, drove a wedge between my sister &amp;amp; my dad.  It's still resonating pain, sorrow, anguish within the family as my mom is being forced to deal with/the shame of an affair 54 years ago</t>
  </si>
  <si>
    <t>@Jimi971 @juliematthews50 @jenniferkrneta @Beatlebaby64 @ninekiller Oh yeah Jimi.  She's just old.</t>
  </si>
  <si>
    <t>He's either a super cool guy, or a real-life Lex Luther https://t.co/tJaz5nuQTe</t>
  </si>
  <si>
    <t>OMG you guys #ThePod, the old Kriegers on Big Bend in #TwinOaks is now #ThirteenFiftySixPub &amp;amp; has some Kriegers favorites!!  
@ninekiller @juliematthews50 @Beatlebaby64 @KrisVanh0use @MarcCox971 @jallman971</t>
  </si>
  <si>
    <t>When your plans fall through for the day, go to the range!
#OnTarget https://t.co/wVl8z04tnC</t>
  </si>
  <si>
    <t>Jesus H Roosevelt Christ
#SMH
#SMDH https://t.co/Cgt1GBcHaA</t>
  </si>
  <si>
    <t>Jesus God what is it?! https://t.co/Ll08sY6h6g</t>
  </si>
  <si>
    <t>@JAinLA1 @smurfettefla @Thomas1774Paine I hope she joins with other conservative women &amp;amp; starts her own conservative network like @marklevinshow 
@StacyOnTheRight @DLoesch @TomiLahren</t>
  </si>
  <si>
    <t>Smells like desperation
@Jeanie4Parkway 
#HowParkwayFascistsDo https://t.co/OlvsD8o2ZN</t>
  </si>
  <si>
    <t>@Beatlebaby64 @Jimi971 @jenniferkrneta @juliematthews50 @ninekiller Pfffft ... I put my mask on, slept almost til 8!</t>
  </si>
  <si>
    <t>@MrEdTrain @therealroseanne https://t.co/w0MCGGiaiS</t>
  </si>
  <si>
    <t>@MrEdTrain @therealroseanne  https://t.co/yPrfgM10k1</t>
  </si>
  <si>
    <t>RT @BaadwolfGirl: @MrEdTrain @therealroseanne That look #priceless https://t.co/nDQEwxvf7k</t>
  </si>
  <si>
    <t>This post, this sick burn, this thread
This is why the internet doesn't totally suck https://t.co/IWK9yhsRgW</t>
  </si>
  <si>
    <t>BOOM!  THE SICKEST 🔥BURN🔥 OF THE YEAR AND IT'S ONLY EASTER!  
@therealroseanne 
@WendyWilliams https://t.co/IWK9yhsRgW</t>
  </si>
  <si>
    <t>@juliematthews50 @Monetti4Senate @clairecmc That was a great even, full of of great things for our country, hope abounds.  Which ever of my two favorite gentlemen gets in, I'm all about getting #ClaireBear settled in to one of her nursing homes #FireClaire🔥</t>
  </si>
  <si>
    <t>@juliematthews50 @Jimi971 @jenniferkrneta @Beatlebaby64 @ninekiller I threw some positive vibes her way instead.  Said a prayer for her.  She wrote me back an apology ... 50+ years ... it's a start</t>
  </si>
  <si>
    <t>"No Respectable Paper" ~ we are talking abt the ONLY GAME IN TOWN ~ after they ran out their competition.  But! They're losing readership, subscriptions daily.  The only thing keeping them in business is the morally/financially bankrupt Democrat party
@stltoday #Enemedia https://t.co/LIhMz8rmwX</t>
  </si>
  <si>
    <t>.@stltoday #PostDisgrace #BirdCageLining #Prosstitute #YellowJournalism #Enemedia #Slander #FascistTactics  #PARKWAY #ParkwaySchoolDistrict  
#LiberalismIsAMentalDisorder https://t.co/hFHMvrYwoe</t>
  </si>
  <si>
    <t>@juliematthews50 @Jimi971 @jenniferkrneta @Beatlebaby64 @ninekiller ...then I read an email from my mom ...</t>
  </si>
  <si>
    <t>Little Davie ~ just doesn't understand his 5 minutes of Fame are over.  Everyone's moved on to the dead thug in California.  Poor thing, trying to stay relevent.  Almost made it to the 6th minute, too https://t.co/bWJubQE0Wr</t>
  </si>
  <si>
    <t>@ksdknews Yes he can ~ ship those illegal sluts back where they came from</t>
  </si>
  <si>
    <t>The #DeepState wants a One-World government, just doesn't want the citizens to know what's taking place in the world.
https://t.co/Ni3u1vZFmZ</t>
  </si>
  <si>
    <t>@Jimi971 @jenniferkrneta @Beatlebaby64 @juliematthews50 @ninekiller Woke to the beautiful sounds of birds, and the  smell of Gevalia coffee brewing.  The day started good ~ going to try to be optimistic today</t>
  </si>
  <si>
    <t>RT @KyleKashuv: The Constitution was created with a study of history and why other governments fail. It was also created to withstand the t…</t>
  </si>
  <si>
    <t>RT @88YahamaKeys: @Hoosiersf @Jeanie4Parkway @jallman971 @AllmanReport @MarcCox971 @EJC_Examiner @stltoday @ninekiller @nmfinancial The fin…</t>
  </si>
  <si>
    <t>Anyone sick of that cum rag #Hogg yet?! https://t.co/0JAMY7uBAk</t>
  </si>
  <si>
    <t>RT @SpeakerTimJones: Beyond time to Make Taxpayer Funded Government Schools Great Again! Vote @Jeanie4Parkway !! @jallman971 @971FMTalk htt…</t>
  </si>
  <si>
    <t>Does anyone know if there is a Church of Perpetual Adoration in the St Louis Metro area?  
I'd like to go keep quiet company awhile with my Lord.
I don't want no preachers in my ears.</t>
  </si>
  <si>
    <t>@VAKruta 🤔🤔🤔 Things that make you go hmmm 🤔🤔🤔</t>
  </si>
  <si>
    <t>RT @dbongino: When I was a Secret Service agent on protection details for the children of both Democrat &amp;amp; Republican Presidents we would pr…</t>
  </si>
  <si>
    <t>RT @SeanParnellUSA: Telling an adolescent to act like a grown up does not mean I’m “triggered”.
As far as my service. I have 2 Bronze Star…</t>
  </si>
  <si>
    <t>RT @Jonnyp1354: @Cernovich God forbid right leaning sites help build each other up, instead of shitting on each other</t>
  </si>
  <si>
    <t>RT @KTHopkins: Never apologise. It only encourages them. #LauraIngraham https://t.co/rCTfumLrLy</t>
  </si>
  <si>
    <t>This cop's a hero. https://t.co/QPjoUwrWWp</t>
  </si>
  <si>
    <t>What I fear the most ~ that the #DeepState is behind mass killings with guns, like #Parkland, &amp;amp; they don't give a flying fuck about killing people to keep their power
https://t.co/D9yUqKnImM</t>
  </si>
  <si>
    <t>Smells like liberal politics.
Reads just like a liberal politician's playbook
The old #BobAndWeave https://t.co/YkgFWzj6c0</t>
  </si>
  <si>
    <t>@juliematthews50 When I get home I'm breaking open the five Farms Irish Cream</t>
  </si>
  <si>
    <t>@juliematthews50 I just have to let it go.  She's had a bee in her bonnet for the last year and I can't get it out.</t>
  </si>
  <si>
    <t>$20 in gasoline.$25 for Bundt Cakes she forgot to take.$30 for lunch.  $50 for a memorial plank at the lighthouse where she volunteers every year.$4 for a special birthday card.
My mom still makes me feel like I didn't do enough for her 80th birthday.
I'm headed home in tears.</t>
  </si>
  <si>
    <t>I just drove two and a half hours to take my mom to lunch. We then went to Lowe's and picked out perennials. Everyone told her do not plant right now. So she told me to go back home. Two and a half hours. "Your dad and I weren't prepared to feed a third mouth tonight" #SMDH</t>
  </si>
  <si>
    <t>@ninekiller  https://t.co/e3ed3hlMmF</t>
  </si>
  <si>
    <t>@ninekiller Color.  No other reason.</t>
  </si>
  <si>
    <t>RT @ninekiller: had a nice long convo with my 21 year old daughter today about the band XTC.
don’t tell me I didn’t raise ‘em right.</t>
  </si>
  <si>
    <t>.@Nutrish @TripAdvisor @Arbys @StateFarm @Hulu @Wayfair
If you pulled your advertising from @IngrahamAngle because of lying #Fascist punk @davidhogg111, you deserve the backlash coming your way 
#JustSaying https://t.co/ov9iIhKlo6</t>
  </si>
  <si>
    <t>RT @cleflore23: I've been called coon, nigger, Uncle Tom, house nigger and Oreo. Not by the NRA members, but by #gunsense advocates. https:…</t>
  </si>
  <si>
    <t>Her arm detail don't carry semi-automatic weapons. They carry pussy of nine tails https://t.co/jTgKpXmaXe</t>
  </si>
  <si>
    <t>RT @KurtSchlichter: Thread🤔 https://t.co/sdLrv9Mh1w</t>
  </si>
  <si>
    <t>The Calloway NPP  is hard at work today!
#MAGA
#IsntScienceWonderful https://t.co/ZjTUPODNnZ</t>
  </si>
  <si>
    <t>On Highway 54 just south of Fulton Missouri a bunch of folks are standing with their crosses and waving and giving us a blessing as we travel.  Thank you so very much that's awesome https://t.co/OaksOLQQ3H</t>
  </si>
  <si>
    <t>Lakebound!  My mum turned 80 the other day and I'm surprising her with a visit and Bundt Cakes</t>
  </si>
  <si>
    <t>Hi @lernvsradio  it doesn't matter how you get Christ in you just get him in you!
#Sacrilicious
@KSHE95</t>
  </si>
  <si>
    <t>When you are a Communist who thinks the role of Government is to herd the masses from cradle to grave, then YEAH, you say stuff like this
#allman971 https://t.co/6Psw5CXptA</t>
  </si>
  <si>
    <t>Hi @HillaryClinton ~ I'ma make this as polite as I can.
GO THE FUCK AWAY
SHUT THE FUCK UP
Go be a GRANDMA ~ you might actually find you LIKE it https://t.co/0Ut16FMojN</t>
  </si>
  <si>
    <t>RT @SpeakerTimJones: Unequivocally stating that it’s “time to repeal the 2nd Amendment” is where they jumped the shark. #2A #gunsense https…</t>
  </si>
  <si>
    <t>RT @TrumpsBlonde2: This is the 24-year-old girl who was repeatedly stabbed with a knife by a Syrian asylum seeker in Burgwedel, Germany. He…</t>
  </si>
  <si>
    <t>RT @Jimi971: I can't tell you how many times I've asked Al Gore to go away. Go away Hillary. @jallman971 @Pippy971 @kbailey971 @denysschaef…</t>
  </si>
  <si>
    <t>Can The Big One finally happen &amp;amp; dump Liberal California in to the ocean? Please??  
I'm so confused.  I thought Lib SBUX was the Left's darling?
No honor amongst the Left
#allman971 
#CoffeeCancer</t>
  </si>
  <si>
    <t>RT @Volitil_: This is insanity. Conservative students are being indoctrinated, told they are literally nazis in English class. How can the…</t>
  </si>
  <si>
    <t>WTF is wrong with you @TripAdvisor &amp;amp; @Wayfair?  You scared of #Fascist tactics of @davidhogg111?  After today, the Fascist Horde will move on &amp;amp; you'll be stuck trying to recover pissed-off consumers
 https://t.co/S8HLLNWO8C</t>
  </si>
  <si>
    <t>I thought she died https://t.co/c5FQxPGVa1</t>
  </si>
  <si>
    <t>RT @AP4Liberty: Rare video of Ron Paul on the 2nd Amendment in 1989 https://t.co/XBWZMMyE9z</t>
  </si>
  <si>
    <t>The best commercial so far https://t.co/6931mzraPf</t>
  </si>
  <si>
    <t>RT @Hirschfeld4VA: What kids today are learning:
- The louder you are the more attention you get.
- Ad-hominem attacks win arguments.
-…</t>
  </si>
  <si>
    <t>@Pikeonet @chuckwoolery Look pretty happy to me</t>
  </si>
  <si>
    <t>Are you kidding me?  The little #BaconSeed didn't write this himself?  His MOMMY wrote it?! 
😂😀😆😃😂😅😅😄😃😃😀😄
OMG, this is so rich...
@ATT @bayer @Nutrish @LibertyMutual @Allstate @sleepnumber 
@davidhogg111 https://t.co/aWe8WZYcHL</t>
  </si>
  <si>
    <t>@Jimi971 You should have come out!  The Soulard Blues Band did 4 songs ~ some band from NorCo came back.</t>
  </si>
  <si>
    <t>2 about-to-be-buzzed-and-rockin-it chicks at Pi on Delmar in The Loop.  Tonite was the Mississippi Nights Reunion show.  I'm not from here, but I do remember seeing a show before it closed.  Concrete Blonde, I think... https://t.co/8aCifHvWLg</t>
  </si>
  <si>
    <t>The STOB ~ a modified SOB.  Getting our Pi on before the Mississippi Nights Reunion show at @DelmarHallstl https://t.co/VSldRWHHbk</t>
  </si>
  <si>
    <t>RT @_sgokce: The cost of a plate of food (beans) around the world 
@StatistaCharts @WFP 
https://t.co/45zgLpS8TE https://t.co/l1k1YYVJrS</t>
  </si>
  <si>
    <t>@chelseahandler @littlepeep09 Your bodyguards carry muskets then?  Revolvers?</t>
  </si>
  <si>
    <t>She didn't MOCK him, she clarified how hard it is to get in to UCLA, with a 4.2 GPA &amp;amp; he thought it it was insulting.  The insults to Laura who apologized to #CameraHogg are disgusting
@rachelz971 @tonycolombo971</t>
  </si>
  <si>
    <t>Holy Christ ~ this is sick, the info on this thread https://t.co/WnJ4AoayTK</t>
  </si>
  <si>
    <t>@sallykuchar What's the price per square foot average in Menlo?  We have a CA transplant client who was SHOCKED at how much house they could get here - Invested the rest with us LOL</t>
  </si>
  <si>
    <t>@Jimi971 @jenniferkrneta @IngrahamAngle I assed him a few questions.  Like Why was he skipping school that day? Name the person who tipped you off abt shootings happening. You rode 3 miles on a bike - the shooting was over then. How did you get in the school?
I got nothing.</t>
  </si>
  <si>
    <t>@pecunia55 @IngrahamAngle @davidhogg111 He even said he wasn't at school that day!  He was skipping school, probably because this was a lethally-staged event by the#DeepState of which his father belings</t>
  </si>
  <si>
    <t>@IngrahamAngle @davidhogg111 DON'T APOLOGIZE TO #CameraHogg!  HE put the video up that said he was being rejected by colleges!  Why doesn't he attack those colleges?!  @Nutrish @ArbysCares @Wayfair @hulu @StateFarm @TripAdvisor</t>
  </si>
  <si>
    <t>Hi @Nutrish, you know @davidhogg111 lied about being at #Parkland when the shooting happened?  He told INTERVIEWERS he was at home, zoomed down on his bike when someone texted him it was happening.
#LiarLiar https://t.co/oLKi7691kG</t>
  </si>
  <si>
    <t>@cakeer14 @RagingGayCons @Taipan30 You can't #CyberBully someone who puts up a video on #SocialMedia talking abt his bad luck with college applications &amp;amp; his grades &amp;amp; everyone's talking about #PoorDavie but when @IngrahamAngle says something, attacks her with threats.  #ThatsNotHowAllThisWorks</t>
  </si>
  <si>
    <t>How can you be a #Survivor of a school shooting when 👏YOU👏WEREN'T👏THERE👏 ?!?!
#STFU @davidhogg111 
#CameraHogg 
#Parkland https://t.co/S3G5fSYAZm</t>
  </si>
  <si>
    <t>@RagingGayCons @MadameIntern She tweeted about HIS friggin' video HE PUT UP ON TWITTER!!  How is this on @IngrahamAngle !?  HE made it news!!</t>
  </si>
  <si>
    <t>@jenniferkrneta @Jimi971 @ninekiller @jallman971 @Drumrunner2012 @Beatlebaby64 @juliematthews50 @MarcCox971 Hopefully ~ Jesus, come now</t>
  </si>
  <si>
    <t>RT @American25pat: @davidcxr @davidhogg111 What do you call what he has said about us #NRA members..?</t>
  </si>
  <si>
    <t>@davidhogg111 If you're so God-damn crazed over people sniping at you and your shenanigans, why you beefin' then?  Crawl back in your parent's home, do your homework &amp;amp; shut up, then.  Jesus, I'm so sick of your bitching then whining</t>
  </si>
  <si>
    <t>As if he's God or something, like he wields that much power.  🤣😂
#STFU #CameraHogg
#NoApologyForReportingNews
Little Davie did a VIDEO that HE put on TWITTER lamenting this issue!  How is this on @IngrahamAngle ?? https://t.co/8eLnHjJhSK</t>
  </si>
  <si>
    <t>@Ric335 @seanhannity 😂😀😆🤣😃</t>
  </si>
  <si>
    <t>Even remembered to untuck his thumb...
@ninekiller @jallman971 @Drumrunner2012 @Beatlebaby64 @jenniferkrneta @juliematthews50 @Jimi971 @MarcCox971 https://t.co/lbtzpkpAEi</t>
  </si>
  <si>
    <t>@Ric335 @seanhannity So why are you following them both on Twitter?  🤔</t>
  </si>
  <si>
    <t>@BruceCc58bw54 @seanhannity Fuck right the hell off Bruce.  We all know you Libs don't have any money, only try to spend other people's money.  WE WILL NOT BE INTIMIDATED BY YOUR FASCISM</t>
  </si>
  <si>
    <t>@seanhannity @grandmaj2 I would watch that, unless it's up against #StanleyCupPlayoffs</t>
  </si>
  <si>
    <t>@Zenerva @SebGorka @DoxieMama007 Netflix just hired #SusanRice on their board of directors.  Time to #boycott @netflix and jump on the @davidhogg111 #BUYcott &amp;amp; get @hulu !
Thank you @Hulu for supporting conservative media!!</t>
  </si>
  <si>
    <t>Holy Hell ~ I'm traveling to see family for Easter.  Guess who's slipping in to @Arbys &amp;amp; getting me some #CowHam?  Maybe some #PotatoCakes??
👉ME👈
#BUYcott #CameraHogg #DavidHoggDoesntSpeakForMe
@davidhogg111 https://t.co/Q8Oy14yqqj</t>
  </si>
  <si>
    <t>Going to hit up @TripAdvisor this weekend, after shopping @Wayfair.  Get me some restaurant recommendations for our summer trip
#BUYcott
#DavidHoggDontScareUs
#CameraHogg
@davidhogg111 https://t.co/Q8Oy14yqqj</t>
  </si>
  <si>
    <t>Please look at this list of @IngrahamAngle sponsors &amp;amp; let's start a #BUYcott!
#CameraHogg giving me a headache.  I'ma buy me some @Bayer for that. https://t.co/Q8Oy14yqqj</t>
  </si>
  <si>
    <t>I will be shopping @Wayfair this weekend to get some updates for my office.
How bow day @davidhogg111 ?
Way to fail, baby
#BUYcott https://t.co/Q8Oy14yqqj</t>
  </si>
  <si>
    <t>What a crock! 
The @NRA takes NO MONEY from the gov't &amp;amp; is run by members who promote, counsel &amp;amp; train responsible gun ownership.
Perhaps that board member thought it was @ppact who donated "blood money"?
#MCS971   
 https://t.co/soRdTHOpJm</t>
  </si>
  <si>
    <t>@SmoosieQ  https://t.co/zwNYfhimPG</t>
  </si>
  <si>
    <t>RT @emoblues: #irememberwhenmusic had album covers almost as good as the music itself.</t>
  </si>
  <si>
    <t>@ksdknews Indica or sativa?  Makes a HUGE difference to those who react negatively to sativa</t>
  </si>
  <si>
    <t>In between your Holy events this weekend, come down to the haunted part of Cherokee Street &amp;amp; take Mark's tour!  
https://t.co/4nZAeRPt1O 
@STLPRS https://t.co/pc0cmUH6jE</t>
  </si>
  <si>
    <t>@RAWPWR99FATBOY @jallman971 Pretty powerful memory...</t>
  </si>
  <si>
    <t>My friends are so friggin' funny
@POTUS @realDonaldTrump 
@BillClinton #StormyDaniels #PaulaJones https://t.co/GvOlkuid5y</t>
  </si>
  <si>
    <t>Little Davie got his boxer briefs in a bunch ~ poor baby.  
 https://t.co/5LBxNQWXVU</t>
  </si>
  <si>
    <t>@RealSaavedra Except we DO have a need ~ an increasing encroachment of people like her in Government on our rights!</t>
  </si>
  <si>
    <t>RT @atensnut: I SERIOUSLY DOUBT YOU @JessicaTarlov  could keep pace with @realDonaldTrump. Remember he’s busy working for you, too, regardl…</t>
  </si>
  <si>
    <t>@jeffreyscarson @Beatlebaby64 @lindsaywise @RandPaul @AP4Liberty Oh please @RandPaul !</t>
  </si>
  <si>
    <t>More, when you consider hammers, knives,  chainsaws, cars, heroin, hands... https://t.co/VVWYwAK5L1</t>
  </si>
  <si>
    <t>@ninekiller @EricGreitens LOLZ...no kidding.  Now I'm hearing gay rape saxophones in the background ... time to saddled up Grace &amp;amp; book it on out
#ZedsDead #CrashThatHonda #StoryOfTheDerp</t>
  </si>
  <si>
    <t>What the Riverfront Times and Philip "Moon" Sneed CONVENIENTLY left out is Moon won't be available for the May Australia tour as he has to be HERE for a court case in May.
Could THIS be another reason #KimShady wanted this trial pushed to November? https://t.co/TGc4HtMeYK</t>
  </si>
  <si>
    <t>Y'all following this BS case in #TheLou?  
No victim. Only a disgruntled local celeb ex-hub who himself is no angel.  
No evidence.  Our StL Circuit Atty,  EEOC hire #KimShady got this ham sammiche case before a Grand Jury
@EricGreitens
 https://t.co/JsRY1VL53D</t>
  </si>
  <si>
    <t>Let's REALLY see if this goes anywhere.  I'm like Charlie Brown and the football on these stories
#allman971
 https://t.co/88zygtSlhv</t>
  </si>
  <si>
    <t>@SpeakerTimJones If I didn't know better I would think that this guy is a plant so that you can continue to show us how to argue with liberals</t>
  </si>
  <si>
    <t>RT @SpeakerTimJones: Must be why I chose a famous Black American to headline my first ever live audience event. You calling me “racist” is…</t>
  </si>
  <si>
    <t>@RAWPWR99FATBOY @jallman971 That is one tiny country on Socialized healthcare!  People there are trained cradle-to-grave to depend on govt.  Of course they will see Downers as a drain.  There, you would lose a working, tax-generator to stay home &amp;amp; care for the DS person.</t>
  </si>
  <si>
    <t>The Missouri tax cut would be the largest in Missouri history, but the proposed gas tax would offset that and more
#allman971 
#HowMoLegDo</t>
  </si>
  <si>
    <t>Now do Mohammed.  I double-dare you
https://t.co/Cw3kvbodOV</t>
  </si>
  <si>
    <t>RT @szeminska61: @richandjoani @SarahDragonGirl When it comes to the Second Amendment, one can hear the sound of silence from Claire &amp;amp; Josh…</t>
  </si>
  <si>
    <t>Who is Sean Mendez?</t>
  </si>
  <si>
    <t>RT @665skipthisad: .@RealAlexJones on #Periscope: BREAKING: FBI Detains Infowars Contributor Over Fake Russian Collusion Narrative https://…</t>
  </si>
  <si>
    <t>RT @CollinRugg: Emma Gonzalez admitted on camera that she bullied Nikolas Cruz starting in middle school.
Hey @Emma4Change, look down at y…</t>
  </si>
  <si>
    <t>What fres hell is THIS?!  REALLY bad move @netflix.  We may have to dump you.  I don't want anything to do with paying that lying-ass, anti-American bitch's salary!
 https://t.co/K0fE8AM0zK</t>
  </si>
  <si>
    <t>Hey @gogreen18 ~ the Internet is forever.  Ask Mark Zuckerberg https://t.co/flFxyNX4I0</t>
  </si>
  <si>
    <t>Stormy Does Stallions https://t.co/MZJ7Q2P4Dj</t>
  </si>
  <si>
    <t>@ninekiller @jenniferkrneta What does the Rhodes Scholar Morgan Freeman say about heroin?</t>
  </si>
  <si>
    <t>RT @JackPosobiec: Someone put new signs up in Los Angeles https://t.co/fNS4DdBQNR</t>
  </si>
  <si>
    <t>RT @TheTomWilcox: Finally getting around to reading Flyover Nation by @DLoesch https://t.co/YYw4Rx4Hnc</t>
  </si>
  <si>
    <t>No.  Really.  My shocked face 😐
 https://t.co/IAz7VFwbl0</t>
  </si>
  <si>
    <t>Dwight Warren, former Special Prosecutor for the City of St Louis, lays it on the line for #KimShady &amp;amp; her personal indictment of @EricGreitens #MoGov 
https://t.co/JsRY1VL53D</t>
  </si>
  <si>
    <t>RT @XianCorleone: Americans, I’m watching the #GunControl protests from Italy. Take a European’s advice:
Last century our governments disa…</t>
  </si>
  <si>
    <t>RT @BlacksForDTrump: @realDonaldTrump @foxandfriends  https://t.co/UIpNaM6el9</t>
  </si>
  <si>
    <t>Why were you at home during the shooting?  How did you gain access to the school if a shooting was happening? Who tipped you off that there was a shooting?  Was your absence and excused absence? Did your dad tip you off to the "drill" in the morning? https://t.co/C3mRfUB2G5</t>
  </si>
  <si>
    <t>I've been on Fascistbook for 10 years.  Will all this info damage my phone?
#MCS971</t>
  </si>
  <si>
    <t>Ghosts 😱👻 in the Machine
#MCS971 
@MarcCox971</t>
  </si>
  <si>
    <t>@canarymission @steph93065 @PaliIove @DiscoverMATC @boostmobile THIS WAS FROM 2014???</t>
  </si>
  <si>
    <t>"Facing charges for assaulting a border control agent" ~ WHY.  He's a punk-ass Honduran POS illegal invader!  Shoot him in the head &amp;amp; drop him in a tunnel!
 https://t.co/JfeBoohtM2</t>
  </si>
  <si>
    <t>Every time someone calls guns "weapons of war" I want to throat-punch them 
#MCS971 @MarcCox971 https://t.co/meBYazFUGn</t>
  </si>
  <si>
    <t>@ninekiller Someone just told me they couldn't find any lacerations...</t>
  </si>
  <si>
    <t>My Mum's birthday is today.  She's a feisty eighty years old https://t.co/Q3tCQqhgAh</t>
  </si>
  <si>
    <t>RT @SanMiguelNews: @StacyOnTheRight has been such a Hero for all Conservatives! https://t.co/UzOLgmTHAR</t>
  </si>
  <si>
    <t>RT @mitchellvii: Hispanic support for President Trump is skyrocketing! https://t.co/tGt760JeRx</t>
  </si>
  <si>
    <t>This is quietly happening in St Louis.  If @EricGreitens could get a change of venue, Moon would be done.  Finished.  He just lost his gig with #StoryOfTheYear
https://t.co/UdFc1eFiOe</t>
  </si>
  <si>
    <t>RT @GaetaSusan: From the words of Charlton Heston, You Can Pry It From My Cold Dead Hands! The Silent Majority is Silent No More! #UnitedWe…</t>
  </si>
  <si>
    <t>Happy Birthday @lernvsradio ! https://t.co/oAC4r1IwyX</t>
  </si>
  <si>
    <t>RT @971FMTalk: @jallman971: Thoroughly enjoy watching everyone on ABC forced to say nice things about #Roseanne because the show is on thei…</t>
  </si>
  <si>
    <t>Some stereotypes bullying a white kid.
Tell me again about white privilege.  Seems to me there"s some BLACK privilege here... https://t.co/Hpg5H4t2Re</t>
  </si>
  <si>
    <t>"Death Machines" ?!?!?! 
Women can't WHAT?!?! https://t.co/7fnh0zZBCD</t>
  </si>
  <si>
    <t>Just sayin', do not read the comments unless you WANT to debate Cheezits
 https://t.co/5ZKnRzOkU3</t>
  </si>
  <si>
    <t>RT @JackPosobiec: Future POTUS 👇🏻 https://t.co/O3sy6GYqfB</t>
  </si>
  <si>
    <t>Fucking stereotypes.  Looking like an orangutan, jumping around like that.  Like he's a spastic off his meds.  That headband ~ so 80's Loverboy https://t.co/tfc8ByvDWp</t>
  </si>
  <si>
    <t>RT @JackPosobiec: Barack Obama: How can this be! https://t.co/cF1idPJJfE</t>
  </si>
  <si>
    <t>We need to #FireClaire🔥
If she gets in again, Missouri will never have the proper representation to continue growing
#GetOutAndVote
#MoSen https://t.co/wNtfEZy7Ej</t>
  </si>
  <si>
    <t>The lady in the picture looks ... uhm, "nice"???
@Jeanie4Parkway 
#GoJeanie
 #TheCommonSenseCandidate
#ParkwaySchoolBoard https://t.co/nPkdglyPmT</t>
  </si>
  <si>
    <t>RT @88YahamaKeys: This will be a costly tantrum! https://t.co/4UKCpTq8JH</t>
  </si>
  <si>
    <t>"Our school are out of control" ~ ISIS beheading videos spreading like wildfire in German classrooms
https://t.co/Yl4IIOsLf4</t>
  </si>
  <si>
    <t>RT @MadWorldNews: Trump hurt her feelings. LOL https://t.co/CBTA5hb7v0</t>
  </si>
  <si>
    <t>I cannot imagine my Twitter life without you @jallman971 😘
#allman971 
@971FMTalk</t>
  </si>
  <si>
    <t>RT @LisaMei62: Here are the early morning Q drops + commentary (28 Mar).
 https://t.co/qa3S9hzgvC</t>
  </si>
  <si>
    <t>RT @FLOTUS: We welcome the opioid memorial to the Ellipse in President’s Park in April. I encourage everyone to take a moment &amp;amp; visit this…</t>
  </si>
  <si>
    <t>RT @971FMTalk: @jallman971: Do you think before the passage of the #OmnibusBill that funded #PlannedParenthood they'd have had the balls to…</t>
  </si>
  <si>
    <t>This is heartbreaking, from a first-person POV.  This again bolsters the argument that the mentally ill should NOT be streamlined with the GP.  
#NikolasCruz
#Parkland 
#allman971 
https://t.co/wO6rpXy6KL</t>
  </si>
  <si>
    <t>RT @KyleKashuv: No, they literally do speak on behalf of their members... that's the point of paying to be a part of a lobbying body. https…</t>
  </si>
  <si>
    <t>Jennifer's report this morning, delivered from the trenches
😀😉
#allman971 @jallman971 
@jkushinka https://t.co/sV4nLCPv76</t>
  </si>
  <si>
    <t>We laughed so hard when it was revealed Jackie didn't even vote for @HillaryClinton but chose #JillStein!  
#Roseanne @therealroseanne 
#allman971 @jallman971 @ABCNetwork</t>
  </si>
  <si>
    <t>RT @tonykatz: Where are @cameron_kasky's parents? Where are his friends? Where are the adults in his life? And why won't they protect him f…</t>
  </si>
  <si>
    <t>19 people...
Wait.  19 FAKE people, registered as DEMOCRATS, from ONE post office box down at the local post office
#NoFraudHere https://t.co/rGl4YSOsVo</t>
  </si>
  <si>
    <t>Oh mah gaaaaawd https://t.co/xvDTljtu79</t>
  </si>
  <si>
    <t>RT @ScottPresler: VICTORY: Congratulations to Rex Reynolds on his win in Alabama's 21st House District!
This is a district that Doug Jones…</t>
  </si>
  <si>
    <t>RT @therealroseanne: shit! we are number one trending on twitter! #roseanne</t>
  </si>
  <si>
    <t>@CNN Overlords.</t>
  </si>
  <si>
    <t>RT @StLouisBlues: Vladimir Tarasenko has reached 30 goals for the fourth consecutive season. 
We love Ric Flair, but in this case, as Mach…</t>
  </si>
  <si>
    <t>RT @AP4Liberty: The 14th amendment is the most libertarian amendment of the entire Constitution behind only perhaps the 13th. https://t.co/…</t>
  </si>
  <si>
    <t>@jenniferkrneta @tomhanks Jughead?</t>
  </si>
  <si>
    <t>@pahubb43 Maybe she'll find it easier to explain this https://t.co/IvTvHp4WYd</t>
  </si>
  <si>
    <t>RT @Tots4Masses: Why was it OK for Emma Gonzalez to bully Nikolas Cruz since Middle School?
He's a murderer who deserves to die for his cr…</t>
  </si>
  <si>
    <t>RT @RAWPWR99FATBOY: So we are at a point where there are lawsuits for census questions because it infringes on the rights illegals but repe…</t>
  </si>
  <si>
    <t>I think it's a SHARK! A SHARK!
https://t.co/pQGQS1roDm</t>
  </si>
  <si>
    <t>AAAAAND I'M LOVING IT!!
#TheRoseanneShow https://t.co/7Qw89Q19Ui</t>
  </si>
  <si>
    <t>Heh.  Don't fuck with Patriots. https://t.co/wrFqg9c9WG</t>
  </si>
  <si>
    <t>RT @V_of_Europe: Sweden was once the country of vikings and blondes.. https://t.co/eRcfSA9E5j</t>
  </si>
  <si>
    <t>RT @FoxNews: "Everything that could go wrong was shutting down inside of me.”
Rocker @alicecooper, who says he  saw his good friends and f…</t>
  </si>
  <si>
    <t>I'm laughing my ASS off at the new @therealroseanne show!  This is me &amp;amp; my mom all the time now LOLZ
#MAGA #TheRoseanneShow</t>
  </si>
  <si>
    <t>RT @anujkapoor83: @Inc Hello @Inc either it's Chai or Tea. It can't be both</t>
  </si>
  <si>
    <t>The RETARD is everywhere https://t.co/aJJ1F3DBOH</t>
  </si>
  <si>
    <t>RT @Sigroy: @Cosmopolitan Once again, women are being asked to alter their behavior because men shouldn't have to. Clearly men's actions ag…</t>
  </si>
  <si>
    <t>Why do people pay all that money to hear @BarackObama 's whistling S's?  That hurts my tinitis.
#MCS971</t>
  </si>
  <si>
    <t>@Aclippinger They stoned.</t>
  </si>
  <si>
    <t>RT @88YahamaKeys: Liar Liar pants on fire!   https://t.co/ujsC4SUrif</t>
  </si>
  <si>
    <t>Yes, you're right.  But bless your heart, there is an AMENDMENT to the Constitution negating that, and that which discriminates against women.
If you were studying this stuff in school, you'd KNOW this
#SMH  #mcs971 https://t.co/xOrFtUSOR8</t>
  </si>
  <si>
    <t>@KyleKashuv @DLoesch #BIG TIME #FTW Kyle!</t>
  </si>
  <si>
    <t>I wish the people behind the funding of the #ParklandFive and the stupid #AssaultWeaponsBan (say in a snarky voice) would get behind THIS killer
#mcs971
https://t.co/7ssEjeqBHU</t>
  </si>
  <si>
    <t>RT @tonycolombo971: Young people everywhere gathered this weekend for the #March4OurLives and the participants think their movement will sw…</t>
  </si>
  <si>
    <t>@ninekiller @juliematthews50 That's too much kick-ass for watching in the office 😀</t>
  </si>
  <si>
    <t>Guess who's on a Caberet tour of strip clubs across America?  That's right.  Straight off her Topless Caberet Tour launch on @60Minutes 
#StormyDaniels everyone!  #SlowClap #MCS971 https://t.co/Rz962Wr8IL</t>
  </si>
  <si>
    <t>This ~ https://t.co/Ul5416pk5y</t>
  </si>
  <si>
    <t>@michaelianblack You so stupid, you hurt my brain.  50 independent nations under the umbrella of USofA, not even possible</t>
  </si>
  <si>
    <t>So, you get mad at The Sun because they wrote this up?  
Didn't you invite them to the wedding?  How else did they get your professional wedding pics?  
How much $ did they give you for the exclusive?  
Now you're "outraged"?
#HowLiberalsDo
#LiberalHipHopcrasy https://t.co/om4F6NMyCo</t>
  </si>
  <si>
    <t>RT @skoalbandit1776: Hey #Chicago #HotDog Hustling Asshole...  All these 3rd world UnVetted  #DemocRats you Pumped in to our country for 8…</t>
  </si>
  <si>
    <t>Holy Fucking hell.  This girl's story doesn't fit the narrative, so her interview is buried
#ParklandShooting https://t.co/tD6gRofnjJ</t>
  </si>
  <si>
    <t>@ninekiller Would just be that much easier if we shoot all the MS-13 &amp;amp; other gang members in the head &amp;amp; lay them at the base of the new wall, on the Mexico side</t>
  </si>
  <si>
    <t>@juliematthews50 @Brunhildagis @ninekiller @jallman971 @88YahamaKeys @Jeanie4Parkway @AllmanReport @MarcCox971 @EJC_Examiner @stltoday @Pantszilla77 😂🤣😃 Jules!</t>
  </si>
  <si>
    <t>Okay, he totes lost me at #PrematureBombing
#WhatATool https://t.co/NiFrjUb4fd</t>
  </si>
  <si>
    <t>RT @LouDobbs: Kasich’s brain can’t keep up with his runaway ego #MAGA @realDonaldTrump #TrumpTrain https://t.co/IRzCTlZgQS</t>
  </si>
  <si>
    <t>@ninekiller If they didn't want all this attention, why did they take the money for the "exclusives"?</t>
  </si>
  <si>
    <t>I really didn't want to know. https://t.co/egTdiTatun</t>
  </si>
  <si>
    <t>@juliematthews50 @Jimi971 @jallman971 @denysschaefer @kbailey971 @Pippy971 @971FMTalk Tryna class up the joint</t>
  </si>
  <si>
    <t>Damn. https://t.co/HSCCVc5Y0f</t>
  </si>
  <si>
    <t>Prince William's son, Prince George.  What a cutie.  He has an Easter message:
#allman971
https://t.co/coMimHTLPl</t>
  </si>
  <si>
    <t>@Jeanie4Parkway @Brunhildagis Who is this bitter, angry sea hag who keeps Debbie-Downing on everyone on this thread?  My God woman, give it a rest!  How your husband hasn't successfully slit his wrists yet...sheesh</t>
  </si>
  <si>
    <t>@Jeanie4Parkway @Brunhildagis 😆😂😀😁🤣😃😁😅</t>
  </si>
  <si>
    <t>RT @Jimi971: The NRA does not cause deaths nor does it profit from them. Planned Parenthood however does and they sell the body parts from…</t>
  </si>
  <si>
    <t>Going to attempt sleep now.  Just got to Ghostess our FB Lockdown Live Feed from Bottleworks.  Lots of people on tonite.
@STLPRS 
https://t.co/liyyWI88fA</t>
  </si>
  <si>
    <t>RT @88YahamaKeys: @DrRevo @MOpoliticalguy That’s not what she said.  Quit twisting facts!  Oh hello guys, we’ve got one here!  @Pantszilla7…</t>
  </si>
  <si>
    <t>Media's new fuck-boy https://t.co/76IsA0lqpM</t>
  </si>
  <si>
    <t>"Just 48 hours after the end of the March for Our Lives events around the nation, the primary organizing group — which is backed by billionaire Michael Bloomberg—is poised for the next step"
Be ready Patriots.  He thinks he's winning
 https://t.co/eFQJEtDr0Q</t>
  </si>
  <si>
    <t>@RAWPWR99FATBOY There was a show out a long time ago called "Bad Girls Club".  That, combined with those girls competing for the guy, really show the lowest common denominator of our population.</t>
  </si>
  <si>
    <t>RT @ChasD3: I'm holding my breath again like the day Trump teased us with the possible veto tweet. Looks like he's gonna pay for the wall w…</t>
  </si>
  <si>
    <t>How bow dah @davidhogg111 ~ I'm sure you never bullied people in your school, #MiRite? https://t.co/AvmOHf2Se5</t>
  </si>
  <si>
    <t>@jenniferkrneta Yeah, dad's employed by the FBI, or retired so obviously keeps a low profile.  I wonder if the mom is a stage mom</t>
  </si>
  <si>
    <t>WHAT BASIS??  There's NO EVIDENCE.  There's not even a God-damned VICTIM. https://t.co/iD9U6Pbxmh</t>
  </si>
  <si>
    <t>RT @Conservative_VW: Back when I studied the holocaust in school, I remember thinking ....
How the heck did the Germans just go along with…</t>
  </si>
  <si>
    <t>@jenniferkrneta I think their one percenter families have snagged tutors LOL</t>
  </si>
  <si>
    <t>This is beyond infuriating https://t.co/OMNZGJboUj</t>
  </si>
  <si>
    <t>This will be a good one.  People always want to know what we do https://t.co/uvFzrLLLWt</t>
  </si>
  <si>
    <t>RT @JackPosobiec: They keep trying to bait Trump into talking about this so they can write headlines about it - as Raj Shah learned earlier…</t>
  </si>
  <si>
    <t>RT @BillOReilly: So, Anderson, some guy threatened my baby daughter to my face but I was too scared to tell the police but not too scared t…</t>
  </si>
  <si>
    <t>Jesus H R Christ https://t.co/vl4VMSOklm</t>
  </si>
  <si>
    <t>RT @karina0455: @Trumpism_45 She’s nothing but a gold digging sperm bucket that’s looking for new customers</t>
  </si>
  <si>
    <t>@TommHodges @Trumpism_45 @Walt1966 Nice bruise on her leg.  That must have been from an outtake</t>
  </si>
  <si>
    <t>RT @charliekirk11: There is no first amendment without the second amendment</t>
  </si>
  <si>
    <t>RT @KyleKashuv: “Through this entire thing, my number one concern has been making sure that the rights of innocent Americans aren't infring…</t>
  </si>
  <si>
    <t>Eh, HEM ... @Aetna 
Maybe we need to boycott Aetna as they seem to have WAY too much money on hand. https://t.co/xVpfx2EIj5</t>
  </si>
  <si>
    <t>@KIR_bigg50 @FrantzRadio @ChrisLoesch @KillerMike  https://t.co/QaFY8iFa2N</t>
  </si>
  <si>
    <t>The stupid is strong with this one. https://t.co/Ih4WcLNs2R</t>
  </si>
  <si>
    <t>Oh, I'm SURE he had a #ComeToJesusMoment and gave up ALL his guns &amp;amp; his "armed security detail" too https://t.co/062xqX76EX</t>
  </si>
  <si>
    <t>RT @DiamondandSilk: We will not allow anyone to use their First Amendment rights to infringe upon our Second Amendment rights.  We can chan…</t>
  </si>
  <si>
    <t>Again, not the guns.  It's the GOVERNMENT'S fault.  Again.
Maybe we should get FBI and LEO enforcement teams down to Florida.  They seem to have a lot of issues down there
 https://t.co/Bn3fJhsyuo</t>
  </si>
  <si>
    <t>@BumpItMcCarthy @Beatlebaby64 @atensnut @anniefreyshow @971FMTalk I didn't "get angry" with you until you put up this ridiculous post.  We both have divergent views on our rapes, and you decided to troll my page instead of having a good dialogue.</t>
  </si>
  <si>
    <t>@BumpItMcCarthy @Beatlebaby64 @atensnut @anniefreyshow @971FMTalk This wasn't even my tweet, you silly bunt.  It belongs to someone else.</t>
  </si>
  <si>
    <t>@BumpItMcCarthy @Beatlebaby64 @atensnut @anniefreyshow @971FMTalk This is how Liberals do.  Strawman argument, "oh, he's just a boy".  This "boy" has professional handlers, probably has an agent now.  He's speaking dangerous rhetoric about removing most of our rights bc he's not MATURE enough to understand cause &amp;amp; effect.</t>
  </si>
  <si>
    <t>@BumpItMcCarthy @Beatlebaby64 @atensnut @anniefreyshow @971FMTalk This is EXACTLY why the America Hating Left dumbs down the laws &amp;amp; won't enforce those they can't affect.  So they can swoop in and save us all from the boogey man.  Why I believe they are complacent in these murders &amp;amp; throwing up human shields like @davidhogg111 #HowLibsDo</t>
  </si>
  <si>
    <t>@BumpItMcCarthy @Beatlebaby64 @atensnut @anniefreyshow @971FMTalk If @davidhogg111 doesn't like the scutiny and memes, maybe he should have thought about this before he allowed himself the be a puppet for the destruction of Our Rights.  Once #2A falls, the rest come down after.  You have been warned.  This is a Nazi move if ever there was one</t>
  </si>
  <si>
    <t>RT @Streamdotorg: March for Our Lives: A perspective you won’t get from the mainstream media https://t.co/6PPaopPwqu @genevievewood #TheStr…</t>
  </si>
  <si>
    <t>@BumpItMcCarthy @atensnut @Beatlebaby64 @anniefreyshow @971FMTalk You do know it's not your fight, it's not for you to decide what people do or think.  You can let it go and walk away.  
Her reasons are hers alone and you don't get to ask her in those terms.  Her story is compelling</t>
  </si>
  <si>
    <t>@BumpItMcCarthy @atensnut @Beatlebaby64 @anniefreyshow @971FMTalk Good luck to you getting over your trauma someday.  Well, BYE</t>
  </si>
  <si>
    <t>RT @Conservative_VW: BRUTAL‼️🤣🤣😂😂 https://t.co/fET7AtW4hv</t>
  </si>
  <si>
    <t>@NkedLdyCkeMceen @OutlanderKitchn Yum yum yum #FoodPorn</t>
  </si>
  <si>
    <t>But we don't want to take away your guns.
#LiberalDoubleSpeak
#LiberalLogic
#Repeal2AThen1AIsNext
STOP SUPPORTING THE NEWS SOURCES! https://t.co/5kl8ZJPcKW</t>
  </si>
  <si>
    <t>@Jimi971 From your keyboard to God's ears</t>
  </si>
  <si>
    <t>After that crazy fucking #insomnia night I had last night, got to come in late (thank you PTO), and THIS was waiting for me ... #DayMade https://t.co/moFerZkFMB</t>
  </si>
  <si>
    <t>RT @RepStevenSmith: Pathetic. #StormyDanielsDay https://t.co/Jfwxqq97TN</t>
  </si>
  <si>
    <t>@BumpItMcCarthy @atensnut @Beatlebaby64 @anniefreyshow @971FMTalk I don't go around using my rapes as my identity.  I'm me.  My rapes weren't exactly pleasurable, but as a mom of 3 grown men, you can bet THEY were educated.  I used my experiences for GOOD.</t>
  </si>
  <si>
    <t>@BumpItMcCarthy @atensnut @Beatlebaby64 @anniefreyshow @971FMTalk Well, my virginity was sold by a friend who was an addict, so rape #1.  I was then date-raped again bc he bought me wine &amp;amp; I was not 21 so I owed him
Your point being?</t>
  </si>
  <si>
    <t>@BumpItMcCarthy @atensnut @Beatlebaby64 @anniefreyshow @971FMTalk ^^^^Russian mail-order bot^^^^</t>
  </si>
  <si>
    <t>A million &amp;amp; a half lawyers in this country &amp;amp; guess whose lawyer is her lawyer.  Mmm hmm
 #Allman971
@jallman971 
#CompletelyOrganicWinkWink
#StormyDaniels https://t.co/kAIsolJpQC</t>
  </si>
  <si>
    <t>RT @Koksalakn: https://t.co/M34KCMfOyQ</t>
  </si>
  <si>
    <t>Ope, nodded off there a second ~ but my #Insomnia kick in when I dropped my phone.
Where was I...oh yeah, reading another Ranker list.</t>
  </si>
  <si>
    <t>Excuse me, Ms Daniels? And, here are your sunglasses, Madam ...er, uhm....
#Allman971
@jallman971 https://t.co/8s1AHdHJTY</t>
  </si>
  <si>
    <t>Time check
✔️ 3:46am https://t.co/UKVd2CjJhH</t>
  </si>
  <si>
    <t>He's a creeper, our Trump
#Allman971 @jallman971 https://t.co/9Twhn1CRpF</t>
  </si>
  <si>
    <t>LOLZ SO HARD https://t.co/eTCPXhkhu1</t>
  </si>
  <si>
    <t>RT @JamesOKeefeIII: "James O'Keefe videos are terrible, but [Cambridge Analytica] one is okay..." Funny how that works, nice catch @TheFive…</t>
  </si>
  <si>
    <t>RT @JamesOKeefeIII: Too late https://t.co/LIt9M6jot5</t>
  </si>
  <si>
    <t>RT @KyleKashuv: Who wants to tell him that we are a constitutional republic, not a democracy? https://t.co/fsQ1o00T5E</t>
  </si>
  <si>
    <t>In-som-nia
Brain: Let's go look up videos about Insomnia! Ooh! Ooh! Put on Netflix!! https://t.co/C4O01DowBs</t>
  </si>
  <si>
    <t>10:39.  11:13.  11:41. 12:30. 1:08.  1:38.  2:13.  3:10
These have been my #InsomniaCheckinTimes so far.
How the rest of y'all doin? https://t.co/0WrMjsyvaJ</t>
  </si>
  <si>
    <t>RT @RealWolfsPride: .@clairecmc .@Austin2018Rose Where was Claire? We found her #MarchForOurLives She wants to TAKE AWAY YOUR GUN RIGHTS😡 .…</t>
  </si>
  <si>
    <t>And that, ladies &amp;amp; germs is the #sickburn of the day, &amp;amp; it's only 2:45am!
#Allman971
@jallman971 https://t.co/JXrS3EUhwS</t>
  </si>
  <si>
    <t>@AdamFriedland @gatewaypundit And scientists are dumbfounded as to why men's sperm count has dropped the last 50 years</t>
  </si>
  <si>
    <t>RT @VictorConservat: @Education4Libs @davidhogg111  https://t.co/vYQWJ6FdxL</t>
  </si>
  <si>
    <t>@juliematthews50 @Drumrunner2012 Yeah ... You know then.  The Crusades got nothing on generational-victim-DNA unleashed</t>
  </si>
  <si>
    <t>With her professional make-up to hide the stress cracks, #ClaireBear turns on the pandering charm offensive.  
#FireClaire🔥#MoSen
@AP4Liberty #AP4Senate https://t.co/nw9VIIHBMf</t>
  </si>
  <si>
    <t>@juliematthews50 @Drumrunner2012 This is TAME @juliematthews50 compared to some of the deep web shit I've seen leaked by a "source" ~ it gave me nightmares, especially when my oldest said he wanted to be a soldier</t>
  </si>
  <si>
    <t>Hi @ABC @abcnews @nbc @NBCNews @CBS @CBSEveningNews @CBSNews @FoxNews @MSNBC @NewsHour @NPR @WSJ @nytimes @stltoday @USATODAY @DRUDGE_REPORT https://t.co/Ed10t0ZK6y</t>
  </si>
  <si>
    <t>Fucking @WalkingDead_AMC is getting SO RIDICULOUS &amp;amp; SO PREDICTABLE 
How did that kid get the key? Why did I know THAT guy would get the gun? How did no one hear that walker fall down the stairs?</t>
  </si>
  <si>
    <t>@ninekiller  https://t.co/9izRPzOu8b</t>
  </si>
  <si>
    <t>@ninekiller All those unscrubbed pharmaceuticals in our water supply
@PUREWaterTech</t>
  </si>
  <si>
    <t>@ninekiller He was strangely aroused ...</t>
  </si>
  <si>
    <t>RT @JackPosobiec: Just went back to check on this after the March yesterday and then Stormy Daniels today and it appears that Trump is stil…</t>
  </si>
  <si>
    <t>"He's not the right kind of gay" says a tolerant Liberal lesbian.
#LiberalLogic
#LibHipHopcrasy https://t.co/KM1ibwrkS7</t>
  </si>
  <si>
    <t>@brandon_r_horan @ananavarro @60Minutes @CBS #FTFW!! https://t.co/EpyAWeBr3v</t>
  </si>
  <si>
    <t>RT @brandon_r_horan: @ananavarro @60Minutes @CBS I feel bad for Stormy Daniels. This fling with Trump has completely destroyed her reputati…</t>
  </si>
  <si>
    <t>He's in favor of passing no-gun laws for ANYONE, except law enforcement, in his county, and he's willing to kill people to enforce it. 
"...from their cold dead hands?  Okay."
 https://t.co/0hmc0REFdE</t>
  </si>
  <si>
    <t>RT @kellymterry: @RealRedElephant I don't know who you think is going to take civilian guns by force, but i cant think of a single cop or s…</t>
  </si>
  <si>
    <t>Unreal https://t.co/v7kG8cl0nB</t>
  </si>
  <si>
    <t>RT @Stacey_Bailey1: Hogg completely ignored an ABC News/Washington Post poll .....which found that 57% of Americans thought mass shootings…</t>
  </si>
  <si>
    <t>RT @Conservative_VW: Today’s Conundrum ...🤔🤔
a NUT with a gun kills students ...
Students then turnaround and want ALL Americans to becom…</t>
  </si>
  <si>
    <t>RT @AP4Liberty: " ... most attractive to Americans, the possession of arms is the distinction between a freeman and a slave, it being the u…</t>
  </si>
  <si>
    <t>RT @Irish_H2: @SimonSaysBooHoo @Patrickpetty23 @yamesyim @Emma4Change "If only the people I disagreed with were being murdered the world wo…</t>
  </si>
  <si>
    <t>RT @janelle8342: @SimonSaysBooHoo @Patrickpetty23 @yamesyim @Emma4Change Since you have no clue who you’re replying to, I’ll help you out.…</t>
  </si>
  <si>
    <t>@_MoCowBell_ @MDBishop82 @SimonSaysBooHoo @Patrickpetty23 @yamesyim @Emma4Change Her version of #SensibleGunControl would be to remove every gun in the world so only our governments would have them.
That's called COMMUNISM.</t>
  </si>
  <si>
    <t>RT @john_dove: @SimonSaysBooHoo @Patrickpetty23 Congratulations. Twitter won’t punish you for your fucked up comment.
Doesn’t change the f…</t>
  </si>
  <si>
    <t>RT @ConstitutionLo1: @SimonSaysBooHoo @Patrickpetty23 @yamesyim @Emma4Change A perfect example of what is wrong with our country today.
You…</t>
  </si>
  <si>
    <t>Could a woman be more of a #CUNextTuesday than @SimonSaysBooHoo?  
I kind of doubt it https://t.co/ujLIvScVbs</t>
  </si>
  <si>
    <t>RT @elisabethlehem: This woman @simonsaysboohoo is telling a grieving brother of a girl who died in the FL shooting trying to help save oth…</t>
  </si>
  <si>
    <t>RT @prayingmedic: Sebastian Gorka on Hunter Biden’s billion dollar deal with the Chinese: 
"I am rarely at a loss for words, but this is po…</t>
  </si>
  <si>
    <t>RT @KyleKashuv: Hey @davidhogg111 you seem really fired up about gun control 
Lets debate, one Parkland student to another 
I'm in DC rig…</t>
  </si>
  <si>
    <t>RT @CENTCOM: The US is not leaving Incirlik Air Base in Turkey, nor is the US leaving Al Udeid AB, Qatar. These reports are false and witho…</t>
  </si>
  <si>
    <t>Fuck right the hell off.  
You people gave up your guns and are now completely DEFENSELESS to the Sharia Muslim Horde you've allowed to rape and pillage your own countrymen. https://t.co/P5REJF8mJQ</t>
  </si>
  <si>
    <t>Cubano whore for Castro ~ OMG, deport her anti-American Cuban parents back to that hell hole &amp;amp; take this monthly little #CUNextTuesday with them
Anti-American BITCH
Hold me back, I want to throat-punch her so bad.  Telling me America Sucks, our Rights suck. https://t.co/rVqgTnTo5U</t>
  </si>
  <si>
    <t>@Jimi971 Someone needs to surgically cut &amp;amp; stitch that crooked mouth together ( leave a hole for a straw) so he will STFU</t>
  </si>
  <si>
    <t>RT @OliverMcGee: 5 US cities have the world’s 3rd highest murder rates:
✅ Chicago
✅ Detroit
✅ Washington DC
✅ St Louis
✅ New Orleans
They a…</t>
  </si>
  <si>
    <t>Ferme ta bouche you lying, crooked mouthed, baby-puppet moron
I'm so sick of you BABIES with NO LIFE EXPERIENCE telling me what's what just because what happened in you 
YOU don't get tell US about taking away our freedoms! https://t.co/PYNN3y6Y5f</t>
  </si>
  <si>
    <t>If my 18-year old can't do an interview with journalists without dropping profanity, I'm calling the whole thing off.
You don't express your outrage with every third word being #fuck .  You just show your ignorance &amp;amp; your ability to formulate a cogent argument. https://t.co/PYNN3y6Y5f</t>
  </si>
  <si>
    <t>Again &amp;amp; again, we see @TheDemocrats using kids as human shields
@NRA @AP4Liberty @davidhogg111 #marchforourlives https://t.co/9oEOWzy6m7</t>
  </si>
  <si>
    <t>@PreetBharara  https://t.co/wb9gbrCfRY</t>
  </si>
  <si>
    <t>RT @Drumrunner2012: @ninekiller Clear backpacks for all 🙄</t>
  </si>
  <si>
    <t>RT @ToscaAusten: I repeat, Donald Trump is not destroying the Republican party. He is scrubbing it and hanging it out to dry. #Trump #MakeA…</t>
  </si>
  <si>
    <t>RT @bennyjohnson: Meet Andrew Pollack &amp;amp; his son Hunter. Andrew’s daughter, Meadow, was murdered in Parkland. Hunter was disinvited to speak…</t>
  </si>
  <si>
    <t>RT @VAKruta: Despicable is not a strong enough word. My grandfather held the line at Bastogne for better than this. https://t.co/A660szk6nJ</t>
  </si>
  <si>
    <t>HOLY EFF ~ https://t.co/poi2mS7E32</t>
  </si>
  <si>
    <t>RT @Steffi_Cole: .@AP4Liberty will never abandon our 2nd amendment rights. We need a strong Constitutional advocate in the U.S. Senate! #AP…</t>
  </si>
  <si>
    <t>Poor Davie @davidhogg111 just can't "see clear" the logic of this statement.  I mean, what do they have to hide?  It's just for books, right?  Why is he crabbing so much? https://t.co/yVwomTBaVN</t>
  </si>
  <si>
    <t>@nytpolitics All those kids with too much time on their hands and rich parents who sent them to Washington DC.  Maybe next they can go pick strawberries and cotton.</t>
  </si>
  <si>
    <t>@JoeyBenedetto5 @skoalbandit1776 @realDonaldTrump Slow-walk that check...LOL, maybe have that check get damaged at the Post Office, then go missing like my electric bill payment.</t>
  </si>
  <si>
    <t>Again, you're a STOOGE @davidhogg111 and the sad part is your brain's not developed enough yet to understand
You don't have to like our rights, just respect them
#marchforourlives 
#2A #2AShallNotBeInfringed 
#HandsOffMyGodGivenRights
#AmericanFundamentals https://t.co/6NNhGeBami</t>
  </si>
  <si>
    <t>You are a useful idiot @davidhogg111 
#NaziLeft #marchforourlives #NeverEverTrustYourGovernment
#2A @NRA https://t.co/NOOCSHkpsI</t>
  </si>
  <si>
    <t>Even George knew.  Listen to the man
#GunControlTakesPractice #2A #TidePodAndCooktopChallengersDontSpeakForMe #marchforourlives #Dipshidiots #LiberalFascists #FuckOffAndDie
#LibertyOrDie #Gadsden https://t.co/LvZKX93JOE</t>
  </si>
  <si>
    <t>Awww, wittle Davey so mad now, his wights are being infwinged
We don't want to take away your backpacks, son.  We just want to make them safer
@davidhogg111 #marchforourlives 
#ForEveryonesProtectionDavid
#SchoolSafetyBeginsWithBackpacks https://t.co/dWBczZlVKM</t>
  </si>
  <si>
    <t>This is the fantasy @CNN &amp;amp; #marchforourlives wants you to believe
#2A #MyRightsComeFromGod
#NeverEverTrustYourGovernment
#TidePodAndCooktopChallengersDontSpeakForMe 
#GunControlTakesPractice
@NRA https://t.co/FAC9XWkXDr</t>
  </si>
  <si>
    <t>The #LiberalFascists puppetmasters controlling @davidhogg111 have deep pockets and tentacles everywhere.  
#ResistWeMust #2A @NRA #GunControlTakesPractice
#MyRightsComeFromGod
#marchforourlives https://t.co/PQNCMHVjLm</t>
  </si>
  <si>
    <t>Never EVER trust your government
#2A #HandsOffMyGuns
#TidePodAndCooktopChallengersDontSpeakForMe
#Fascism @NRA https://t.co/sJk21vfjBc</t>
  </si>
  <si>
    <t>A really good point 
#marchforourlives 
#GunControlTakesPractice
#2A #MyRightsComeFromGod
#TidePodAndCooktopChallengersDontSpeakForMe https://t.co/21woRFEPtZ</t>
  </si>
  <si>
    <t>.#LiberalLogic https://t.co/SAkwAYTkuu</t>
  </si>
  <si>
    <t>RT @Beatlebaby64: #MarchForOurLives It's not guns but YOUR environment-F'd up illegit breeding parents,your gender bending ways &amp;amp;all of YOU…</t>
  </si>
  <si>
    <t>@Jack_Seigel @88YahamaKeys @jallman971 @AllmanReport @MarkMattMO @Jeanie4Parkway @VBCoachE @Pantszilla77 @charliekirk11 Calling @ATeamMom1 a "Confederate" is the same as me calling you a "male chauvenist pig who believes strong, common-sense women should shut up, stay home &amp;amp; bake cookies".</t>
  </si>
  <si>
    <t>RT @Sticknstones4: @Lautergeist  https://t.co/CHzlYnmOxz</t>
  </si>
  <si>
    <t>RT @dianejneff1: Kind of sums it up for me!
@EagleEdMartin @juliematthews50 @ATeamMom1 @jallman971 @88YahamaKeys @sperry0111 @gomurphy @Seb…</t>
  </si>
  <si>
    <t>@jbug9969 @jen4trump1 @AnthemRespect @SiddonsDan @mitchellvii @POTUS THANK YOU ~ someone sent this to me &amp;amp; I cleaned it up (grammar, punctuation, PARAGRAPHS) on my page.  Saw this early this morning</t>
  </si>
  <si>
    <t>@SiddonsDan @mitchellvii But #Omnibus isn't a budget ~ right @SiddonsDan ?  It's just an "allocation" suggestion??</t>
  </si>
  <si>
    <t>@SpeakerTimJones @realDonaldTrump Thank you Tim ~ it wasn't me though.  I wanted to plagiarize one smarter than me, but I opted to take his points and lay them out clearer for the rest of us #Deplorables to understand.  Dude went &amp;amp; looked up LAW for Heaven's sake ~ no disrespect, but I'd rather gouge out my eyes</t>
  </si>
  <si>
    <t>@ninekiller @PrisonPlanet Lolz @ninekiller ~ so right!  Diamond stud &amp;amp; all</t>
  </si>
  <si>
    <t>Me: I need to get up, do something
Bill: (casts Journey videos to the TV)
Me:</t>
  </si>
  <si>
    <t>@PrisonPlanet So unoriginal.  #JustSayin' https://t.co/4MSd6aC3Wz</t>
  </si>
  <si>
    <t>@RealSaavedra @KyleKashuv I've seen this before...
...hmmm where have I seen this before https://t.co/RUB5CT0ZuX</t>
  </si>
  <si>
    <t>RT @FoxNews: .@charliekirk11: "They're using armed guards for this whole thing which I think is one of the greatest ironies of a gun contro…</t>
  </si>
  <si>
    <t>RT @xadditupx: .@AP4Liberty is the ONLY choice for #MOSen - let’s keep #LibertyRising and #FireClaire and defeat @HawleyMO and his empty pr…</t>
  </si>
  <si>
    <t>@RealSaavedra Little Nazi in Training
#DavidHogg #MarchForDisablingTheConstitution
#WhoNeedsRightsAnyway
#LetDaddyGovernmentHelp</t>
  </si>
  <si>
    <t>@FoxNews @BarackObama @MichelleObama Of course he supports disabling the Constitution</t>
  </si>
  <si>
    <t>@gatewaypundit "Pride Comes Before The Fall"</t>
  </si>
  <si>
    <t>@pschroeds6663 @chuckwoolery @realDonaldTrump DON'T GIVE UP, GO READ MY POST /THREAD see if it doesn't make sense!!</t>
  </si>
  <si>
    <t>@chuckwoolery @KrisVanh0use Because she doesn't think DJT is smart and hasn't been studying how #Omnibus money is actually spent...or NOT spent...</t>
  </si>
  <si>
    <t>What if organizing kids for this march is just a test by pedophile groups to test readiness for The State to take over "parenting" ~ how many kids are there w/o parents, only "chaperones"? https://t.co/nu6w8b4H5B</t>
  </si>
  <si>
    <t>@AP4Liberty Why is it always "a million"?</t>
  </si>
  <si>
    <t>@charliekirk11 @steph93065 Someone should have stopped cruise ships after the Titanic.  So many senseless deaths.  Even today, diseases spread, people falling overboard...</t>
  </si>
  <si>
    <t>@garysteveneaton @POTUS I pray it, too.  Read up on Omnibus &amp;amp; what it does.  And, we have 8 years of Obama, Reed &amp;amp; Pelosi colluding with it as a template.  Problem is, Trump won't be president forever...</t>
  </si>
  <si>
    <t>@1776Stonewall OMNIBUS IS NOT A BUDGET.  Why Obama never had a budget.</t>
  </si>
  <si>
    <t>@1776Stonewall Read my posts ~</t>
  </si>
  <si>
    <t>@KrisVanh0use Nah, I just happened upon a researcher's work, I had to change a number of things for flow, and bc of the character limits, but this is NOT my work.  I was suspicious of DJT giving in so easy, so I looked up Omnibus &amp;amp; this popped up this morning.  CONNECTION MADE</t>
  </si>
  <si>
    <t>@ninekiller @POTUS I wonder if they think #DJT isn't aware of how this works?  You know, because he's not a professional politician</t>
  </si>
  <si>
    <t>11)So, knowing what we know about @POTUS, and how his mind works, did he just pull the rug out from Congress?  How many in Congress actually understand how #Omnibus really works?  Did @RandPaul know this? I would LOVE for someone to ask these questions
@SpeakerTimJones https://t.co/Jdg1w2Rfvf</t>
  </si>
  <si>
    <t>10)Again, that is why @BarackObama @NancyPelosi et al never had a Budget during his Presidency.  Congress did continuous #Omnibus bills, giving him $BILLIONS &amp;amp; he took all that money.  For 8 years this went on &amp;amp; no one seems to know where all that money went https://t.co/UUIiqvxV2r</t>
  </si>
  <si>
    <t>9)@POTUS just said "Give me money for the military &amp;amp; the wall. Put anything else you want in the #Omnibus." 
And those goofballs did.  
PER LAW,  DJT doesn’t have to spend a dime because it is not in a BUDGET. https://t.co/r9n7Hs7yuP</t>
  </si>
  <si>
    <t>8)Splodey heads from Dems &amp;amp; the #Enemedia? No, because they don't understand #TheArtOfTheDeal
But what can they do about it, really? Raise a fuss &amp;amp; @POTUS could just say "What. Congress should’ve passed a Budget!"
Done. Finished. Research done. And it's funny, actually https://t.co/7KJARJUHu9</t>
  </si>
  <si>
    <t>7)Sanctuary Cities?
What if @POTUS decided to ‘slow-walk’ that money to those #SanctuaryCities who refuse to assist #ICE until he gets a comprehensive immigration plan, deportations &amp;amp; the wall? https://t.co/6xQ7NzV6ha</t>
  </si>
  <si>
    <t>6)Planned Parenthood? @PPact
What if @POTUS decided to tell the Treasury Dept to ‘slow-walk’ that money to Planned Parenthood…until the Senate gets off their collective asses and confirms his appointees? https://t.co/TfgsvXERZj</t>
  </si>
  <si>
    <t>5)So, like President Obama, President Trump can spend this money on whatever he wants.  Or ... NOT spend it. https://t.co/4Z3En0j4Iy</t>
  </si>
  <si>
    <t>4)I think @POTUS studied how this happened, year after year w/Bush, Obama.  He is too smart to not realize that those ‘appropriations’ for different things in these #Omnibus bills are merely ‘suggestions’ on how the money should be spent; NOT A BUDGET https://t.co/XzlM2nbkwG</t>
  </si>
  <si>
    <t>3)An #Omnibus Spending Bill may have some ‘instructions’ as to how the money will be spent, but Obama ignored them. He spent the money, or didn’t spend it, however he wanted to. 
And Congress didn’t do a thing about it because they couldn’t...they were powerless... https://t.co/z1nAhuR4wn</t>
  </si>
  <si>
    <t>2)Per the Constitution, @POTUS must adhere to a BUDGET set forth by Congress &amp;amp; direct the expenditures as provided therein.
This is another one of those big #Porkulus Bills, like they gave Obama for 8 years. This is not a Budget.
Stay with me... https://t.co/TWHTeYsDhB</t>
  </si>
  <si>
    <t>Why I LOVE @POTUS. I Found a researcher who laid it out:
Do you know why #Omnibus is not going to go anywhere? It’s not an official ‘Federal Budget’. It’s an Omnibus bill…NOT A BUDGET.  Trump has outsmarted them again. Congress screwed themselves by not passing a Budget.</t>
  </si>
  <si>
    <t>Yes, but enter the term "consenting" 😉😉😉😉😉😉😉😉😉😉😉</t>
  </si>
  <si>
    <t>@UranusTonight @AP4Liberty @gulfcityap lolz!!!</t>
  </si>
  <si>
    <t>@Joe_Cool_1 And, we're talking about a sitting Gov, who probably doesn't have time for this.  I'm just assuming this is totally a dick move by #PS to divert attention away from #KimShady</t>
  </si>
  <si>
    <t>@Joe_Cool_1 I didn't think it was SOP in a deposition-taking that the defendant was present; only the lawyer/s?</t>
  </si>
  <si>
    <t>We need MORE parents like this!  It doesn't matter what your politics are.  Y'all being USED to further an agenda.  The younger they can get'm, the harder it is to get our country back when we ALL figure out what's happening! https://t.co/j22FRB2PmN</t>
  </si>
  <si>
    <t>"Tried to reconcile twice but Greitens interfered" could be PS sniping at his wife &amp;amp; throwing the Guv in to the convo, thereby creating a "Greitens Interference".
This whole this is shady AF
 https://t.co/Z4ACKQLbkF</t>
  </si>
  <si>
    <t>No. NO.  NOOOOOOOO!  
@StLouisBlues https://t.co/m0g4xZJumA</t>
  </si>
  <si>
    <t>@Joe_Cool_1 @EricGreitens @HereLiesMoon Wait...breaking news to me, just following all the threads ... WHAT???</t>
  </si>
  <si>
    <t>@NoMoSocialism75 @jallman971 I'm just now finding this out?!?!</t>
  </si>
  <si>
    <t>Your buddy, @jallman971, Bob
#Romanik divulges who the ex-husband is ... and it's CRAZY ...
https://t.co/fmn6FSdLl1</t>
  </si>
  <si>
    <t>RT @Sticknstones4: @Str8DonLemon @jallman971 @EricGreitens @CStamper_ @971FMTalk  https://t.co/NPl1tsJnv2</t>
  </si>
  <si>
    <t>RT @Str8DonLemon: Good evening #moleg 
I see #CrookedKim has no case or evidence so she's trying 2 scream "Conflict of Interest"! 
Stalli…</t>
  </si>
  <si>
    <t>@Str8DonLemon @jallman971 @EricGreitens @CStamper_ @TomJEstes I like #KimShady personally.  So original!</t>
  </si>
  <si>
    <t>@AllmanReport @jallman971 @SpeakerTimJones @MarcCox971 Spouses in happy marriages don't cheat.</t>
  </si>
  <si>
    <t>@AllmanReport @jallman971 @SpeakerTimJones @MarcCox971 Was she "Victimized" while on top, or on bottom?</t>
  </si>
  <si>
    <t>I hate all of you who won my tickets to see @KansasBand from @MarcCox971 on #MCS971 
Momma so sad https://t.co/f8crsBUlJA</t>
  </si>
  <si>
    <t>RT @DaveMurrayFOX2: The month of March opens and closes with a full moon this year, making this the second "Blue Moon"...Saturday, March 31…</t>
  </si>
  <si>
    <t>@JoyAnnReid @NRA You're obviously too stupid to know a handgun from a rifle.  This should help https://t.co/z1odmHk4Ou</t>
  </si>
  <si>
    <t>With our armed services being held hostage, the threat of Dems bashing Repubs for a govt shutdown just before the #MidTerms &amp;amp; no #LineItemVeto, I trust @POTUS made the right decision.
But, I'm still mad AF, to the point of tears #MCS971 https://t.co/b1nRMCjUOW</t>
  </si>
  <si>
    <t>My albums from the 80's are dust in the wind ~ okay, lame.  But there is NO ONE, with the exception of #PortraitBand is a bigger fan of old @KansasBand than ME.  
#MCS971 @MarcCox971 https://t.co/XrKj7ukOTD</t>
  </si>
  <si>
    <t>@KrisVanh0use I was so mad what the record company did to him in the 80's!  So glad he has made it out the other side as a respected blues guitarist and not some sexpot</t>
  </si>
  <si>
    <t>@ninekiller YOOG</t>
  </si>
  <si>
    <t>THIS RIGHT HERE is why I wanted @RandPaul as @POTUS.  
#SaysWhatHeMeans 
#MeansWhatHeSays https://t.co/WozwgASapd</t>
  </si>
  <si>
    <t>@ninekiller Stupid.  Just fucking retarded.</t>
  </si>
  <si>
    <t>@AP4Liberty I personally like AP.  All my friends who are voting for you say AP.</t>
  </si>
  <si>
    <t>RT @news_cannabis: ATTN 
📊POLL
Is "Police Hand Out Cannabis Scratch and Sniff Cards For Drug Awareness" high-quality?
 🔗 https://t.co/enRX…</t>
  </si>
  <si>
    <t>When I hear the opening guitar on this song, I'm instantly transported back to the summer of my 13th year, when I bought this album.
It's fun, if you're too close to me when it happens.  Sometimes others get transported back with me.
https://t.co/9Dn8gq1x7O</t>
  </si>
  <si>
    <t>@jenniferkrneta @ninekiller What is "lip synch battle"?</t>
  </si>
  <si>
    <t>WHY is THIS in the #omnibus #Porkulus Bill?!  Someone's got some 'splainin' to do
@POTUS @realDonaldTrump 
@SpeakerRyan @SenateMajLdr 
@RoyBlunt @clairecmc @RandPaul
PAY ATTENTION @Monetti4Senate @AP4Liberty https://t.co/2ul7iywjCK</t>
  </si>
  <si>
    <t>@FOX2now No jail sentence.  Immediate death sentence &amp;amp; firing squad.  Stop coddling these freaks</t>
  </si>
  <si>
    <t>@Beatlebaby64 Thank you darlin'!</t>
  </si>
  <si>
    <t>@ninekiller Oh, God, or Michael Bolton</t>
  </si>
  <si>
    <t>RT @loryad123: @medicareenroll1 @AdamSchiffCA @SarahBCalif @POTUS So why should we impeach them again? https://t.co/l16pQ0gOkf</t>
  </si>
  <si>
    <t>What U asshole media peeps don't get is this: We knew DJT was a rich womanizer.  We hired him for his business acumen, promise to #MAGA. This other shit is "2 consenting adults" "Not our business".  Isn't that what y'all said when @BillClinton did it?
#StormyDaniels https://t.co/0mfN1euNmU</t>
  </si>
  <si>
    <t>@lernvsradio LOL so hard at that dog"s face</t>
  </si>
  <si>
    <t>@FOX2now Huh?  Where are they getting the money?  Last I heard they had so many freeloaders at Meramec, they can barely keep the lights on</t>
  </si>
  <si>
    <t>My God.  River Rocks.  Get the hook for this dumbass.
https://t.co/2Lg64PT1d9</t>
  </si>
  <si>
    <t>Please Mr President ~ VETO this massive #Porkulus Bill IMMEDIATELY.  This is just for SIX MONTHS?!?!  
All of this PORK will KILL us!!
@POTUS @SpeakerRyan @RoyBlunt @SenateMajLdr @clairecmc @RandPaul 
@AP4Liberty @Monetti4Senate ~TAKE NOTICE https://t.co/5wl73Aerj2</t>
  </si>
  <si>
    <t>@realDonaldTrump Veto this 2300 page piece of crap that gives away $1 TRILLION DOLLARS for 6 months!!  WHAAAAAAT?! https://t.co/OcmShRJi6y</t>
  </si>
  <si>
    <t>@realDonaldTrump Or veto because of THIS https://t.co/TWJIo1Y6LY</t>
  </si>
  <si>
    <t>@realDonaldTrump How about veto'ing because of THIS https://t.co/islB67huPh</t>
  </si>
  <si>
    <t>@WalkingDead_AMC Oh, great.  Another battle scene.  Yawn.</t>
  </si>
  <si>
    <t>@JJCarafano @971FMTalk @jallman971 @kayleighmcenany @anniefreyshow @berry4congress @NutritionHQSTL  https://t.co/7bJRIcehTa</t>
  </si>
  <si>
    <t>RT @JJCarafano: @971FMTalk @jallman971 @kayleighmcenany @anniefreyshow @berry4congress @NutritionHQSTL Can I finish coloring first? https:/…</t>
  </si>
  <si>
    <t>@ninekiller @jallman971 @JJCarafano  https://t.co/l5FCbFKGa0</t>
  </si>
  <si>
    <t>(stifles laughter) So wait, hold up (giggles) the Accuser behind the @EricGreitens case is asking (haha) that #TheGuvnuh not be allowed (LOL) to witness his deposition?!
Awww.</t>
  </si>
  <si>
    <t>Pervy #UncleJoeBiden #JoeBiden @JoeBiden I cannot wait for this old pedo to run in 2020.  It will be a bloodbath the likes @TheDemocrats  have never seen https://t.co/EwSvN9b61F</t>
  </si>
  <si>
    <t>It doesn't get much more retarded
 https://t.co/pRxN3nhAkI</t>
  </si>
  <si>
    <t>Who decorates the inside of their $$ mansion with pictures of nude teenage kids?
Apparently #JohnPodesta
#PodestaTheMolesta 
#Pedophilia
#PizzaGate
https://t.co/9q7TH8dQKc</t>
  </si>
  <si>
    <t>Americans Demand
#StopSpendingSTOPSPENDING!
@clairecmc @RoyBlunt @RandPaul @SpeakerRyan #Porkulus https://t.co/sNd53knPGg</t>
  </si>
  <si>
    <t>THIS IS STUPID
THIS IS NOT "NECESSARY"
#StopSpendingSTOPSPENDING!
@clairecmc @RoyBlunt @SpeakerRyan #Porkulus @RandPaul https://t.co/s4lUMLLooD</t>
  </si>
  <si>
    <t>You know what is immune to diseases &amp;amp; poisons?
GUNS.
Arm your police force.
 https://t.co/QpnwsYpmkT</t>
  </si>
  <si>
    <t>@heatherjones333 @skoalbandit1776 The only lie detector test she passed was in one of her porn flicks.</t>
  </si>
  <si>
    <t>We Do Not Want THIS!!!
@clairecmc @RoyBlunt @RandPaul
@SpeakerRyan @POTUS
#MissouriSaysNoPorkulus
#StopSpendingStopSpendingStopSpendingstopSpendingStopSpendingStopSpendingSTOPSPENDING!!! https://t.co/ESr0kiYbAn</t>
  </si>
  <si>
    <t>RT @conor_leland: Hey @RoyBlunt and @clairecmc I #standwithrand on voting against this Irresponsible and risk to our rights omnibus bill, a…</t>
  </si>
  <si>
    <t>@LeahR77 @steph93065 My husband has been watching #CrazyDrunkUncleJoe compilation videos on YouTube for about 45 min now.  He's so creeped out</t>
  </si>
  <si>
    <t>RT @RandPaul: Page 240 good news for states rights:  
no funds will be spent to prevent any state’s medical marijuana initiatives. 
Thank…</t>
  </si>
  <si>
    <t>That's a sick burn right there. https://t.co/bBIm80NkJQ</t>
  </si>
  <si>
    <t>@ninekiller  https://t.co/cg980R7paI</t>
  </si>
  <si>
    <t>Un-fuckng-believable https://t.co/ESr0kiYbAn</t>
  </si>
  <si>
    <t>Who pays for these so-called "speaking engagements" &amp;amp; how do they collect the hundreds of thousands of dollars necessary for Obama's fee?  Who attends these things? https://t.co/rPXVs7VSrk</t>
  </si>
  <si>
    <t>RT @JackPosobiec: Weird how all the same people bashing John Bolton also supported HR McMaster</t>
  </si>
  <si>
    <t>Little fucking punk-ass thugs gonna learn.  There's a new attitude 
https://t.co/Wmn82DZcy8</t>
  </si>
  <si>
    <t>There's an actual show called "Naked and Afraid, Pop-Up Edition"
I opted out.</t>
  </si>
  <si>
    <t>Really @KCStar?
@AllmanReport #allman971
@jallman971 @MarcCox971 #MCS971 @SpeakerTimJones
@EricGreitens @AP4Liberty
https://t.co/SDJ1odwegy</t>
  </si>
  <si>
    <t>People wonder how Hitler gained power so completely.  There are those who say "This could NEVER happen in America". 
We shall see.  
#allman971 @jallman971
#MCS971 @MarcCox971 
@anniefreyshow @tonycolombo971 @carps @971FMTalk https://t.co/OMbXculGkK</t>
  </si>
  <si>
    <t>Liberals only think they see hypocrasy that THEY think Conservatives should be seeing, but we Conservatives are again blasting that narrative of intolerance by being tolerant of DJT's womanizing
#MiRite?
@carps</t>
  </si>
  <si>
    <t>Oh, God...please bring comfort &amp;amp; peace to those back home who are suffering right now
https://t.co/5pyc5julfN</t>
  </si>
  <si>
    <t>@MonikaShawtee We DO know.  It's called "disclosure".</t>
  </si>
  <si>
    <t>RT @971FMTalk: Kim Gardner May End Up in Jail: https://t.co/qz3e7e5C0V @jallman971 #allman971</t>
  </si>
  <si>
    <t>@MonikaShawtee @MHB1070 @NickWes84032384 @EdGullion Heresay.  Inadmissable in court.</t>
  </si>
  <si>
    <t>@SheriffClarke I'm still stunned by her perpetual frown.  My mom was right.  "You keep making that face, it's gonna stick"</t>
  </si>
  <si>
    <t>RT @true_pundit: Philly’s New Soros-Backed D.A. Rolls Out Policies To Keep People Out Of Jail https://t.co/hjXxwyx3j3</t>
  </si>
  <si>
    <t>@ninekiller @TIME Huh?  OMG you're right!  And only one crooked face, too.</t>
  </si>
  <si>
    <t>@ninekiller @TIME WOW.  Only these 5 survived.  So sad</t>
  </si>
  <si>
    <t>@ninekiller There's this 
https://t.co/6yl5YZ98dQ</t>
  </si>
  <si>
    <t>@jallman971 @JimTalent @LohrDistCo That must be the "lite" "reduced calorie" version 😀</t>
  </si>
  <si>
    <t>RT @StacyOnTheRight: Officials call domestic terrorist Conditt a "very troubled young man" the @nytimes is describing him in glowing terms.…</t>
  </si>
  <si>
    <t>.#JesusHRooseveltChrist ~ 
This thread re @JohnBrennan 
#allman971 @jallman971 https://t.co/6z2JA0ZrmX</t>
  </si>
  <si>
    <t>RT @Trumpism_45: @realDonaldTrump  https://t.co/n9tAdUODhj</t>
  </si>
  <si>
    <t>@MFergusonMedia So embarrassing.  DJT should have said "Come at my Secret Service detail bruh"</t>
  </si>
  <si>
    <t>I do believe MY bottle says 17% alcohol
@JimTalent 
@jallman971 #allman971 
#ResistICant
@LohrDistCo https://t.co/4xaEhk9nFf</t>
  </si>
  <si>
    <t>RT @DennisDet656: @MatgoStyles @outerbanker1 @VannagrammyLiz @Conservative_VW You're talking to a guy that spent 28 years in law enforcemen…</t>
  </si>
  <si>
    <t>Just say no!
@SpeakerRyan 
@SenateMajLdr 
@clairecmc 
@RoyBlunt https://t.co/JzG3uDyGS7</t>
  </si>
  <si>
    <t>Uh oh, #KimGardner ~ you're about to go to jail, forfeit your cushy pension &amp;amp; be disbarred
@EricGreitens
https://t.co/ttDP3Q9RaS</t>
  </si>
  <si>
    <t>Uhm, yeah...that's MY high school!!  I don't have my kids there any more, but I still have FRIENDS there! https://t.co/sVfkVytJ1v</t>
  </si>
  <si>
    <t>Trump does what he wants.  He's the one who has to deal with Putin the next 6 years https://t.co/YmMgbb5zp0</t>
  </si>
  <si>
    <t>How much do I enjoy LMP?  I always forget how great her voice is until I hear it again.
https://t.co/QvkXJh2kxh</t>
  </si>
  <si>
    <t>Gosh dang it, I spelled #FREYday wrong! https://t.co/hXDVTjI4OM</t>
  </si>
  <si>
    <t>I'm sure @Beatlebaby64 is on top of this...
https://t.co/qyMEKuH8J2</t>
  </si>
  <si>
    <t>@jhm1701  https://t.co/FeRy5G0gj6</t>
  </si>
  <si>
    <t>Hey!!  It's #Fryday on Wednesday!
@anniefreyshow joins #TheMarcCoxShow to discuss the numbers in the Illinois Primary
#MCS971 
@MarcCox971 
@971FMTalk</t>
  </si>
  <si>
    <t>Liar.  This sick fuck just wants attention.  I think, after this morning's news, the @fbi @DHSgov &amp;amp; @Austin_Police are already aware of this https://t.co/m7bWiUQfYP</t>
  </si>
  <si>
    <t>@hrenee80 Would it be weird if I said I'd screw him for free, just to see what all the fuss was about?
😆😆😆😆😆</t>
  </si>
  <si>
    <t>Isn't someone who screws someone then accepts money for the screwing called a prostitute?  And, was prostitution legal in NY when she did it?
Asking for a friend ...
#StormyDanielsEtAl
#MCS971 https://t.co/ejINPNxEjd</t>
  </si>
  <si>
    <t>RT @JackPosobiec: CNN trying to figure out a way to blame Trump for the Austin bombings https://t.co/K2pneIXW6v</t>
  </si>
  <si>
    <t>Guess I better right-click/save all my photos on FB.  There are some videos on there I can't replicate, like Humpfest (my neighbor's dogs fighting for Alpha) &amp;amp; the tearful day we tore down the swing fort before Shaun went to Boot Camp</t>
  </si>
  <si>
    <t>@ninekiller Like MySpace</t>
  </si>
  <si>
    <t>Dude still has balls of steel https://t.co/tQJc38W2Fs</t>
  </si>
  <si>
    <t>@ninekiller @DLoesch WHY AM I BLOCKED BY @DLoesch ?!?!  This is so frustrating!</t>
  </si>
  <si>
    <t>RT @commoncents1234: @whenwefallapart @drrickg Hitler told you what he wanted in his 25 point plan. It’s all there.
Call it whatever you w…</t>
  </si>
  <si>
    <t>Nectar of The Gods
#Coffee https://t.co/32u6rN0K9f</t>
  </si>
  <si>
    <t>RT @sean_spicier: Good news bad news situation in Austin. The good news is the bomber is dead. The bad news is Democrats picked up another…</t>
  </si>
  <si>
    <t>@politico @StormyDaniels @viaCristiano  https://t.co/paixZVN9nN</t>
  </si>
  <si>
    <t>I tell our tour folks this 👏ALL👏THE👏TIME.  You don't need a bunch of equipment, unless you want to document 4-6 hours of boredom https://t.co/gKDjKgwd23</t>
  </si>
  <si>
    <t>@ninekiller https://t.co/g04TflNcyQ</t>
  </si>
  <si>
    <t>RT @KrisVanh0use: @Lautergeist YES. Remember; #ByAnyMeansNecessary #SaulAlinsky #ShapeShifters #RulesForRadicals #FundamentalTransformation…</t>
  </si>
  <si>
    <t>@AppFlyer @seanmdav For good measure, I grabbed The Sprinkles too</t>
  </si>
  <si>
    <t>@AppFlyer @seanmdav Dude, I'm going to poke the bear &amp;amp; post that on Fascistbook!</t>
  </si>
  <si>
    <t>"Dig through the ditches that burn through the witches at Slam in the back of my Dragula" 🎶
#allman971
@jallman971
"Dragula" by Rob Zombie  https://t.co/05nrV7J4zZ</t>
  </si>
  <si>
    <t>RT @TheTolerantLft: All of you idiots that voted for @BruceRauner (again) deserve every bit of shitty legislation that is thrown your way.…</t>
  </si>
  <si>
    <t>The more "Conservative" Democrats that win, the more I think they've adopted the Islamic doctrine of #Taqiyya
#NeverTrustADemocrat
#allman971</t>
  </si>
  <si>
    <t>All the commercials lately that use "TOM" as the scapegoat
Regions Bank
800 Got Junk
Feed the Pig
Why Tom?  Bob over used? Retired?</t>
  </si>
  <si>
    <t>@rnhawkins @jallman971 @Sticknstones4 @AllmanReport @EricGreitens Don't tell ME how to say something.  This is a colloquialism handed down from my Swedish grandma.  It's MEANT to be absurd so dumbasses like you would make stupid comments on it</t>
  </si>
  <si>
    <t>RT @mflynnJR: You are the biggest p___y in Congress....please run in 2020 so you can embarrass yourself even more...#SickofFlake #Snowflake…</t>
  </si>
  <si>
    <t>One and the same! https://t.co/vtpZ0c8i7L</t>
  </si>
  <si>
    <t>@Drivedabizness @RossStone5 @Rockprincess818 @Fed_up_Jane So many, in fact, that we'll need to open another wing of #GITMO to hold them all</t>
  </si>
  <si>
    <t>@WiredSources @StephenMilIer Where's there coverage of the Austin bombings, eh?</t>
  </si>
  <si>
    <t>@rnhawkins @jallman971 @Sticknstones4 @AllmanReport @EricGreitens Go bite a wall, stalker</t>
  </si>
  <si>
    <t>Before #Michonne, there was #SandahlBergman
#ConanTheBarbarian</t>
  </si>
  <si>
    <t>RT @RealMAGASteve: 18 U.S. Code § 1505 Obstruction of Justice: Obstructing or impeding the administration of law under which any pending pr…</t>
  </si>
  <si>
    <t>A thousand people in this scene and the 2 Iron Maiden wannabes find Arnold in all his drapery
#ConanTheBarbarian</t>
  </si>
  <si>
    <t>@JenEnnenbach People like @shannonrwatts can't answer that.  Doesn't fit their narrative</t>
  </si>
  <si>
    <t>Busty naked sacrifice to the Snake God ✔️
Weird grunty noises by Arnold ✔️✔️
Crazy rope climbing skills✔️✔️✔️
#ConanTheBarbarian</t>
  </si>
  <si>
    <t>Oh my gosh, Sandahl Bergman's boots have heels
#ConanTheBarbarian</t>
  </si>
  <si>
    <t>@JenEnnenbach We have to get rid of all the guns Jen ~ protect the chillllllllldren!</t>
  </si>
  <si>
    <t>@politico Get off it.  Don't you have some real news to report?</t>
  </si>
  <si>
    <t>Drunk #ConanTheBarbarian punches a camel</t>
  </si>
  <si>
    <t>@JenEnnenbach @shannonrwatts She's more distressed over the SRO shooting "a child"</t>
  </si>
  <si>
    <t>Someone has to know something!  This is nuts! https://t.co/cgo5AfDMpx</t>
  </si>
  <si>
    <t>My God ~ the stresses of our LEO and investigators, please keep them safe https://t.co/m9cGiGLcb5</t>
  </si>
  <si>
    <t>Like a bad 80's video, this horny witch is crawling around like a cat in heat 
#ConanTheBarbarian</t>
  </si>
  <si>
    <t>Why are there German Shepherds in Mongolia?  And what are these weird noises Arnold makes?
#ConanTheBarbarian</t>
  </si>
  <si>
    <t>@RAWPWR99FATBOY I LITERALLY just watched that scene!?</t>
  </si>
  <si>
    <t>"He also came to know the pleasures of women when he was bred to the finest stock"
OMG I'M BLUSHING
#ConanTheBarbarian</t>
  </si>
  <si>
    <t>The Vikings in the opening sequence of #ConanTheBarbarian all look like the guys in Iron Maiden</t>
  </si>
  <si>
    <t>OMG you guys, #ConanTheBarbarian is on!</t>
  </si>
  <si>
    <t>@rnhawkins @AllmanReport @EricGreitens @jallman971 The greatest thing about America is if you don't like something or someone, you don't have to listen or watch them!  Isn't that cool?</t>
  </si>
  <si>
    <t>Not amused
 https://t.co/QQIzFIU0wQ</t>
  </si>
  <si>
    <t>RT @LisaMei62: Yawn...another leftist celeb pushing for more gun control. Pretty sure the members of his security detail carry guns. Damn h…</t>
  </si>
  <si>
    <t>@ninekiller I really could have gone the rest of my life without seeing that, thanks 🤤</t>
  </si>
  <si>
    <t>QUICK SAVE YOUR EARS PUT ON SOME TOM PETTY
I found Runnin' Down A Dream by Tom Petty with SoundHound 
 https://t.co/rWxKhpIMsQ</t>
  </si>
  <si>
    <t>WTF IS THIS BULLSHIT??
I found One Foot by Walk the Moon with SoundHound  https://t.co/3pG3kT2Kk3</t>
  </si>
  <si>
    <t>@jenniferkrneta Oh, I've tried, sis.  Can't abide that plinky piano, the clarinet and screetchy falsetto</t>
  </si>
  <si>
    <t>RT @Tamaraw68415067: @jo_casey_jo @AP4Liberty It’s easy to get involved when the candidate is Austin Petersen.  I’ve never met someone so p…</t>
  </si>
  <si>
    <t>RT @johncardillo: ARMED SCHOOL RESOURCE OFFICER STOPS SCHOOL SHOOTING IN MARYLAND
AN ARMED GOOD GUY IN THE SCHOOL PREVENTED A MASSACRE
WA…</t>
  </si>
  <si>
    <t>RT @LndFeminism4got: JFC, This prick... I work in the Chicago loop.
IT'S A SHITHOLE. Homeless all over the place (plus their piss/crap), it…</t>
  </si>
  <si>
    <t>I cannot even express to you my hatred of Supertramp.  Don't start with me.</t>
  </si>
  <si>
    <t>When you order a 1-Cup and a 2-Cup Measuring Cup set off Amazon and what arrives is two 2-Cup Measuring cups ...
🤔🤔🤔🤔🤔 https://t.co/eWfPDUNCQm</t>
  </si>
  <si>
    <t>Hoe Bag ~ she pay of those student loans yet (Degree in Women's Studies, no doubt)
 https://t.co/9SHfOFLE9h</t>
  </si>
  <si>
    <t>RT @grandmaj2: #MarkZuckerberg doesn't want a wall to keep out illegals because he likes the problems they bring it makes him more wealthy…</t>
  </si>
  <si>
    <t>RT @andybankertv: #CircleIt #StLCards opener 9 days away!! https://t.co/zZ0ko2kg3R</t>
  </si>
  <si>
    <t>@Joe_Cool_1 Meh, I'm so sick of food.
(Me, later: can I get a rack of ribs? 😆)</t>
  </si>
  <si>
    <t>So hungry, but going out for BBQ &amp;amp; a beer after work.  What do I do?
WHAT DO I DO???</t>
  </si>
  <si>
    <t>But don't even THINK about applying if you're a Conservative! https://t.co/Pt5lRUGvoQ</t>
  </si>
  <si>
    <t>RT @bartongellman: Memo to everyone who claims Snowden is silent on Russian civil liberties outrages. This is maybe the dozenth proof other…</t>
  </si>
  <si>
    <t>I thought #ISIS was dead, gone, buried, disbanded?
 https://t.co/M64KihgpA6</t>
  </si>
  <si>
    <t>Turned off talk radio awhile.  Put on @planetradious &amp;amp; caught two @kennyloggins tunes in a row
Derp ~ #TwoferTuesday</t>
  </si>
  <si>
    <t>RT @971FMTalk: The Republican Primary For Governor In Illinois @MarcCox971 @JeanneIves #MCS971 Is turnout the key in this Governor's race?h…</t>
  </si>
  <si>
    <t>Sounds suspicious ... https://t.co/OyNax111m7</t>
  </si>
  <si>
    <t>Another shooting in a gun-free zone.  I predict the shooter will be a white male, with stolen guns, and on psychotropic drugs and having Democrat leanings
 https://t.co/vEn3a0wLyl</t>
  </si>
  <si>
    <t>@Karmakicksuback @971FMTalk @Metallica @jallman971 Like #PopcornLung</t>
  </si>
  <si>
    <t>I'm at work, but don't have the lights on yet, haven't unlocked the door.  What am I waiting for?
Ugh...another jam-packed calendar.  Why does he do this to us?</t>
  </si>
  <si>
    <t>RT @AndrewSarega: Facebook gave the Obama campaign direct access to private user data as a means to win his election. They even looked the…</t>
  </si>
  <si>
    <t>RT @Education4Libs: David Hogg says he needs to use “white privilege” to speak for black people on gun control.
Maybe he should take a str…</t>
  </si>
  <si>
    <t>@politico Go the fuck away, you stupid cunt</t>
  </si>
  <si>
    <t>RT @CallMeSquiggly: I have always supported Constitution Conservatives, often to see them lose. Because the Establishment was always powerf…</t>
  </si>
  <si>
    <t>All we have to say Mr Congressman is "Try us".  We will be waiting for you and will disarm you and put you before a firing squad.
Armed insurrection against the President of the United States.
Is this man CRAZY?! https://t.co/mJyBVZy3Md</t>
  </si>
  <si>
    <t>FINALLY ~ some #CommonSense news out of California
 https://t.co/Afs6Bkg2Vi</t>
  </si>
  <si>
    <t>@Karmakicksuback @971FMTalk @Metallica @jallman971 Give me a good, old-fashioned cigarette it hand-roll any day.  I have a son who vapes (when he's employed, mind) and he looks RIDICULOUS.</t>
  </si>
  <si>
    <t>Oh, I feel so much better.  Now
#allman971 https://t.co/hlEfSjCXCz</t>
  </si>
  <si>
    <t>Oh my goodness
#GAYpe
#allman971 https://t.co/QRObZ7IE0C</t>
  </si>
  <si>
    <t>Unintended consequences of vaping
#allman971 https://t.co/m7Kxh4A1nO</t>
  </si>
  <si>
    <t>Most Vapers be like 
#allman971 https://t.co/TV7h4xT7lN</t>
  </si>
  <si>
    <t>No! No!  Don't ostracize her!  She's PRECIOUS!!
#allman971
https://t.co/uHJXuTeccp</t>
  </si>
  <si>
    <t>It's never "too early" for @Metallica 
#allman971 
@971FMTalk 
@jallman971</t>
  </si>
  <si>
    <t>Love these!  You can tell he's precocious ...
#BarronTrump
#allman971 https://t.co/WN3ipb7Sp1</t>
  </si>
  <si>
    <t>RT @KTHopkins: Dear @davidhogg111 - please could you start a campaign for better bomb control in Texas. Super thanks xx https://t.co/YGM9i8…</t>
  </si>
  <si>
    <t>RT @dbongino: This is a sick &amp;amp; troubled man. If anyone is close to him please encourage him to seek help ASAP. Thanks. https://t.co/3ICIbSI…</t>
  </si>
  <si>
    <t>RT @BreakingTyranny: 5 Benefits Of Rosemary For Your Hair. https://t.co/cl1hMg4z5C</t>
  </si>
  <si>
    <t>RT @RBPundit: This Facebook thing with Cambridge Analytica just shows how the outrage machine is really just a partisan Democrat thing.
Sa…</t>
  </si>
  <si>
    <t>.@971FMTalk "Nothing will change for our station"
(now runs ads for Stephen Colbert)
😉😉😉😉😉😉
#allman971</t>
  </si>
  <si>
    <t>@juliematthews50 @ninekiller @Drumrunner2012 @Beatlebaby64 @jallman971 @Jimi971 @jenniferkrneta @RAWPWR99FATBOY @garysteveneaton @jimmyjr224  https://t.co/qmvJVCcRwA</t>
  </si>
  <si>
    <t>@jhm1701 Looks tasty, doesn't it?
#Meat</t>
  </si>
  <si>
    <t>I'll take 5, please https://t.co/NutctLvqBW</t>
  </si>
  <si>
    <t>RT @DarTell: @megynkelly @joekiddone @GenFlynn https://t.co/48Q63ZPVAX</t>
  </si>
  <si>
    <t>@RAWPWR99FATBOY @Jimi971 @jenniferkrneta @juliematthews50 @garysteveneaton Right?!  And I'm bouncin' in/out of Twitter, reviewing evidence from our trip to O'Fallon IL</t>
  </si>
  <si>
    <t>@jenniferkrneta @juliematthews50 @Jimi971 @RAWPWR99FATBOY @garysteveneaton You would not be the first to do that!</t>
  </si>
  <si>
    <t>@ninekiller @MarcCox971 @jallman971 Hahahahaha!!  Perfect!!</t>
  </si>
  <si>
    <t>Damon is a psichic vampire.  My head hurts from all the spin
#MCS971 https://t.co/b957Ri0Q0B</t>
  </si>
  <si>
    <t>Really @Walmart @walmarthelp ?  This copper pan was in plastic packaging with all the info on how to care for it.  Was it really necessary to put a STICKER on the bottom that WILL. NOT. COME. OFF??  Soapy water, undiluted soap, oil, alcohol.  NOTHING WORKS!! https://t.co/WxTJNDutn4</t>
  </si>
  <si>
    <t>@ninekiller @MarcCox971  https://t.co/copmsQrDMY</t>
  </si>
  <si>
    <t>Alright.  We get it.  Let's all live in Damon's imaginary life 
#MCS971 #allman971 https://t.co/3OEqcfHuoz</t>
  </si>
  <si>
    <t>If you're so damned "sorry" @HillaryClinton you'd come home, give up the public life, retire and enjoy your grandkids in your remaining days.
Oh wait, you're a sociopath, devoid of any feelings. https://t.co/RTaFYiqKHV</t>
  </si>
  <si>
    <t>@oldpicsarchive @ninekiller Back when smoking at concerts was COOL
@jallman971</t>
  </si>
  <si>
    <t>RT @JeanneIves: I joined @danproft this morning to discuss why voting for me tomorrow is the right choice for #Illinois. #twill https://t.c…</t>
  </si>
  <si>
    <t>RT @KTHopkins: Dear America. Do not let yourselves fall as we have fallen. To this, we are reduced. Defend your freedom, defend your right…</t>
  </si>
  <si>
    <t>@DailyMailUK @MailOnline Maybe the judge could see clear to put this rabid animal down?  You, know, for his own good.</t>
  </si>
  <si>
    <t>Disgusting.  The UK police are #VictimShaming instead of calling out the twisted, sick followers of Islam that organized &amp;amp; constructed this!
#telfordgrooming #Telford 
https://t.co/tamKKxKln7</t>
  </si>
  <si>
    <t>RT @tedcruz: The Internet Sales Tax is a terrible idea: https://t.co/fXfMCacHxx
We must say no.
No net tax. 
Not now. 
Not ever. 
#NoN…</t>
  </si>
  <si>
    <t>RT @AP4Liberty: Former presidential candidate to speak at Kent State University https://t.co/DhTnQzWkJ4</t>
  </si>
  <si>
    <t>This ties directly to #Parkland 
We see how #NikolasCruz was ignored, shoved under the rug, tucked away in the back of a closet; name your analogy.
https://t.co/IYO8ayuYKu</t>
  </si>
  <si>
    <t>OMG IT'S HOT AF IN MY OFFICE ~ GIVING ME A HEADACHE</t>
  </si>
  <si>
    <t>Basketball &amp;amp; your brackets got you down?  Come by our @STLPRS office on Tuesday for some uplifting, positive uses for minerals &amp;amp; crystals!
Tickets still available on https://t.co/2gRezqLP04 https://t.co/X9qKnlFtY5</t>
  </si>
  <si>
    <t>Hi @DietraMiles Maryville University is back from Spring Break and all the commuters are trying to get to school before 8a.
~ Mom of a Maryville commuter 😀</t>
  </si>
  <si>
    <t>3rd Degree Burn
@CNN https://t.co/A7BDDSGUp4</t>
  </si>
  <si>
    <t>RT @anniefreyshow: #ILRevolution • Vote @JeanneIves https://t.co/2irTuOV33I</t>
  </si>
  <si>
    <t>"Twitter.  Where decency goes to die". 
(Except #AitM fans)
@jallman971 #allman971 
@kbailey971 @denysschaefer @Pippy971 @971FMTalk</t>
  </si>
  <si>
    <t>@Beatlebaby64 @Pippy971 @jallman971 @genevievewood @JJCarafano @JimTalent @971FMTalk @Heritage @denysschaefer @kbailey971 @jeffallen971 @ninekiller @juliematthews50 @george_e_girl LOLZ, JJ...</t>
  </si>
  <si>
    <t>@Jimi971 @Beatlebaby64 @ninekiller @jenniferkrneta @juliematthews50 @jallman971 @denysschaefer @Pippy971 @kbailey971  https://t.co/G4ya958Sra</t>
  </si>
  <si>
    <t>RT @SpookyIsles: 7 ways to stop #psychic vampires draining your life away https://t.co/j5skj1yPOg</t>
  </si>
  <si>
    <t>RT @cnnbrk: Two men were transported to a hospital with serious but non-life threatening injuries after an explosion in Austin, Texas, auth…</t>
  </si>
  <si>
    <t>@Beatlebaby64 @ninekiller @Jimi971 @jenniferkrneta @juliematthews50 @jallman971 @denysschaefer @Pippy971 @kbailey971 We were one of those assholes at our Hardee's here, ordering up a dozen breasts &amp;amp; then they'd run out too fast.  We'd eat on them for days</t>
  </si>
  <si>
    <t>When some people in school districts just need a good throat-punching
https://t.co/OUPprk2q27</t>
  </si>
  <si>
    <t>@KrisVanh0use @theblaze That's Katy Perry?  She looks exactly like Miley Cyrus</t>
  </si>
  <si>
    <t>WTF?!?! https://t.co/ZuAxnJfsRO</t>
  </si>
  <si>
    <t>@soIoucity SIX to four?  Typo?</t>
  </si>
  <si>
    <t>@IngrahamAngle @LifeZette She can't be charged with anything bc she's not human.  She's a friggin' alien or a robot, so our rules &amp;amp; laws don't apply.</t>
  </si>
  <si>
    <t>RT @PatrickMBarnett: @IngrahamAngle @LifeZette  https://t.co/Mt46RoeBTb</t>
  </si>
  <si>
    <t>This guy @juliematthews50 ?
I just luv luv luv these blues virtuosos https://t.co/f5Law1zCfq</t>
  </si>
  <si>
    <t>@ninekiller @Jimi971 @Beatlebaby64 @jenniferkrneta @juliematthews50 @jallman971 @denysschaefer @Pippy971 @kbailey971 Now I want chicken.</t>
  </si>
  <si>
    <t>@Beatlebaby64 Pfffft, Bill looking at Amazon options.  I hop on my Amazon app, find the exact 2-c &amp;amp; 1-c bundle, ship to my work, quick check out &amp;amp; I'm done.  He throws me a look...</t>
  </si>
  <si>
    <t>I have managed to break both my Pyrex glass 1-cup &amp;amp; 2-cup measuring cups in the span of 4 months.  My husband broke the original 1-cup from our wedding (30 yrs ago) abt 6m ago.</t>
  </si>
  <si>
    <t>WOW ~ Deep State circling the drain
 https://t.co/KJzLX9SwpC</t>
  </si>
  <si>
    <t>@Beatlebaby64 @AP4Liberty I'm not even sure she's tweeting ~ probably an intern</t>
  </si>
  <si>
    <t>Too bad, so sad.  He should welcome the death by injection over suffocating to death from those cancer tumours.  Freak.
https://t.co/p33Hicr7kM</t>
  </si>
  <si>
    <t>Ope, I just found a clue to #ClaireBear's top donors ~ 
#AP4Senate @AP4Liberty #MoSen 
#FireClaire🔥
There's some big fat dough in these groups https://t.co/GwWLYXWF9t</t>
  </si>
  <si>
    <t>She's goooood with words.  
I wonder how many of her #bundlers in that remaining 10% have TWO commas? 
#ClaireBear #FireClaire🔥
#AP4Senate @AP4Liberty #MoSen https://t.co/FCvcF0PwZd</t>
  </si>
  <si>
    <t>@americana_prime @ninekiller Not really.  Although I don't agree with her using with small children, I know people with chronic pain that have shed pharmaceuticals and all their side effects and organ damage for  weed.</t>
  </si>
  <si>
    <t>I would NEVER EVER do this when my kids were small.  Now that they're grown, and I've developed diabetic neuropathy, I'd rather indulge in Indica than all those side effects from Soliqua or Cymbalta
 https://t.co/q88ObRZdjr</t>
  </si>
  <si>
    <t>RT @Drumrunner2012: @ninekiller If I was to fart in G would that be considered Arcade Fire?</t>
  </si>
  <si>
    <t>@ninekiller I love T-dub, man.</t>
  </si>
  <si>
    <t>@bloodless_coup @ECCulper @MichaeIPompeo @ImBackUSA @ThomasWictor So I'm fake bc I don't have a blue check mark?  Some of us like it that way.  It keeps us working.</t>
  </si>
  <si>
    <t>Follow along, kiddies.  
McCabe was BANKRUPT. 
As Wictor points out, when someone says his accusor's attack is not only on them, but the whole of their team, that individual is GUILTY.  
The Death of Integrity. https://t.co/Sqog2TwNWL</t>
  </si>
  <si>
    <t>Looking at the new ziplines on #Hualapai lands in #GrandCanyonWest.  It's in the vicinity of our vacation but too hard to access &amp;amp; we're going the other direction.
Another trip, then.  🙂</t>
  </si>
  <si>
    <t>@juliematthews50 @Beatlebaby64 @ninekiller @jallman971 @Jimi971 @RAWPWR99FATBOY Sounds like someone paid it forward!  I love to do that on occasion 😊🙂☺️</t>
  </si>
  <si>
    <t>RT @dianejneff1: The honest truth!
@juliematthews50 @ATeamMom1 @sperry0111 @Lautergeist @cowgirlathart @AnnetteRR https://t.co/I6tpjxo51f</t>
  </si>
  <si>
    <t>WTF IS @HillaryClinton  WEARING?! https://t.co/LACaRX5KtS</t>
  </si>
  <si>
    <t>RT @Conservative_VW: We know what government confiscation of guns looks like. On December 29, 1890 Federal Agents swooped Down on the Lakot…</t>
  </si>
  <si>
    <t>RT @ScottPresler: Andrew McCabe's wife received $700,000 from democrats, while Peter Strzok - who changed Comey's "grossly negligent" state…</t>
  </si>
  <si>
    <t>RT @realJLogan: @THatfieldMO And here I was thinking we were done with this gun control BS but nope!  @HawleyMO and @clairecmc don't care a…</t>
  </si>
  <si>
    <t>@politico Of COURSE he did.  Little Marco is a #RINO</t>
  </si>
  <si>
    <t>The Tale of Two Suspended FBI Agents
 https://t.co/cgl0h6OZky</t>
  </si>
  <si>
    <t>Let this be a lesson to us all.  It starts in our cities and metastisises outward https://t.co/KSolfsyBWe</t>
  </si>
  <si>
    <t>@ShwMeGrl WOW ~ I hope she doesn't commit suicide with a bullet to the back of her head, or get killed while being mugged &amp;amp; nothing taken or be the only death in a sightseeing helicopter crash ...
#JustSayin</t>
  </si>
  <si>
    <t>Lock this b!tch up
 https://t.co/Y2Lc8MQY4o</t>
  </si>
  <si>
    <t>RT @ShwMeGrl: @Lautergeist Same here. If it comes out that 9/11 WAS a false flag...I just can't even wrap my mind around it! But, I keep th…</t>
  </si>
  <si>
    <t>A distant relative, no doubt 😉
#BluidyGeorgeMackenzie
#JAMMF @Outlander_STARZ
@Writer_DG
 https://t.co/jU3XjSEkqg</t>
  </si>
  <si>
    <t>@WalkingDead_AMC Can we wrap this up soon?  The whole storyline is getting predictable.  A number of us who watch together don't really watch together any more.</t>
  </si>
  <si>
    <t>Everyone.  I need you stop what you're doing and listen.  I have Breaking News.
I have purchased a new copy of Gary Wright's #DreamWeaver CD and it didn't cost me half my mortgage.
That is all https://t.co/PwSxsw6IE8</t>
  </si>
  <si>
    <t>This thread.  Not sure if Ron Fournier was expecting these responses?  Kind of awkward, if not https://t.co/5h0L6OSAnW</t>
  </si>
  <si>
    <t>Then THIS:
https://t.co/PT6AYcEniv https://t.co/2zcz7aEvqF</t>
  </si>
  <si>
    <t>Every time someone said 9/11 was an inside job I'd mock them incessantly.  
Now I feel I owe them a huge apology https://t.co/EXbunjmYxf</t>
  </si>
  <si>
    <t>RT @DineshDSouza: The Left wants us to be frightened of the Deep State on the grounds that we don’t control it, it controls us https://t.co…</t>
  </si>
  <si>
    <t>WHAAAAAAT?!?! https://t.co/o9BVVfGR6t</t>
  </si>
  <si>
    <t>@ninekiller Why do they have so many people in the band when all you hear is synth?</t>
  </si>
  <si>
    <t>@Jimi971 @Beatlebaby64 @jenniferkrneta @ninekiller @juliematthews50 🖐️I'm awake, enjoying my gloriously comfy bed, ceiling fan on high, window open, 3 blankets on &amp;amp; coffee brewing thanks to my husband who set the delay last nite 👍</t>
  </si>
  <si>
    <t>Thanks @ninekiller 
I went to YouTube to see what #arcadefire was and now I'm suicidal</t>
  </si>
  <si>
    <t>RT @EmilyMurray: OMG this Arcade Fire performance makes me embarrassed for music. #SNL</t>
  </si>
  <si>
    <t>@Beatlebaby64 @Jimi971 @jenniferkrneta @ninekiller @juliematthews50 Only enough for 3 deli containers that are now in the freezer</t>
  </si>
  <si>
    <t>I love Scott.  I wish I had half his energy &amp;amp; gumption
@ScottPresler https://t.co/nj4eJUO4KM</t>
  </si>
  <si>
    <t>RT @theonlypaulcook: Find someone who looks at you the way @AP4Liberty looks at firearms #2A https://t.co/u9htnHLAPL</t>
  </si>
  <si>
    <t>@FoxNews @WattersWorld No.</t>
  </si>
  <si>
    <t>Poor Hilz.  Old girl just needs to go spend time with the grand babies.  She's living on borrowed time https://t.co/3Ekjs3cf6b</t>
  </si>
  <si>
    <t>You knew it was coming, cue the laugh track!  @ninekiller @Beatlebaby64 @Jimi971 @ShwMeGrl @RAWPWR99FATBOY @juliematthews50 @MarcCox971 @jallman971 @SpeakerTimJones @anniefreyshow @tonycolombo971 https://t.co/6KMKaSBsN4</t>
  </si>
  <si>
    <t>@ATeamMom1 @ninekiller @juliematthews50 @jenniferkrneta @Beatlebaby64 @Jimi971 @anniefreyshow LOLZ during this intermission, I threw some Slap Shot vids to the TV &amp;amp; we laughed so hard!</t>
  </si>
  <si>
    <t>@Jimi971 @Beatlebaby64 @ninekiller @juliematthews50 @jenniferkrneta @anniefreyshow  https://t.co/c8VszGHtTp</t>
  </si>
  <si>
    <t>@Beatlebaby64 @ninekiller @Jimi971 @juliematthews50 @jenniferkrneta @anniefreyshow How's your meat, Shar?  Firm?  Warm all the way through? 😆😆😆</t>
  </si>
  <si>
    <t>Again, I decided to pick a fight on Nikki Sixx's stupid post about a shooting near his home.  No details, just a blanket statement "more gun laws" blah blah blah.  Waiting for blowback &amp;amp; a block.  It's okay.  I'll not buy his albums.</t>
  </si>
  <si>
    <t>@TheVetGamer @AaronKozar @NikkiSixx Bullshit.</t>
  </si>
  <si>
    <t>@TheVetGamer @AaronKozar @NikkiSixx Try subbing in any of the other amendments &amp;amp; see how you feel about that statement.  "You have to be 21 for free speech and even then, you have to have a license to criticize your president".  "You have to be 21 &amp;amp; regulated before you get legal representation"</t>
  </si>
  <si>
    <t>@NikkiSixx Isn't it already to shoot in a mall #NoGunZone?  Do you know if it was a legal gun owner protecting his/her life?  Or, was it another Illegal interloper with an illegal handgun?  Why don't you find out before posting this?</t>
  </si>
  <si>
    <t>@AP4Liberty @blackrainord Just don't put it on Facistbook AP!</t>
  </si>
  <si>
    <t>RT @jo_casey_jo: Got some trigger time in while getting to promote @AP4Liberty! https://t.co/pxIXORmft9</t>
  </si>
  <si>
    <t>@ninekiller @Beatlebaby64 @Jimi971 @jenniferkrneta @juliematthews50 @anniefreyshow ONG Where ever do you find this stuff?!?!</t>
  </si>
  <si>
    <t>RT @DiamondandSilk: Now all of a sudden McCabe is making claims that he has memos on Trump. Wonder did he get that dumb idea from James Com…</t>
  </si>
  <si>
    <t>@Beatlebaby64 @jenniferkrneta @ninekiller @Jimi971 @juliematthews50 @anniefreyshow That was Paul Stanley 😐</t>
  </si>
  <si>
    <t>@ATeamMom1 @juliematthews50 @ninekiller @jenniferkrneta @Beatlebaby64 @Jimi971 @anniefreyshow How is that even possible?!?!</t>
  </si>
  <si>
    <t>@jenniferkrneta @Beatlebaby64 @ninekiller @Jimi971 @juliematthews50 @anniefreyshow I miss Paul Stastny really really really bad</t>
  </si>
  <si>
    <t>@Patrici15767099  https://t.co/IBGGt8CRty</t>
  </si>
  <si>
    <t>Holy Fcking Hell ~ 
 https://t.co/8wJWVCzJR7</t>
  </si>
  <si>
    <t>RT @jamfh7: @anniefreyshow https://t.co/6UHiHCSFzY</t>
  </si>
  <si>
    <t>Lookie lookie.  Come to Momma. https://t.co/xGnZbPZCh6</t>
  </si>
  <si>
    <t>RT @KrisParonto: Slander the @FBI and Law Enforcement?! You’ve got to be shitting me Andy. You , James and your @BarackObama appointed synd…</t>
  </si>
  <si>
    <t>RT @MarkSimoneNY: Andrew McCabe lost his career and his pension covering up Hillary’s mess and maneuvering things to keep her from being ch…</t>
  </si>
  <si>
    <t>Doing my meal delivery with my Mazda6 &amp;amp; listening to @anniefreyshow on @971FMTalk !</t>
  </si>
  <si>
    <t>RT @Jimi971: @Beatlebaby64 @ninekiller @Lautergeist @juliematthews50 @jenniferkrneta On the count of three, everyone retweet this to @annie…</t>
  </si>
  <si>
    <t>@dbongino @JackPosobiec NO.</t>
  </si>
  <si>
    <t>@SpeakerTimJones @georgesoros @BarackObama @EricHolder @CleanMissouri It makes me happy that someone much smarter than me and so well connected believes how evil Soros is https://t.co/ahKb7zRHf0</t>
  </si>
  <si>
    <t>RT @SpeakerTimJones: Nothing @ all “clean” about the @georgesoros @BarackObama @EricHolder funded @CleanMissouri project. It’s all leftwing…</t>
  </si>
  <si>
    <t>RT @FoxNews: Moments ago, @FLOTUS wished everyone a Happy #StPatricksDay. https://t.co/FTLbGumg3b</t>
  </si>
  <si>
    <t>@LisaMei62 No kidding 😐</t>
  </si>
  <si>
    <t>RT @TwitchyTeam: PERFECT fit found? Kyle Kashuv gives David Hogg a HELPFUL (and hilariously realistic) career tip https://t.co/l1VMJDa8Cx</t>
  </si>
  <si>
    <t>Watch this thread ... https://t.co/YwE7hwj4Wz</t>
  </si>
  <si>
    <t>@Jimi971 @ShwMeGrl @Beatlebaby64 @ninekiller @juliematthews50 @jenniferkrneta Yummeh!!
Braggin' on my dinner right here, in case you all missed it on the other post https://t.co/fpCAfEtYYb</t>
  </si>
  <si>
    <t>@ninekiller @juliematthews50 @jallman971 @Beatlebaby64 @Jimi971 @RAWPWR99FATBOY 😅🤣😀😂😃🤣😆</t>
  </si>
  <si>
    <t>@Beatlebaby64 @ninekiller @juliematthews50 @jenniferkrneta @Jimi971 You are pretty sick my dear.  Why I digs you</t>
  </si>
  <si>
    <t>@Jimi971 @Beatlebaby64 @ninekiller @juliematthews50 @jenniferkrneta Grrr can't watch ~ casting Kansas albums to my TV 😉😉😉
My friends in Portrait: Music of Kansas announced their next date at Atomic Cowboy ~ so fucking excited I almost pissed myself
#KansasIsMyJamMan</t>
  </si>
  <si>
    <t>@Jimi971 @jenniferkrneta @ninekiller @Beatlebaby64 @juliematthews50 Making all this stew, now I'm hungry.  Cooking my taters separate to move'm along faster https://t.co/sDeQJN6596</t>
  </si>
  <si>
    <t>@Jimi971 @jenniferkrneta @ninekiller @Beatlebaby64 @juliematthews50  https://t.co/RxJzRgZqfa</t>
  </si>
  <si>
    <t>@Beatlebaby64 @juliematthews50 @ninekiller @jenniferkrneta @Jimi971 Oooooh. Myyyyyy.  Gaaaaawd.</t>
  </si>
  <si>
    <t>@corky_phillips @KaivanShroff Secret ingredient ~ bacon</t>
  </si>
  <si>
    <t>@corky_phillips @KaivanShroff I was cooking meat! https://t.co/aHbJ5EMUn1</t>
  </si>
  <si>
    <t>@jenniferkrneta Gunter glieben glauten globen</t>
  </si>
  <si>
    <t>@jenniferkrneta .#GOALS</t>
  </si>
  <si>
    <t>@juliematthews50 @ninekiller @jenniferkrneta @Jimi971 @Beatlebaby64 Awesome!  Gurl got balance!</t>
  </si>
  <si>
    <t>@ninekiller @Beatlebaby64 @juliematthews50 @jenniferkrneta @Jimi971 I gotta cook...some delish venison stew</t>
  </si>
  <si>
    <t>@corky_phillips @KaivanShroff As you all sit around, hand ringing and pearl clutching, I'm cooking for 3 homeless people who just got placed.  Get off Twitter and do something. https://t.co/zrzyqhbOPb</t>
  </si>
  <si>
    <t>@corky_phillips @KaivanShroff Okay.  Accept my liberal thought that y'all suck</t>
  </si>
  <si>
    <t>@juliematthews50 @Beatlebaby64 @ninekiller @jenniferkrneta @Jimi971  https://t.co/Lj06xE7NuH</t>
  </si>
  <si>
    <t>@ninekiller @jenniferkrneta @Jimi971 @Beatlebaby64 @juliematthews50 🤘🤘🤘🤘🤘</t>
  </si>
  <si>
    <t>@jenniferkrneta @ninekiller @Jimi971 @Beatlebaby64 @juliematthews50 As my phone blew up at the shop and save I was thinking the exact same thing</t>
  </si>
  <si>
    <t>Why.  Why @KSHE95 ?  Why can't HD3 have all today's rock?  Pleeeeeeease, we're begging you https://t.co/nqSp1D5GOT</t>
  </si>
  <si>
    <t>@ninekiller @Beatlebaby64 @Jimi971 @juliematthews50 @jenniferkrneta HAHAHAHA ~ busted out laughing at Clarkson Eye ... Everyone thinks I'm nuts</t>
  </si>
  <si>
    <t>@Jimi971 @Beatlebaby64 @ninekiller @juliematthews50 @jenniferkrneta I love the Porter Waggoner, Ferlon Huskey, Marty Robbins days *sigh*</t>
  </si>
  <si>
    <t>Yeah, retty harsh on ALL women in engineering, but ... https://t.co/FEmwj1MImQ</t>
  </si>
  <si>
    <t>Headed to the sto' y'all.  Wish me luck.  I don't go often ...</t>
  </si>
  <si>
    <t>@ninekiller @Beatlebaby64 @Jimi971 @juliematthews50 @jenniferkrneta Elvis has left the planet ...</t>
  </si>
  <si>
    <t>@Jimi971 @Beatlebaby64 @ninekiller @juliematthews50 @jenniferkrneta Raised on old school country.  I can't abide by today's country.  Except I'm going to Little Big Town...</t>
  </si>
  <si>
    <t>@Praxicylene @KaivanShroff But I'm not nasty.  I'm an equal opportunist</t>
  </si>
  <si>
    <t>@Praxicylene @KaivanShroff Possibly 😎</t>
  </si>
  <si>
    <t>@Beatlebaby64 OMG 🤣😀😆🤣😅</t>
  </si>
  <si>
    <t>@Jimi971 @Beatlebaby64 @ninekiller @juliematthews50 @jenniferkrneta My baby ALMOST went to school there, ALMOST played soccer there.  Alas, he's at Maryville, close to home &amp;amp; close to his Momma.</t>
  </si>
  <si>
    <t>Horny O'Hobag 
😀😅🤣😆😂 https://t.co/uyKoyPiEiu</t>
  </si>
  <si>
    <t>@Praxicylene @KaivanShroff It's how I roll 😻</t>
  </si>
  <si>
    <t>RT @brithume: Sorry David, but Trump’s unseemly cheering about McCabe’s firing does not negate the fact that he was determined by the FBI i…</t>
  </si>
  <si>
    <t>RT @dbongino: When the extent of your corruption, hubris,&amp;amp; vitriol becomes known,you will take your rightful place as a disgrace to our cou…</t>
  </si>
  <si>
    <t>@RAWPWR99FATBOY Saw this on FB in the small screen ~ now I see it's running in reverse &amp;amp; people were coming down backwards!  Holy hell</t>
  </si>
  <si>
    <t>RT @USATrump45: RETWEET if you're glad Andrew McCabe was FIRED!
#MAGA 🇺🇸 https://t.co/dknqdya2yK</t>
  </si>
  <si>
    <t>RT @blckriflecoffee: Makin' the coffee Irish today! 😉 https://t.co/G74EonJXBJ</t>
  </si>
  <si>
    <t>@RAWPWR99FATBOY Next he's going to tell us what wet wipes he recommends for cleaning his tight ass</t>
  </si>
  <si>
    <t>@ninekiller I made the mistake of putting a response on the original post.  Waiting for the attacks to come at me in 3 ... 2 ...</t>
  </si>
  <si>
    <t>@KaivanShroff  https://t.co/QFUw8nwU52</t>
  </si>
  <si>
    <t>RT @AlanDersh: Cynthia Nixon may run for Gov of NY. She has collaborated with Israel haters Jewish Voice for Peace and Vanessa Redgrave in…</t>
  </si>
  <si>
    <t>Keep in mind, Yazidi Christians were denied refuge in our country by the previous administration. https://t.co/ToyhAI7s9p</t>
  </si>
  <si>
    <t>@KevinJacksonTBS We need to open a whole new wing of #GITMO until we can reinstate the #FiringSquad.  Put out a message to those who hate America</t>
  </si>
  <si>
    <t>Whoops ... https://t.co/1UxXlKGOAs</t>
  </si>
  <si>
    <t>@Jimi971 @Beatlebaby64 @ninekiller @juliematthews50 @jenniferkrneta I'm up Daddy!  
@juliematthews50 ~ that's so NUTS!!</t>
  </si>
  <si>
    <t>I'm a bois d'arc girl
#TheOzarks
#ImALaker
#ImNotAnFT https://t.co/JKPnlZxIAa</t>
  </si>
  <si>
    <t>Honestly, if we just put @HillaryClinton in #GITMO, the others can just have a slap on the wrist https://t.co/nAJCdYNvmi</t>
  </si>
  <si>
    <t>Jesus, God ... dashcam video of the bridge collapse.  Also, an engineer called days before &amp;amp; reported cracking on the north end
 https://t.co/TTHGYMxoMu</t>
  </si>
  <si>
    <t>@FoxNews @PhilippeReines But it would have been acceptable to fire him a month before?  A year before?  Thank God he WAS fired before taxpayers were on the hook to pay this seditionist a lifetime of income!</t>
  </si>
  <si>
    <t>@seanmdav @VAKruta Jesus H Roosevelt Christ.  These people are soulless</t>
  </si>
  <si>
    <t>@JackPosobiec  https://t.co/GR3XADwo2T</t>
  </si>
  <si>
    <t>RT @dbongino: Mike Flynn was criminally prosecuted despite the FBI (led by Comey and McCabe) acknowledging that he was transparent in his i…</t>
  </si>
  <si>
    <t>Still on the fence about your #MoSen nominee? Here, let me help you out.  You do NOT have to vote for #JoshHawley just bc someone designated him as our candidate.
@AP4Liberty #AustinPetersenForSenate 
#FireClaire🔥
 https://t.co/YnidkPjVNq</t>
  </si>
  <si>
    <t>@MailOnline Really.  Such hard-hitting journalism for Cosmopolitan.  
What?  Oh, sorry Daily Mail</t>
  </si>
  <si>
    <t>RT @marklevinshow: One leaker down.  More to go. https://t.co/opNwRelx1T</t>
  </si>
  <si>
    <t>@RepSwalwell How dare you speak this way to our president Mr Representative.  I will actively work to unseat you.
For too long, you bastards get up to DC &amp;amp; start thinking how over-impirtant you are. This is the REAL world.  We love DJT bc we HATE Politicians.</t>
  </si>
  <si>
    <t>@Jimi971 Soon, @MSNBC will release Stormy"s Russian name: SLUTskaya</t>
  </si>
  <si>
    <t>This completely busts the "affordable" part of the "Affordable Care Act, doesn't it?
 https://t.co/TOts7y3QX9</t>
  </si>
  <si>
    <t>Yes.  Rid our top law enforcement of those who think the laws don't apply to them &amp;amp; they get their own set of laws.  Cheers! https://t.co/lzGzKSVOmU</t>
  </si>
  <si>
    <t>I find myself in the two-spacer camp.  How did this happen?! (Hangs head in shame)  
https://t.co/rQEYlrzqTV</t>
  </si>
  <si>
    <t>I got one Lib friend crabbing about McCabe being fired for doing his job bc Trump is evil
#LolololololololoL</t>
  </si>
  <si>
    <t>Well, shit
 https://t.co/TP84wdOvd3</t>
  </si>
  <si>
    <t>He did it.  Jeff Sessions finally moved.  McCabe is OUT.
https://t.co/QXE3RsKoYH</t>
  </si>
  <si>
    <t>Oh @Beatlebaby64 !  
Saw this on FB, thought you'd like it https://t.co/PDynJZk5qQ</t>
  </si>
  <si>
    <t>RT @ACTforAmerica: We Agree: "Tolerance of intolerance is cowardice."
@Ayaan @AHAFoundation 
#FridayFeeling https://t.co/mfo34xZ46N</t>
  </si>
  <si>
    <t>Why are people flying with dogs?  What ever happened to the old days when people just drove cars and put their dogs on top? https://t.co/hrxbX622yQ</t>
  </si>
  <si>
    <t>What is the deal with all these national ads on the radio that the voice sounds fake, yet nasally?  How is that even possible??</t>
  </si>
  <si>
    <t>RT @ShowMe: As #MOLeg goes on spring break we'll be giving a half-time report at 1:25 on @971FMTalk @MarcCox971 
LISTEN LIVE: https://t.co/…</t>
  </si>
  <si>
    <t>Well THIS should help with our debt situation, that these fuckers are off the streets.  
What sucks is there are thousands of fuckers just like them across America 😒😐
https://t.co/LN4X7mTJaW</t>
  </si>
  <si>
    <t>I'd hire #SaulGoodman before I hire this unethical POS https://t.co/uXxrIa4SSk</t>
  </si>
  <si>
    <t>Wait, what about client confidentiality?  Why is her attorney talking to anyone in the media?!
Mark that attorney as a solid scheister.  Do not hire him. https://t.co/a4Ylnsdm4P</t>
  </si>
  <si>
    <t>Just shut up.
No one cares. https://t.co/a4Ylnsdm4P</t>
  </si>
  <si>
    <t>@ninekiller yeah, that happens.  I'm the same way about Amy Winehouse 😟</t>
  </si>
  <si>
    <t>@ninekiller And after last night, I read that and have a better understanding of China</t>
  </si>
  <si>
    <t>@Cowboy__Country @tkinder @Monetti4Senate 🤣😂😀😆</t>
  </si>
  <si>
    <t>We need to open a whole new wing at #GITMO ~ put her there with all the other traitors https://t.co/o3RRwsV7X3</t>
  </si>
  <si>
    <t>@LVNancy @steph93065 @carrieksada @ChristieC733 @John_KissMyBot @Hoosiers1986 @AMErikaNGIRLBOT @GrizzleMeister @SandraTXAS @StacyLStiles @starcrosswolf @TheTrumpLady We need a whole new wing at #GITMO for her, Comey, et al</t>
  </si>
  <si>
    <t>But it's okay.  He's a #CronyCapitalistDemocrat https://t.co/TxPcxs2FOx</t>
  </si>
  <si>
    <t>@juliematthews50 @genevievewood @JJCarafano @JimTalent @jallman971 @ninekiller @Beatlebaby64 Missed you last nite, and @Jimi971 too!  We did get a surprise drop-in from @RAWPWR99FATBOY who apparently got out of some cooking class or something 😆😁😄</t>
  </si>
  <si>
    <t>@AkesAndPain @LohrDistCo 
#FiveFarmsIrishCream</t>
  </si>
  <si>
    <t>RT @Jimi971: @jallman971 Did Jeff Flake just say “Americanus Never Trumpus” in the last news break? Lol what a Americanus Doofus! @denyssch…</t>
  </si>
  <si>
    <t>@Pippy971 @jallman971 @genevievewood @JJCarafano @JimTalent @971FMTalk @Heritage @denysschaefer @kbailey971 What a great turn out ~ AGAIN!  Met some first-timers, one who was a Rush fan (Limbaugh, not the band) whose friend brought him out.  He was floored at the caliber of intelligence @jallman971 brings to our ears.</t>
  </si>
  <si>
    <t>RT @JJCarafano: Will miss him at CIA :-( https://t.co/9hXW1kIABx</t>
  </si>
  <si>
    <t>@jallman971 @971FMTalk @genevievewood  https://t.co/7nTO17d8ID</t>
  </si>
  <si>
    <t>@Jimi971 @jallman971 @kbailey971 @JJCarafano @denysschaefer @Pippy971 @anniefreyshow BRILLIANT!</t>
  </si>
  <si>
    <t>RT @JJCarafano: @anniefryshow killing it on @jallman971 @971FMTalk https://t.co/3TUyFGdmvM</t>
  </si>
  <si>
    <t>And @HillaryClinton was probably paid a quarter of a million dollars for that trype
@anniefreyshow @jallman971 @JJCarafano #Allman971</t>
  </si>
  <si>
    <t>RT @WayneDupreeShow: I dont believe majority of Americans are against torture of enemies who harm Americans, #realtalk #dupree  https://t.c…</t>
  </si>
  <si>
    <t>@genevievewood @jallman971 Jamie's a great host, a true gentleman.  He even helps old ladies with their wheelchairs. 
#Allman971 #AITE</t>
  </si>
  <si>
    <t>@RAWPWR99FATBOY @Beatlebaby64 @genevievewood @971FMTalk @jeffallen971 @jallman971 Right?  It's such a novel concept.  Write a law, enforce said law equally across everyone.
Such BS that SOME people (@HillaryClinton &amp;amp; @BillClinton)keep escaping the law bc of CHEATING</t>
  </si>
  <si>
    <t>@Beatlebaby64 @HillaryClinton The reason @HillaryClinton doesn't stay home &amp;amp; be a grandma is bc she's completely devoud of any feeling whatsoever.
So sad ~</t>
  </si>
  <si>
    <t>The beautiful #MilkMaids! #Allman971 #AitE
#AllmanInTheEvening
@jallman971 @kbailey971 @Pippy971 @denysschaefer
@LohrDistCo
Love these girls ~ ❤️❤️❤️ https://t.co/bbcdCg7M92</t>
  </si>
  <si>
    <t>From last night's #AllmanInTheEvening #AitE
@jallman971 @genevievewood 
@971FMTalk @kbailey971 @Pippy971 @denysschaefer  #Allman971 https://t.co/CBxPx8QBCS</t>
  </si>
  <si>
    <t>You know, old girl, this shit wouldn't happen if you stayed home &amp;amp; played with your grandkids.
@HillaryClinton 
https://t.co/I8fCk4hf4V</t>
  </si>
  <si>
    <t>RT @AG_Conservative: Seriously, this kid just repeats every embarrassing and clearly deceptive Everytown talking point as if it's some geni…</t>
  </si>
  <si>
    <t>The YWCA overnight this Saturday is sold out but we still have spots open for this cool lecture @RAWPWR99FATBOY https://t.co/chNHKl9qq0</t>
  </si>
  <si>
    <t>Oh yeah, @RAWPWR99FATBOY https://t.co/bgzWRYXkgq</t>
  </si>
  <si>
    <t>RT @Beatlebaby64: @Lautergeist @RAWPWR99FATBOY @ninekiller @kbailey971 @Pippy971 @denysschaefer @anniefreyshow @jeffallen971 @jallman971 Ri…</t>
  </si>
  <si>
    <t>@Kwebblittle @jallman971 @JJCarafano @971FMTalk @jeffallen971 Were you there @Kwebblittle ?!  I need to meet you, get you in #ThePod 😁</t>
  </si>
  <si>
    <t>@grandmaj2 Oh laws, we poked that bear last night &amp;amp; it was so much fun watching them turn on themselves, like they totally forgot we were there!!</t>
  </si>
  <si>
    <t>Love seeing most of #ThePod tonight!  @Beatlebaby64 @RAWPWR99FATBOY @ninekiller &amp;amp; Mrs 9k, @kbailey971 @Pippy971 @denysschaefer @anniefreyshow @jeffallen971 @jallman971 
You all make me so happy, I can't even tell you.
#AllmanInTheEvening
#ResistWeMunch y'all
#Allman971</t>
  </si>
  <si>
    <t>@jallman971 @genevievewood @971FMTalk @jeffallen971 As always, it's great to be in your orbit again, Sir James!</t>
  </si>
  <si>
    <t>These people.  Again, my brain swelled from all the smart I got tonight.  Love all y'all ❤️
@jallman971 
@JJCarafano 
@genevievewood 
@JimTalent 
#AllmanInTheEvening #AitE
#Allman971 @jeffallen971 https://t.co/ocS5asUplu</t>
  </si>
  <si>
    <t>One of my fave #Allman971 regulars, Mr @JJCarafano.  You're a straight-shooter with just the right amount of levity, so we can all not be so damn serious all the time!  
#AITE #AllmanInTheEvening @jallman971 @971FMTalk @jeffallen971 https://t.co/ByIAfth5bu</t>
  </si>
  <si>
    <t>I finally got to meet @genevievewood and she's as smart and funny in person as she is on #Allman971.  Thank you for being so gracious! 
#AllmanInTheEvening #AitE 
@971FMTalk @jeffallen971 @jallman971 https://t.co/StTzPsLTFu</t>
  </si>
  <si>
    <t>Another stupendous #AllmanInTheEvening event!  #AitE
Thank you, Mr Senator @JimTalent for your insights
 #Allman971 @jallman971 @971FMTalk @jeffallen971 
@kbailey971 @Pippy971 @denysschaefer https://t.co/7KpNyKYlN6</t>
  </si>
  <si>
    <t>RT @Beatlebaby64: @Pippy971 @jallman971 @genevievewood @JJCarafano @JimTalent @971FMTalk @Heritage @denysschaefer @kbailey971 Another enlig…</t>
  </si>
  <si>
    <t>We got a write up!  Helz yeah https://t.co/oY8mW5rbcX</t>
  </si>
  <si>
    <t>I love how @kilmeade is such a genuine guy.  Goes on #DGS971 &amp;amp; pays attention to what's being said, then closes with a zinger about staying dressed LOLOLOLOL @rachelz971 @tonycolombo971 @971FMTalk</t>
  </si>
  <si>
    <t>Nobody cares.  We're not better or worse off with this knowledge.  Whoopty-friggin-doo https://t.co/V6MxM8KwR7</t>
  </si>
  <si>
    <t>@michaeljknowles @KyleKashuv Don't let the screen door hit you on the way out</t>
  </si>
  <si>
    <t>@Monetti4Senate That truck is AMAZING!</t>
  </si>
  <si>
    <t>But it's okay, because they're Democrat Crony Capitalists
https://t.co/Ku0g9lwMNX</t>
  </si>
  <si>
    <t>BAN ALL ACCELERATED BRIDGE BUILDING https://t.co/xCUURIKUqG</t>
  </si>
  <si>
    <t>She running again? 
 https://t.co/hBGPNT3PQa</t>
  </si>
  <si>
    <t>@SweetGaelicGirl @Shaughn_A @Twitter @TwitterSupport @jack Me too!  I keep restarting my poor phone, THEN discovered a whole cache of Tweets sitting in DRAFTS!  Tried to change them a little &amp;amp; STILL won't post!</t>
  </si>
  <si>
    <t>This thread https://t.co/o6j72lyqF5</t>
  </si>
  <si>
    <t>RT @Cernovich: The country that built the Golden Gate bridge decades ago now cannot build a simple cement pedestrian bridge. America the Fa…</t>
  </si>
  <si>
    <t>RT @DailyMail: PICTURED: Emergency crews rushing to scene of collapsed pedestrian bridge in Miami https://t.co/9u5tMF0fnS https://t.co/HuqE…</t>
  </si>
  <si>
    <t>You know what @BarackObama?  You're a fucking TOOL
 https://t.co/9ItQChlfEx</t>
  </si>
  <si>
    <t>@ksdknews ...because Justin Trudeau is too busy dreaming of winning "Dancing With The Stars" to know what the facts are</t>
  </si>
  <si>
    <t>RT @KTHopkins: Dear @RealJack - this was NOT a murder. No one even used an AK-17. Or a gun thing. It was an honour killing based on extreme…</t>
  </si>
  <si>
    <t>.#MCS971 
Similar to what @Kwebblittle said
#NationalStudentWalkout https://t.co/DCcj3HOpR7</t>
  </si>
  <si>
    <t>She's a PREMIERE, most-respected Indian Geneologist ~ #TwilaBarnes is
#MCS971</t>
  </si>
  <si>
    <t>This whole Greitens thing just gets weirder and weirder.
#MCS971 
https://t.co/JHPTdl09Nl</t>
  </si>
  <si>
    <t>RT @genevievewood: Some people act. Some people talk. Some people focus on solutions that will truly help make our achools safer. Some peop…</t>
  </si>
  <si>
    <t>@Conservative_VW Dude.  I"m down.  I'd give up whiskey... https://t.co/HK1mDThRvo</t>
  </si>
  <si>
    <t>RT @MattWalshBlog: I would highly encourage pro-life students to organize a walkout very soon. Let's all see how the schools suddenly chang…</t>
  </si>
  <si>
    <t>Got my tickets to #FiveFingerDeathPunch and @breakingbenj this summer OMG, going to be rocking with my husband &amp;amp; sons 
🤘🤘🤘🤘🤘🤘🤘🤘🤘🤘</t>
  </si>
  <si>
    <t>Looking forward to tonite's #AitE with #ThePod!  Getting our brains sharpened with @genevievewood @JimTalent @JJCarafano &amp;amp; @jallman971 
@971FMTalk #Allman971</t>
  </si>
  <si>
    <t>@AllmanReport Bias, much?? 🤔</t>
  </si>
  <si>
    <t>RT @theblaze: Two Erie County schools, however will hold a Mass and a prayer service for victims of February’s deadly Florida mass killing.…</t>
  </si>
  <si>
    <t>And y'all downstate wonder why #Illinois is so screwed up.
https://t.co/A71oWD95Br</t>
  </si>
  <si>
    <t>Well, now.  This is interesting.  I did eat some veggies recently...
https://t.co/AxmtDOlSNU</t>
  </si>
  <si>
    <t>RT @charlescwcooke: “They can’t scream because I cut their throats” might need a little more workshopping. https://t.co/qujh4XhrOg</t>
  </si>
  <si>
    <t>@charlescwcooke @CBodhar Yeah, I think "transect" works better.  Sounds all doctor-like.</t>
  </si>
  <si>
    <t>@GayPatriot She started a GoFundMe page to raise money to go to law school.  Because (SNAP!) suddenly, all her classes at #Parkland qualify her for to get in to law.</t>
  </si>
  <si>
    <t>Wackabird #KimGardner says "NO PAPER REPORTS, NO EMAILS!". How are detectives communicating any findings to #MdmeGardner?  
Verbally. Yes.  That's what SHE said.  
@EricGreitens 
https://t.co/A5vkClj1rJ</t>
  </si>
  <si>
    <t>RT @SpookyIsles: Ghost hunting equipment 'Back to https://t.co/P4SwZzeGkV #ghosthunting #gloucestershire #paranormalresearch #westmidlands…</t>
  </si>
  <si>
    <t>Poor #LizzieWarren.  Cherokee Geneologist expert Twila Barnes has again come out to refute @SenWarren and her Ludacris claim of being an #IndigenousAmerican 
https://t.co/XYnW2sgTEr</t>
  </si>
  <si>
    <t>@JulieLvsPACKERS @GayPatriot God could just help him up, except...</t>
  </si>
  <si>
    <t>@SmokeyBear2018 @StacyOnTheRight I had a great article from The Blaze I wanted to share and I couldn't with the link attached.</t>
  </si>
  <si>
    <t>@StacyOnTheRight Me three!  I keep finding my tweets in Drafts!  When I try to send them from there, nothing happens!</t>
  </si>
  <si>
    <t>@jackoconnor82 @zeperfectpisces @Uzzy66 @LeahNTorres Sewing closes a divide, a rent, a tear.  Sewing doesn't divide or finish anything.  But, nice job.</t>
  </si>
  <si>
    <t>Ouch!  Poor #KimGardner is probably squirming from the burn
 https://t.co/ubW2NHfi8h</t>
  </si>
  <si>
    <t>RT @CatSzeltner: When you call quiche "Egg Pie" on #PiDay because you gave up dessert for Lent, but still want to celebrate. #CatholicProbl…</t>
  </si>
  <si>
    <t>He's out of #FacebookJail and all I hear is the opening guitar of @BonJovi #YoungGuns in the background...
@AP4Liberty #FireClaire🔥 #MoSen
#AustinForSenate https://t.co/Y0XOsxOhWI</t>
  </si>
  <si>
    <t>Hi fives all 'round @anniefreyshow 
We sure got those #abortion libs all riled up, didn't we!  They're completely attacking one another &amp;amp; not us! https://t.co/NvtZYDzCCh</t>
  </si>
  <si>
    <t>@anniefreyshow @realDonaldTrump Y'all not corrected my spelling yet.  Come on!
#Grammar</t>
  </si>
  <si>
    <t>@ReaverBait @sparkerly @LeahNTorres Like the @ppact video someone was making a dead aborted baby parts dance?  Yeah, saw that, too</t>
  </si>
  <si>
    <t>RT @anniefreyshow: @LeahNTorres @Lautergeist @zeperfectpisces Good heavens! It IS sow..
And the "sow" (rhymes with cow) you're thinking of…</t>
  </si>
  <si>
    <t>@Uzzy66 @LeahNTorres @zeperfectpisces  https://t.co/RaLtZgtKsv</t>
  </si>
  <si>
    <t>...thereby sealing their doom... https://t.co/JAM2udRdPo</t>
  </si>
  <si>
    <t>@anniefreyshow @realDonaldTrump Now she's coming at me for correcting someone's Grammer, says she's sleep deprived.  Great ~ a sleep-deprived murderer.</t>
  </si>
  <si>
    <t>@LeahNTorres @zeperfectpisces Just what I want to hear.  A sleep-deprived abortionist.</t>
  </si>
  <si>
    <t>@LeahNTorres @zeperfectpisces  https://t.co/35bohd2u5O</t>
  </si>
  <si>
    <t>@anniefreyshow @realDonaldTrump Shhhh...let's keep her tweeting so she is distracted &amp;amp; can't kill more babies ...</t>
  </si>
  <si>
    <t>@sparkerly @LeahNTorres Well, with the exception of the female babies in the womb who probably DO scream in pain, you just choose not to listen with a stethoscope</t>
  </si>
  <si>
    <t>@zeperfectpisces @LeahNTorres *sow https://t.co/i76EwnXrxZ</t>
  </si>
  <si>
    <t>@BenHowe I'd fucking buy Twitter &amp;amp; kick off the Democrats</t>
  </si>
  <si>
    <t>Well of COURSE they got violent!  
Fucking thugs.  
#NationalSchoolWalkoutDay 
https://t.co/XMDv4u4JyZ</t>
  </si>
  <si>
    <t>@atlasshrugs  https://t.co/50tjD3Lo0L</t>
  </si>
  <si>
    <t>@ImAndrewMarcus @gatewaypundit I hope she didn't tear her meniscus or put her back out, poor dear.  She should just stop this relentless campaigning (for what, I ask) &amp;amp; just go enjoy her grandkids</t>
  </si>
  <si>
    <t>Unfortunately, this will be yet ANOTHER loss for Republicans (like PA) &amp;amp; #ClaireBear will win AGAIN if @HawleyMO is the nominee!
So #&amp;amp;!@?$# frustrating! 
#FireClaire🔥#MoSen @AP4Liberty https://t.co/V2zofZcIMH</t>
  </si>
  <si>
    <t>@markknoller @HawleyMO Who's working in Jeff City for the people who elected him #MoAttyGen?  Did he put law students to work?  Interns?  Ridiculous!!
@AP4Liberty @Monetti4Senate #FireClaire🔥</t>
  </si>
  <si>
    <t>RT @ChrisDavisMMJ: And there he is - @realDonaldTrump https://t.co/LJIoVl5cUD</t>
  </si>
  <si>
    <t>Daaaaamn! https://t.co/lTf78kD8af</t>
  </si>
  <si>
    <t>Like THIS @MarcCox971 @Kwebblittle #MCS971 https://t.co/Dne9CGpKUv</t>
  </si>
  <si>
    <t>@carps Did you kiss him?!  I would have.  Right on the cheek</t>
  </si>
  <si>
    <t>Someone needs to organize a collection of newborn onesies on the lawn of Congress for all the aborted babies 
@LilaGraceRose</t>
  </si>
  <si>
    <t>Again, I tried to repost something that had KEY WORDS in my comment and it was filtered to DRAFTS as a Failed Tweet.
Is it just me?</t>
  </si>
  <si>
    <t>.#WalkUPNotOut https://t.co/4nSyppZVdQ</t>
  </si>
  <si>
    <t>BURN THE FUCKER TO THE GROUND.
SPRINKLE THE ASHES WITH HOLY WATER AND SEA SALT
KICK THE ASHES TO THE WIND https://t.co/GDQVJzPJRa</t>
  </si>
  <si>
    <t>RT @benshapiro: So @LouisFarrakhan is fine with Twitter, but @scrowder gets suspended for comedy routines. @jack, you're making an ass of y…</t>
  </si>
  <si>
    <t>RT @chuckwoolery: It's amazing what a Capitalist can do in a very short time to turn around a failing economy. Trump is a Capitalist. So is…</t>
  </si>
  <si>
    <t>RT @nogimmickspod: In the last week Facebook banned @AP4Liberty for posting a sketch of a rifle and Twitter and YouTube suspended @scrowder…</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</si>
</sst>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77"/>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HYPERLINK("http://www.twitter.com/NathanBLawrence/status/998964251560759296", "998964251560759296")</f>
        <v/>
      </c>
      <c r="B2" s="2" t="n">
        <v>43242.68763888889</v>
      </c>
      <c r="C2" t="n">
        <v>0</v>
      </c>
      <c r="D2" t="n">
        <v>18</v>
      </c>
      <c r="E2" t="s">
        <v>13</v>
      </c>
      <c r="F2" t="s"/>
      <c r="G2" t="s"/>
      <c r="H2" t="s"/>
      <c r="I2" t="s"/>
      <c r="J2" t="n">
        <v>-0.6486</v>
      </c>
      <c r="K2" t="n">
        <v>0.209</v>
      </c>
      <c r="L2" t="n">
        <v>0.791</v>
      </c>
      <c r="M2" t="n">
        <v>0</v>
      </c>
    </row>
    <row r="3" spans="1:13">
      <c r="A3" s="1">
        <f>HYPERLINK("http://www.twitter.com/NathanBLawrence/status/998964118202744833", "998964118202744833")</f>
        <v/>
      </c>
      <c r="B3" s="2" t="n">
        <v>43242.68726851852</v>
      </c>
      <c r="C3" t="n">
        <v>0</v>
      </c>
      <c r="D3" t="n">
        <v>0</v>
      </c>
      <c r="E3" t="s">
        <v>14</v>
      </c>
      <c r="F3" t="s"/>
      <c r="G3" t="s"/>
      <c r="H3" t="s"/>
      <c r="I3" t="s"/>
      <c r="J3" t="n">
        <v>0</v>
      </c>
      <c r="K3" t="n">
        <v>0</v>
      </c>
      <c r="L3" t="n">
        <v>1</v>
      </c>
      <c r="M3" t="n">
        <v>0</v>
      </c>
    </row>
    <row r="4" spans="1:13">
      <c r="A4" s="1">
        <f>HYPERLINK("http://www.twitter.com/NathanBLawrence/status/998929808087289857", "998929808087289857")</f>
        <v/>
      </c>
      <c r="B4" s="2" t="n">
        <v>43242.59259259259</v>
      </c>
      <c r="C4" t="n">
        <v>0</v>
      </c>
      <c r="D4" t="n">
        <v>2</v>
      </c>
      <c r="E4" t="s">
        <v>15</v>
      </c>
      <c r="F4" t="s"/>
      <c r="G4" t="s"/>
      <c r="H4" t="s"/>
      <c r="I4" t="s"/>
      <c r="J4" t="n">
        <v>0</v>
      </c>
      <c r="K4" t="n">
        <v>0</v>
      </c>
      <c r="L4" t="n">
        <v>1</v>
      </c>
      <c r="M4" t="n">
        <v>0</v>
      </c>
    </row>
    <row r="5" spans="1:13">
      <c r="A5" s="1">
        <f>HYPERLINK("http://www.twitter.com/NathanBLawrence/status/998916115060477952", "998916115060477952")</f>
        <v/>
      </c>
      <c r="B5" s="2" t="n">
        <v>43242.55480324074</v>
      </c>
      <c r="C5" t="n">
        <v>0</v>
      </c>
      <c r="D5" t="n">
        <v>0</v>
      </c>
      <c r="E5" t="s">
        <v>16</v>
      </c>
      <c r="F5" t="s"/>
      <c r="G5" t="s"/>
      <c r="H5" t="s"/>
      <c r="I5" t="s"/>
      <c r="J5" t="n">
        <v>0.6369</v>
      </c>
      <c r="K5" t="n">
        <v>0</v>
      </c>
      <c r="L5" t="n">
        <v>0.417</v>
      </c>
      <c r="M5" t="n">
        <v>0.583</v>
      </c>
    </row>
    <row r="6" spans="1:13">
      <c r="A6" s="1">
        <f>HYPERLINK("http://www.twitter.com/NathanBLawrence/status/998916042645618688", "998916042645618688")</f>
        <v/>
      </c>
      <c r="B6" s="2" t="n">
        <v>43242.55460648148</v>
      </c>
      <c r="C6" t="n">
        <v>0</v>
      </c>
      <c r="D6" t="n">
        <v>0</v>
      </c>
      <c r="E6" t="s">
        <v>17</v>
      </c>
      <c r="F6" t="s"/>
      <c r="G6" t="s"/>
      <c r="H6" t="s"/>
      <c r="I6" t="s"/>
      <c r="J6" t="n">
        <v>0</v>
      </c>
      <c r="K6" t="n">
        <v>0</v>
      </c>
      <c r="L6" t="n">
        <v>1</v>
      </c>
      <c r="M6" t="n">
        <v>0</v>
      </c>
    </row>
    <row r="7" spans="1:13">
      <c r="A7" s="1">
        <f>HYPERLINK("http://www.twitter.com/NathanBLawrence/status/998915781869137921", "998915781869137921")</f>
        <v/>
      </c>
      <c r="B7" s="2" t="n">
        <v>43242.55388888889</v>
      </c>
      <c r="C7" t="n">
        <v>0</v>
      </c>
      <c r="D7" t="n">
        <v>8476</v>
      </c>
      <c r="E7" t="s">
        <v>18</v>
      </c>
      <c r="F7" t="s"/>
      <c r="G7" t="s"/>
      <c r="H7" t="s"/>
      <c r="I7" t="s"/>
      <c r="J7" t="n">
        <v>-0.802</v>
      </c>
      <c r="K7" t="n">
        <v>0.275</v>
      </c>
      <c r="L7" t="n">
        <v>0.725</v>
      </c>
      <c r="M7" t="n">
        <v>0</v>
      </c>
    </row>
    <row r="8" spans="1:13">
      <c r="A8" s="1">
        <f>HYPERLINK("http://www.twitter.com/NathanBLawrence/status/998915668241154048", "998915668241154048")</f>
        <v/>
      </c>
      <c r="B8" s="2" t="n">
        <v>43242.55356481481</v>
      </c>
      <c r="C8" t="n">
        <v>0</v>
      </c>
      <c r="D8" t="n">
        <v>0</v>
      </c>
      <c r="E8" t="s">
        <v>19</v>
      </c>
      <c r="F8" t="s"/>
      <c r="G8" t="s"/>
      <c r="H8" t="s"/>
      <c r="I8" t="s"/>
      <c r="J8" t="n">
        <v>-0.8807</v>
      </c>
      <c r="K8" t="n">
        <v>0.531</v>
      </c>
      <c r="L8" t="n">
        <v>0.469</v>
      </c>
      <c r="M8" t="n">
        <v>0</v>
      </c>
    </row>
    <row r="9" spans="1:13">
      <c r="A9" s="1">
        <f>HYPERLINK("http://www.twitter.com/NathanBLawrence/status/998915323557531648", "998915323557531648")</f>
        <v/>
      </c>
      <c r="B9" s="2" t="n">
        <v>43242.55261574074</v>
      </c>
      <c r="C9" t="n">
        <v>0</v>
      </c>
      <c r="D9" t="n">
        <v>6</v>
      </c>
      <c r="E9" t="s">
        <v>20</v>
      </c>
      <c r="F9">
        <f>HYPERLINK("https://video.twimg.com/ext_tw_video/998799105827614721/pu/vid/1280x720/9-IT_eqxZNlFd0yj.mp4?tag=3", "https://video.twimg.com/ext_tw_video/998799105827614721/pu/vid/1280x720/9-IT_eqxZNlFd0yj.mp4?tag=3")</f>
        <v/>
      </c>
      <c r="G9" t="s"/>
      <c r="H9" t="s"/>
      <c r="I9" t="s"/>
      <c r="J9" t="n">
        <v>-0.2284</v>
      </c>
      <c r="K9" t="n">
        <v>0.126</v>
      </c>
      <c r="L9" t="n">
        <v>0.789</v>
      </c>
      <c r="M9" t="n">
        <v>0.08400000000000001</v>
      </c>
    </row>
    <row r="10" spans="1:13">
      <c r="A10" s="1">
        <f>HYPERLINK("http://www.twitter.com/NathanBLawrence/status/998915208373592065", "998915208373592065")</f>
        <v/>
      </c>
      <c r="B10" s="2" t="n">
        <v>43242.55230324074</v>
      </c>
      <c r="C10" t="n">
        <v>0</v>
      </c>
      <c r="D10" t="n">
        <v>0</v>
      </c>
      <c r="E10" t="s">
        <v>21</v>
      </c>
      <c r="F10" t="s"/>
      <c r="G10" t="s"/>
      <c r="H10" t="s"/>
      <c r="I10" t="s"/>
      <c r="J10" t="n">
        <v>-0.5255</v>
      </c>
      <c r="K10" t="n">
        <v>0.184</v>
      </c>
      <c r="L10" t="n">
        <v>0.8159999999999999</v>
      </c>
      <c r="M10" t="n">
        <v>0</v>
      </c>
    </row>
    <row r="11" spans="1:13">
      <c r="A11" s="1">
        <f>HYPERLINK("http://www.twitter.com/NathanBLawrence/status/998914689303220226", "998914689303220226")</f>
        <v/>
      </c>
      <c r="B11" s="2" t="n">
        <v>43242.55086805556</v>
      </c>
      <c r="C11" t="n">
        <v>4</v>
      </c>
      <c r="D11" t="n">
        <v>5</v>
      </c>
      <c r="E11" t="s">
        <v>22</v>
      </c>
      <c r="F11" t="s"/>
      <c r="G11" t="s"/>
      <c r="H11" t="s"/>
      <c r="I11" t="s"/>
      <c r="J11" t="n">
        <v>0.508</v>
      </c>
      <c r="K11" t="n">
        <v>0</v>
      </c>
      <c r="L11" t="n">
        <v>0.892</v>
      </c>
      <c r="M11" t="n">
        <v>0.108</v>
      </c>
    </row>
    <row r="12" spans="1:13">
      <c r="A12" s="1">
        <f>HYPERLINK("http://www.twitter.com/NathanBLawrence/status/998911819417874437", "998911819417874437")</f>
        <v/>
      </c>
      <c r="B12" s="2" t="n">
        <v>43242.54295138889</v>
      </c>
      <c r="C12" t="n">
        <v>1</v>
      </c>
      <c r="D12" t="n">
        <v>0</v>
      </c>
      <c r="E12" t="s">
        <v>23</v>
      </c>
      <c r="F12" t="s"/>
      <c r="G12" t="s"/>
      <c r="H12" t="s"/>
      <c r="I12" t="s"/>
      <c r="J12" t="n">
        <v>-0.3612</v>
      </c>
      <c r="K12" t="n">
        <v>0.294</v>
      </c>
      <c r="L12" t="n">
        <v>0.706</v>
      </c>
      <c r="M12" t="n">
        <v>0</v>
      </c>
    </row>
    <row r="13" spans="1:13">
      <c r="A13" s="1">
        <f>HYPERLINK("http://www.twitter.com/NathanBLawrence/status/998911711313891329", "998911711313891329")</f>
        <v/>
      </c>
      <c r="B13" s="2" t="n">
        <v>43242.54265046296</v>
      </c>
      <c r="C13" t="n">
        <v>0</v>
      </c>
      <c r="D13" t="n">
        <v>1</v>
      </c>
      <c r="E13" t="s">
        <v>24</v>
      </c>
      <c r="F13">
        <f>HYPERLINK("http://pbs.twimg.com/media/DdzQfcnV0AAlu_l.jpg", "http://pbs.twimg.com/media/DdzQfcnV0AAlu_l.jpg")</f>
        <v/>
      </c>
      <c r="G13" t="s"/>
      <c r="H13" t="s"/>
      <c r="I13" t="s"/>
      <c r="J13" t="n">
        <v>-0.1027</v>
      </c>
      <c r="K13" t="n">
        <v>0.07199999999999999</v>
      </c>
      <c r="L13" t="n">
        <v>0.928</v>
      </c>
      <c r="M13" t="n">
        <v>0</v>
      </c>
    </row>
    <row r="14" spans="1:13">
      <c r="A14" s="1">
        <f>HYPERLINK("http://www.twitter.com/NathanBLawrence/status/998911671220539392", "998911671220539392")</f>
        <v/>
      </c>
      <c r="B14" s="2" t="n">
        <v>43242.54253472222</v>
      </c>
      <c r="C14" t="n">
        <v>0</v>
      </c>
      <c r="D14" t="n">
        <v>2</v>
      </c>
      <c r="E14" t="s">
        <v>25</v>
      </c>
      <c r="F14" t="s"/>
      <c r="G14" t="s"/>
      <c r="H14" t="s"/>
      <c r="I14" t="s"/>
      <c r="J14" t="n">
        <v>0</v>
      </c>
      <c r="K14" t="n">
        <v>0</v>
      </c>
      <c r="L14" t="n">
        <v>1</v>
      </c>
      <c r="M14" t="n">
        <v>0</v>
      </c>
    </row>
    <row r="15" spans="1:13">
      <c r="A15" s="1">
        <f>HYPERLINK("http://www.twitter.com/NathanBLawrence/status/998910324366565376", "998910324366565376")</f>
        <v/>
      </c>
      <c r="B15" s="2" t="n">
        <v>43242.53881944445</v>
      </c>
      <c r="C15" t="n">
        <v>0</v>
      </c>
      <c r="D15" t="n">
        <v>0</v>
      </c>
      <c r="E15" t="s">
        <v>26</v>
      </c>
      <c r="F15" t="s"/>
      <c r="G15" t="s"/>
      <c r="H15" t="s"/>
      <c r="I15" t="s"/>
      <c r="J15" t="n">
        <v>0</v>
      </c>
      <c r="K15" t="n">
        <v>0</v>
      </c>
      <c r="L15" t="n">
        <v>1</v>
      </c>
      <c r="M15" t="n">
        <v>0</v>
      </c>
    </row>
    <row r="16" spans="1:13">
      <c r="A16" s="1">
        <f>HYPERLINK("http://www.twitter.com/NathanBLawrence/status/998905059730739201", "998905059730739201")</f>
        <v/>
      </c>
      <c r="B16" s="2" t="n">
        <v>43242.52429398148</v>
      </c>
      <c r="C16" t="n">
        <v>4</v>
      </c>
      <c r="D16" t="n">
        <v>0</v>
      </c>
      <c r="E16" t="s">
        <v>27</v>
      </c>
      <c r="F16" t="s"/>
      <c r="G16" t="s"/>
      <c r="H16" t="s"/>
      <c r="I16" t="s"/>
      <c r="J16" t="n">
        <v>0.6361</v>
      </c>
      <c r="K16" t="n">
        <v>0</v>
      </c>
      <c r="L16" t="n">
        <v>0.874</v>
      </c>
      <c r="M16" t="n">
        <v>0.126</v>
      </c>
    </row>
    <row r="17" spans="1:13">
      <c r="A17" s="1">
        <f>HYPERLINK("http://www.twitter.com/NathanBLawrence/status/998904561577361409", "998904561577361409")</f>
        <v/>
      </c>
      <c r="B17" s="2" t="n">
        <v>43242.52291666667</v>
      </c>
      <c r="C17" t="n">
        <v>1</v>
      </c>
      <c r="D17" t="n">
        <v>0</v>
      </c>
      <c r="E17" t="s">
        <v>28</v>
      </c>
      <c r="F17" t="s"/>
      <c r="G17" t="s"/>
      <c r="H17" t="s"/>
      <c r="I17" t="s"/>
      <c r="J17" t="n">
        <v>-0.0772</v>
      </c>
      <c r="K17" t="n">
        <v>0.051</v>
      </c>
      <c r="L17" t="n">
        <v>0.949</v>
      </c>
      <c r="M17" t="n">
        <v>0</v>
      </c>
    </row>
    <row r="18" spans="1:13">
      <c r="A18" s="1">
        <f>HYPERLINK("http://www.twitter.com/NathanBLawrence/status/998889947389136896", "998889947389136896")</f>
        <v/>
      </c>
      <c r="B18" s="2" t="n">
        <v>43242.48259259259</v>
      </c>
      <c r="C18" t="n">
        <v>6</v>
      </c>
      <c r="D18" t="n">
        <v>4</v>
      </c>
      <c r="E18" t="s">
        <v>29</v>
      </c>
      <c r="F18" t="s"/>
      <c r="G18" t="s"/>
      <c r="H18" t="s"/>
      <c r="I18" t="s"/>
      <c r="J18" t="n">
        <v>0</v>
      </c>
      <c r="K18" t="n">
        <v>0</v>
      </c>
      <c r="L18" t="n">
        <v>1</v>
      </c>
      <c r="M18" t="n">
        <v>0</v>
      </c>
    </row>
    <row r="19" spans="1:13">
      <c r="A19" s="1">
        <f>HYPERLINK("http://www.twitter.com/NathanBLawrence/status/998779278732005376", "998779278732005376")</f>
        <v/>
      </c>
      <c r="B19" s="2" t="n">
        <v>43242.17721064815</v>
      </c>
      <c r="C19" t="n">
        <v>0</v>
      </c>
      <c r="D19" t="n">
        <v>6</v>
      </c>
      <c r="E19" t="s">
        <v>30</v>
      </c>
      <c r="F19" t="s"/>
      <c r="G19" t="s"/>
      <c r="H19" t="s"/>
      <c r="I19" t="s"/>
      <c r="J19" t="n">
        <v>0</v>
      </c>
      <c r="K19" t="n">
        <v>0</v>
      </c>
      <c r="L19" t="n">
        <v>1</v>
      </c>
      <c r="M19" t="n">
        <v>0</v>
      </c>
    </row>
    <row r="20" spans="1:13">
      <c r="A20" s="1">
        <f>HYPERLINK("http://www.twitter.com/NathanBLawrence/status/998779203809103872", "998779203809103872")</f>
        <v/>
      </c>
      <c r="B20" s="2" t="n">
        <v>43242.17700231481</v>
      </c>
      <c r="C20" t="n">
        <v>0</v>
      </c>
      <c r="D20" t="n">
        <v>1</v>
      </c>
      <c r="E20" t="s">
        <v>31</v>
      </c>
      <c r="F20" t="s"/>
      <c r="G20" t="s"/>
      <c r="H20" t="s"/>
      <c r="I20" t="s"/>
      <c r="J20" t="n">
        <v>0</v>
      </c>
      <c r="K20" t="n">
        <v>0</v>
      </c>
      <c r="L20" t="n">
        <v>1</v>
      </c>
      <c r="M20" t="n">
        <v>0</v>
      </c>
    </row>
    <row r="21" spans="1:13">
      <c r="A21" s="1">
        <f>HYPERLINK("http://www.twitter.com/NathanBLawrence/status/998779058728075264", "998779058728075264")</f>
        <v/>
      </c>
      <c r="B21" s="2" t="n">
        <v>43242.17659722222</v>
      </c>
      <c r="C21" t="n">
        <v>0</v>
      </c>
      <c r="D21" t="n">
        <v>6</v>
      </c>
      <c r="E21" t="s">
        <v>32</v>
      </c>
      <c r="F21">
        <f>HYPERLINK("http://pbs.twimg.com/media/DdxfdiPUQAA7D_T.jpg", "http://pbs.twimg.com/media/DdxfdiPUQAA7D_T.jpg")</f>
        <v/>
      </c>
      <c r="G21" t="s"/>
      <c r="H21" t="s"/>
      <c r="I21" t="s"/>
      <c r="J21" t="n">
        <v>0</v>
      </c>
      <c r="K21" t="n">
        <v>0</v>
      </c>
      <c r="L21" t="n">
        <v>1</v>
      </c>
      <c r="M21" t="n">
        <v>0</v>
      </c>
    </row>
    <row r="22" spans="1:13">
      <c r="A22" s="1">
        <f>HYPERLINK("http://www.twitter.com/NathanBLawrence/status/998773230621032448", "998773230621032448")</f>
        <v/>
      </c>
      <c r="B22" s="2" t="n">
        <v>43242.16052083333</v>
      </c>
      <c r="C22" t="n">
        <v>2</v>
      </c>
      <c r="D22" t="n">
        <v>1</v>
      </c>
      <c r="E22" t="s">
        <v>33</v>
      </c>
      <c r="F22" t="s"/>
      <c r="G22" t="s"/>
      <c r="H22" t="s"/>
      <c r="I22" t="s"/>
      <c r="J22" t="n">
        <v>-0.3382</v>
      </c>
      <c r="K22" t="n">
        <v>0.138</v>
      </c>
      <c r="L22" t="n">
        <v>0.862</v>
      </c>
      <c r="M22" t="n">
        <v>0</v>
      </c>
    </row>
    <row r="23" spans="1:13">
      <c r="A23" s="1">
        <f>HYPERLINK("http://www.twitter.com/NathanBLawrence/status/998771191463731206", "998771191463731206")</f>
        <v/>
      </c>
      <c r="B23" s="2" t="n">
        <v>43242.15488425926</v>
      </c>
      <c r="C23" t="n">
        <v>2</v>
      </c>
      <c r="D23" t="n">
        <v>0</v>
      </c>
      <c r="E23" t="s">
        <v>34</v>
      </c>
      <c r="F23" t="s"/>
      <c r="G23" t="s"/>
      <c r="H23" t="s"/>
      <c r="I23" t="s"/>
      <c r="J23" t="n">
        <v>0</v>
      </c>
      <c r="K23" t="n">
        <v>0</v>
      </c>
      <c r="L23" t="n">
        <v>1</v>
      </c>
      <c r="M23" t="n">
        <v>0</v>
      </c>
    </row>
    <row r="24" spans="1:13">
      <c r="A24" s="1">
        <f>HYPERLINK("http://www.twitter.com/NathanBLawrence/status/998770944989630470", "998770944989630470")</f>
        <v/>
      </c>
      <c r="B24" s="2" t="n">
        <v>43242.15421296296</v>
      </c>
      <c r="C24" t="n">
        <v>1</v>
      </c>
      <c r="D24" t="n">
        <v>0</v>
      </c>
      <c r="E24" t="s">
        <v>35</v>
      </c>
      <c r="F24" t="s"/>
      <c r="G24" t="s"/>
      <c r="H24" t="s"/>
      <c r="I24" t="s"/>
      <c r="J24" t="n">
        <v>0</v>
      </c>
      <c r="K24" t="n">
        <v>0</v>
      </c>
      <c r="L24" t="n">
        <v>1</v>
      </c>
      <c r="M24" t="n">
        <v>0</v>
      </c>
    </row>
    <row r="25" spans="1:13">
      <c r="A25" s="1">
        <f>HYPERLINK("http://www.twitter.com/NathanBLawrence/status/998770313944010752", "998770313944010752")</f>
        <v/>
      </c>
      <c r="B25" s="2" t="n">
        <v>43242.15246527778</v>
      </c>
      <c r="C25" t="n">
        <v>3</v>
      </c>
      <c r="D25" t="n">
        <v>1</v>
      </c>
      <c r="E25" t="s">
        <v>36</v>
      </c>
      <c r="F25" t="s"/>
      <c r="G25" t="s"/>
      <c r="H25" t="s"/>
      <c r="I25" t="s"/>
      <c r="J25" t="n">
        <v>0</v>
      </c>
      <c r="K25" t="n">
        <v>0</v>
      </c>
      <c r="L25" t="n">
        <v>1</v>
      </c>
      <c r="M25" t="n">
        <v>0</v>
      </c>
    </row>
    <row r="26" spans="1:13">
      <c r="A26" s="1">
        <f>HYPERLINK("http://www.twitter.com/NathanBLawrence/status/998755853174964224", "998755853174964224")</f>
        <v/>
      </c>
      <c r="B26" s="2" t="n">
        <v>43242.11256944444</v>
      </c>
      <c r="C26" t="n">
        <v>2</v>
      </c>
      <c r="D26" t="n">
        <v>0</v>
      </c>
      <c r="E26" t="s">
        <v>37</v>
      </c>
      <c r="F26" t="s"/>
      <c r="G26" t="s"/>
      <c r="H26" t="s"/>
      <c r="I26" t="s"/>
      <c r="J26" t="n">
        <v>0.4912</v>
      </c>
      <c r="K26" t="n">
        <v>0</v>
      </c>
      <c r="L26" t="n">
        <v>0.705</v>
      </c>
      <c r="M26" t="n">
        <v>0.295</v>
      </c>
    </row>
    <row r="27" spans="1:13">
      <c r="A27" s="1">
        <f>HYPERLINK("http://www.twitter.com/NathanBLawrence/status/998747852926017536", "998747852926017536")</f>
        <v/>
      </c>
      <c r="B27" s="2" t="n">
        <v>43242.09048611111</v>
      </c>
      <c r="C27" t="n">
        <v>5</v>
      </c>
      <c r="D27" t="n">
        <v>1</v>
      </c>
      <c r="E27" t="s">
        <v>38</v>
      </c>
      <c r="F27" t="s"/>
      <c r="G27" t="s"/>
      <c r="H27" t="s"/>
      <c r="I27" t="s"/>
      <c r="J27" t="n">
        <v>0.4871</v>
      </c>
      <c r="K27" t="n">
        <v>0.121</v>
      </c>
      <c r="L27" t="n">
        <v>0.704</v>
      </c>
      <c r="M27" t="n">
        <v>0.175</v>
      </c>
    </row>
    <row r="28" spans="1:13">
      <c r="A28" s="1">
        <f>HYPERLINK("http://www.twitter.com/NathanBLawrence/status/998709294278283264", "998709294278283264")</f>
        <v/>
      </c>
      <c r="B28" s="2" t="n">
        <v>43241.98408564815</v>
      </c>
      <c r="C28" t="n">
        <v>1</v>
      </c>
      <c r="D28" t="n">
        <v>0</v>
      </c>
      <c r="E28" t="s">
        <v>39</v>
      </c>
      <c r="F28" t="s"/>
      <c r="G28" t="s"/>
      <c r="H28" t="s"/>
      <c r="I28" t="s"/>
      <c r="J28" t="n">
        <v>-0.3595</v>
      </c>
      <c r="K28" t="n">
        <v>0.142</v>
      </c>
      <c r="L28" t="n">
        <v>0.858</v>
      </c>
      <c r="M28" t="n">
        <v>0</v>
      </c>
    </row>
    <row r="29" spans="1:13">
      <c r="A29" s="1">
        <f>HYPERLINK("http://www.twitter.com/NathanBLawrence/status/998704370446426112", "998704370446426112")</f>
        <v/>
      </c>
      <c r="B29" s="2" t="n">
        <v>43241.97049768519</v>
      </c>
      <c r="C29" t="n">
        <v>11</v>
      </c>
      <c r="D29" t="n">
        <v>8</v>
      </c>
      <c r="E29" t="s">
        <v>40</v>
      </c>
      <c r="F29" t="s"/>
      <c r="G29" t="s"/>
      <c r="H29" t="s"/>
      <c r="I29" t="s"/>
      <c r="J29" t="n">
        <v>-0.6827</v>
      </c>
      <c r="K29" t="n">
        <v>0.18</v>
      </c>
      <c r="L29" t="n">
        <v>0.76</v>
      </c>
      <c r="M29" t="n">
        <v>0.06</v>
      </c>
    </row>
    <row r="30" spans="1:13">
      <c r="A30" s="1">
        <f>HYPERLINK("http://www.twitter.com/NathanBLawrence/status/998690329778941952", "998690329778941952")</f>
        <v/>
      </c>
      <c r="B30" s="2" t="n">
        <v>43241.93175925926</v>
      </c>
      <c r="C30" t="n">
        <v>3</v>
      </c>
      <c r="D30" t="n">
        <v>0</v>
      </c>
      <c r="E30" t="s">
        <v>41</v>
      </c>
      <c r="F30" t="s"/>
      <c r="G30" t="s"/>
      <c r="H30" t="s"/>
      <c r="I30" t="s"/>
      <c r="J30" t="n">
        <v>0</v>
      </c>
      <c r="K30" t="n">
        <v>0</v>
      </c>
      <c r="L30" t="n">
        <v>1</v>
      </c>
      <c r="M30" t="n">
        <v>0</v>
      </c>
    </row>
    <row r="31" spans="1:13">
      <c r="A31" s="1">
        <f>HYPERLINK("http://www.twitter.com/NathanBLawrence/status/998687329526173696", "998687329526173696")</f>
        <v/>
      </c>
      <c r="B31" s="2" t="n">
        <v>43241.92347222222</v>
      </c>
      <c r="C31" t="n">
        <v>2</v>
      </c>
      <c r="D31" t="n">
        <v>0</v>
      </c>
      <c r="E31" t="s">
        <v>42</v>
      </c>
      <c r="F31" t="s"/>
      <c r="G31" t="s"/>
      <c r="H31" t="s"/>
      <c r="I31" t="s"/>
      <c r="J31" t="n">
        <v>0</v>
      </c>
      <c r="K31" t="n">
        <v>0</v>
      </c>
      <c r="L31" t="n">
        <v>1</v>
      </c>
      <c r="M31" t="n">
        <v>0</v>
      </c>
    </row>
    <row r="32" spans="1:13">
      <c r="A32" s="1">
        <f>HYPERLINK("http://www.twitter.com/NathanBLawrence/status/998686973110964224", "998686973110964224")</f>
        <v/>
      </c>
      <c r="B32" s="2" t="n">
        <v>43241.92248842592</v>
      </c>
      <c r="C32" t="n">
        <v>3</v>
      </c>
      <c r="D32" t="n">
        <v>0</v>
      </c>
      <c r="E32" t="s">
        <v>43</v>
      </c>
      <c r="F32" t="s"/>
      <c r="G32" t="s"/>
      <c r="H32" t="s"/>
      <c r="I32" t="s"/>
      <c r="J32" t="n">
        <v>-0.4767</v>
      </c>
      <c r="K32" t="n">
        <v>0.383</v>
      </c>
      <c r="L32" t="n">
        <v>0.617</v>
      </c>
      <c r="M32" t="n">
        <v>0</v>
      </c>
    </row>
    <row r="33" spans="1:13">
      <c r="A33" s="1">
        <f>HYPERLINK("http://www.twitter.com/NathanBLawrence/status/998686852164079616", "998686852164079616")</f>
        <v/>
      </c>
      <c r="B33" s="2" t="n">
        <v>43241.92215277778</v>
      </c>
      <c r="C33" t="n">
        <v>0</v>
      </c>
      <c r="D33" t="n">
        <v>3</v>
      </c>
      <c r="E33" t="s">
        <v>44</v>
      </c>
      <c r="F33" t="s"/>
      <c r="G33" t="s"/>
      <c r="H33" t="s"/>
      <c r="I33" t="s"/>
      <c r="J33" t="n">
        <v>0</v>
      </c>
      <c r="K33" t="n">
        <v>0</v>
      </c>
      <c r="L33" t="n">
        <v>1</v>
      </c>
      <c r="M33" t="n">
        <v>0</v>
      </c>
    </row>
    <row r="34" spans="1:13">
      <c r="A34" s="1">
        <f>HYPERLINK("http://www.twitter.com/NathanBLawrence/status/998686711873003521", "998686711873003521")</f>
        <v/>
      </c>
      <c r="B34" s="2" t="n">
        <v>43241.92177083333</v>
      </c>
      <c r="C34" t="n">
        <v>0</v>
      </c>
      <c r="D34" t="n">
        <v>1</v>
      </c>
      <c r="E34" t="s">
        <v>45</v>
      </c>
      <c r="F34" t="s"/>
      <c r="G34" t="s"/>
      <c r="H34" t="s"/>
      <c r="I34" t="s"/>
      <c r="J34" t="n">
        <v>0</v>
      </c>
      <c r="K34" t="n">
        <v>0</v>
      </c>
      <c r="L34" t="n">
        <v>1</v>
      </c>
      <c r="M34" t="n">
        <v>0</v>
      </c>
    </row>
    <row r="35" spans="1:13">
      <c r="A35" s="1">
        <f>HYPERLINK("http://www.twitter.com/NathanBLawrence/status/998665985644261376", "998665985644261376")</f>
        <v/>
      </c>
      <c r="B35" s="2" t="n">
        <v>43241.86457175926</v>
      </c>
      <c r="C35" t="n">
        <v>3</v>
      </c>
      <c r="D35" t="n">
        <v>0</v>
      </c>
      <c r="E35" t="s">
        <v>46</v>
      </c>
      <c r="F35" t="s"/>
      <c r="G35" t="s"/>
      <c r="H35" t="s"/>
      <c r="I35" t="s"/>
      <c r="J35" t="n">
        <v>0</v>
      </c>
      <c r="K35" t="n">
        <v>0</v>
      </c>
      <c r="L35" t="n">
        <v>1</v>
      </c>
      <c r="M35" t="n">
        <v>0</v>
      </c>
    </row>
    <row r="36" spans="1:13">
      <c r="A36" s="1">
        <f>HYPERLINK("http://www.twitter.com/NathanBLawrence/status/998665763786579968", "998665763786579968")</f>
        <v/>
      </c>
      <c r="B36" s="2" t="n">
        <v>43241.8639699074</v>
      </c>
      <c r="C36" t="n">
        <v>2</v>
      </c>
      <c r="D36" t="n">
        <v>0</v>
      </c>
      <c r="E36" t="s">
        <v>47</v>
      </c>
      <c r="F36" t="s"/>
      <c r="G36" t="s"/>
      <c r="H36" t="s"/>
      <c r="I36" t="s"/>
      <c r="J36" t="n">
        <v>0</v>
      </c>
      <c r="K36" t="n">
        <v>0</v>
      </c>
      <c r="L36" t="n">
        <v>1</v>
      </c>
      <c r="M36" t="n">
        <v>0</v>
      </c>
    </row>
    <row r="37" spans="1:13">
      <c r="A37" s="1">
        <f>HYPERLINK("http://www.twitter.com/NathanBLawrence/status/998665496647094272", "998665496647094272")</f>
        <v/>
      </c>
      <c r="B37" s="2" t="n">
        <v>43241.86322916667</v>
      </c>
      <c r="C37" t="n">
        <v>1</v>
      </c>
      <c r="D37" t="n">
        <v>0</v>
      </c>
      <c r="E37" t="s">
        <v>48</v>
      </c>
      <c r="F37" t="s"/>
      <c r="G37" t="s"/>
      <c r="H37" t="s"/>
      <c r="I37" t="s"/>
      <c r="J37" t="n">
        <v>-0.4019</v>
      </c>
      <c r="K37" t="n">
        <v>0.252</v>
      </c>
      <c r="L37" t="n">
        <v>0.748</v>
      </c>
      <c r="M37" t="n">
        <v>0</v>
      </c>
    </row>
    <row r="38" spans="1:13">
      <c r="A38" s="1">
        <f>HYPERLINK("http://www.twitter.com/NathanBLawrence/status/998653291994189825", "998653291994189825")</f>
        <v/>
      </c>
      <c r="B38" s="2" t="n">
        <v>43241.82954861111</v>
      </c>
      <c r="C38" t="n">
        <v>7</v>
      </c>
      <c r="D38" t="n">
        <v>2</v>
      </c>
      <c r="E38" t="s">
        <v>49</v>
      </c>
      <c r="F38" t="s"/>
      <c r="G38" t="s"/>
      <c r="H38" t="s"/>
      <c r="I38" t="s"/>
      <c r="J38" t="n">
        <v>0</v>
      </c>
      <c r="K38" t="n">
        <v>0</v>
      </c>
      <c r="L38" t="n">
        <v>1</v>
      </c>
      <c r="M38" t="n">
        <v>0</v>
      </c>
    </row>
    <row r="39" spans="1:13">
      <c r="A39" s="1">
        <f>HYPERLINK("http://www.twitter.com/NathanBLawrence/status/998611167789580288", "998611167789580288")</f>
        <v/>
      </c>
      <c r="B39" s="2" t="n">
        <v>43241.71331018519</v>
      </c>
      <c r="C39" t="n">
        <v>2</v>
      </c>
      <c r="D39" t="n">
        <v>0</v>
      </c>
      <c r="E39" t="s">
        <v>50</v>
      </c>
      <c r="F39" t="s"/>
      <c r="G39" t="s"/>
      <c r="H39" t="s"/>
      <c r="I39" t="s"/>
      <c r="J39" t="n">
        <v>0.7437</v>
      </c>
      <c r="K39" t="n">
        <v>0</v>
      </c>
      <c r="L39" t="n">
        <v>0.531</v>
      </c>
      <c r="M39" t="n">
        <v>0.469</v>
      </c>
    </row>
    <row r="40" spans="1:13">
      <c r="A40" s="1">
        <f>HYPERLINK("http://www.twitter.com/NathanBLawrence/status/998608811731685378", "998608811731685378")</f>
        <v/>
      </c>
      <c r="B40" s="2" t="n">
        <v>43241.70680555556</v>
      </c>
      <c r="C40" t="n">
        <v>0</v>
      </c>
      <c r="D40" t="n">
        <v>0</v>
      </c>
      <c r="E40" t="s">
        <v>51</v>
      </c>
      <c r="F40" t="s"/>
      <c r="G40" t="s"/>
      <c r="H40" t="s"/>
      <c r="I40" t="s"/>
      <c r="J40" t="n">
        <v>0</v>
      </c>
      <c r="K40" t="n">
        <v>0</v>
      </c>
      <c r="L40" t="n">
        <v>1</v>
      </c>
      <c r="M40" t="n">
        <v>0</v>
      </c>
    </row>
    <row r="41" spans="1:13">
      <c r="A41" s="1">
        <f>HYPERLINK("http://www.twitter.com/NathanBLawrence/status/998608542658650112", "998608542658650112")</f>
        <v/>
      </c>
      <c r="B41" s="2" t="n">
        <v>43241.70606481482</v>
      </c>
      <c r="C41" t="n">
        <v>2</v>
      </c>
      <c r="D41" t="n">
        <v>0</v>
      </c>
      <c r="E41" t="s">
        <v>52</v>
      </c>
      <c r="F41" t="s"/>
      <c r="G41" t="s"/>
      <c r="H41" t="s"/>
      <c r="I41" t="s"/>
      <c r="J41" t="n">
        <v>-0.7845</v>
      </c>
      <c r="K41" t="n">
        <v>0.187</v>
      </c>
      <c r="L41" t="n">
        <v>0.8129999999999999</v>
      </c>
      <c r="M41" t="n">
        <v>0</v>
      </c>
    </row>
    <row r="42" spans="1:13">
      <c r="A42" s="1">
        <f>HYPERLINK("http://www.twitter.com/NathanBLawrence/status/998607695275024385", "998607695275024385")</f>
        <v/>
      </c>
      <c r="B42" s="2" t="n">
        <v>43241.70372685185</v>
      </c>
      <c r="C42" t="n">
        <v>0</v>
      </c>
      <c r="D42" t="n">
        <v>2</v>
      </c>
      <c r="E42" t="s">
        <v>53</v>
      </c>
      <c r="F42" t="s"/>
      <c r="G42" t="s"/>
      <c r="H42" t="s"/>
      <c r="I42" t="s"/>
      <c r="J42" t="n">
        <v>0.1206</v>
      </c>
      <c r="K42" t="n">
        <v>0.091</v>
      </c>
      <c r="L42" t="n">
        <v>0.797</v>
      </c>
      <c r="M42" t="n">
        <v>0.113</v>
      </c>
    </row>
    <row r="43" spans="1:13">
      <c r="A43" s="1">
        <f>HYPERLINK("http://www.twitter.com/NathanBLawrence/status/998607504509718528", "998607504509718528")</f>
        <v/>
      </c>
      <c r="B43" s="2" t="n">
        <v>43241.70319444445</v>
      </c>
      <c r="C43" t="n">
        <v>0</v>
      </c>
      <c r="D43" t="n">
        <v>0</v>
      </c>
      <c r="E43" t="s">
        <v>54</v>
      </c>
      <c r="F43" t="s"/>
      <c r="G43" t="s"/>
      <c r="H43" t="s"/>
      <c r="I43" t="s"/>
      <c r="J43" t="n">
        <v>-0.784</v>
      </c>
      <c r="K43" t="n">
        <v>0.775</v>
      </c>
      <c r="L43" t="n">
        <v>0.225</v>
      </c>
      <c r="M43" t="n">
        <v>0</v>
      </c>
    </row>
    <row r="44" spans="1:13">
      <c r="A44" s="1">
        <f>HYPERLINK("http://www.twitter.com/NathanBLawrence/status/998607330576134145", "998607330576134145")</f>
        <v/>
      </c>
      <c r="B44" s="2" t="n">
        <v>43241.70271990741</v>
      </c>
      <c r="C44" t="n">
        <v>4</v>
      </c>
      <c r="D44" t="n">
        <v>1</v>
      </c>
      <c r="E44" t="s">
        <v>55</v>
      </c>
      <c r="F44" t="s"/>
      <c r="G44" t="s"/>
      <c r="H44" t="s"/>
      <c r="I44" t="s"/>
      <c r="J44" t="n">
        <v>0</v>
      </c>
      <c r="K44" t="n">
        <v>0</v>
      </c>
      <c r="L44" t="n">
        <v>1</v>
      </c>
      <c r="M44" t="n">
        <v>0</v>
      </c>
    </row>
    <row r="45" spans="1:13">
      <c r="A45" s="1">
        <f>HYPERLINK("http://www.twitter.com/NathanBLawrence/status/998593859599982594", "998593859599982594")</f>
        <v/>
      </c>
      <c r="B45" s="2" t="n">
        <v>43241.66554398148</v>
      </c>
      <c r="C45" t="n">
        <v>1</v>
      </c>
      <c r="D45" t="n">
        <v>0</v>
      </c>
      <c r="E45" t="s">
        <v>56</v>
      </c>
      <c r="F45" t="s"/>
      <c r="G45" t="s"/>
      <c r="H45" t="s"/>
      <c r="I45" t="s"/>
      <c r="J45" t="n">
        <v>0.892</v>
      </c>
      <c r="K45" t="n">
        <v>0</v>
      </c>
      <c r="L45" t="n">
        <v>0.717</v>
      </c>
      <c r="M45" t="n">
        <v>0.283</v>
      </c>
    </row>
    <row r="46" spans="1:13">
      <c r="A46" s="1">
        <f>HYPERLINK("http://www.twitter.com/NathanBLawrence/status/998593466757210113", "998593466757210113")</f>
        <v/>
      </c>
      <c r="B46" s="2" t="n">
        <v>43241.66446759259</v>
      </c>
      <c r="C46" t="n">
        <v>0</v>
      </c>
      <c r="D46" t="n">
        <v>8</v>
      </c>
      <c r="E46" t="s">
        <v>57</v>
      </c>
      <c r="F46" t="s"/>
      <c r="G46" t="s"/>
      <c r="H46" t="s"/>
      <c r="I46" t="s"/>
      <c r="J46" t="n">
        <v>0</v>
      </c>
      <c r="K46" t="n">
        <v>0</v>
      </c>
      <c r="L46" t="n">
        <v>1</v>
      </c>
      <c r="M46" t="n">
        <v>0</v>
      </c>
    </row>
    <row r="47" spans="1:13">
      <c r="A47" s="1">
        <f>HYPERLINK("http://www.twitter.com/NathanBLawrence/status/998593410167640065", "998593410167640065")</f>
        <v/>
      </c>
      <c r="B47" s="2" t="n">
        <v>43241.66430555555</v>
      </c>
      <c r="C47" t="n">
        <v>1</v>
      </c>
      <c r="D47" t="n">
        <v>1</v>
      </c>
      <c r="E47" t="s">
        <v>58</v>
      </c>
      <c r="F47" t="s"/>
      <c r="G47" t="s"/>
      <c r="H47" t="s"/>
      <c r="I47" t="s"/>
      <c r="J47" t="n">
        <v>0</v>
      </c>
      <c r="K47" t="n">
        <v>0</v>
      </c>
      <c r="L47" t="n">
        <v>1</v>
      </c>
      <c r="M47" t="n">
        <v>0</v>
      </c>
    </row>
    <row r="48" spans="1:13">
      <c r="A48" s="1">
        <f>HYPERLINK("http://www.twitter.com/NathanBLawrence/status/998593262217809920", "998593262217809920")</f>
        <v/>
      </c>
      <c r="B48" s="2" t="n">
        <v>43241.66390046296</v>
      </c>
      <c r="C48" t="n">
        <v>0</v>
      </c>
      <c r="D48" t="n">
        <v>17</v>
      </c>
      <c r="E48" t="s">
        <v>59</v>
      </c>
      <c r="F48">
        <f>HYPERLINK("http://pbs.twimg.com/media/DdurkRqU0AASyPs.jpg", "http://pbs.twimg.com/media/DdurkRqU0AASyPs.jpg")</f>
        <v/>
      </c>
      <c r="G48" t="s"/>
      <c r="H48" t="s"/>
      <c r="I48" t="s"/>
      <c r="J48" t="n">
        <v>-0.4696</v>
      </c>
      <c r="K48" t="n">
        <v>0.127</v>
      </c>
      <c r="L48" t="n">
        <v>0.873</v>
      </c>
      <c r="M48" t="n">
        <v>0</v>
      </c>
    </row>
    <row r="49" spans="1:13">
      <c r="A49" s="1">
        <f>HYPERLINK("http://www.twitter.com/NathanBLawrence/status/998593091857678336", "998593091857678336")</f>
        <v/>
      </c>
      <c r="B49" s="2" t="n">
        <v>43241.66342592592</v>
      </c>
      <c r="C49" t="n">
        <v>4</v>
      </c>
      <c r="D49" t="n">
        <v>1</v>
      </c>
      <c r="E49" t="s">
        <v>60</v>
      </c>
      <c r="F49" t="s"/>
      <c r="G49" t="s"/>
      <c r="H49" t="s"/>
      <c r="I49" t="s"/>
      <c r="J49" t="n">
        <v>0</v>
      </c>
      <c r="K49" t="n">
        <v>0</v>
      </c>
      <c r="L49" t="n">
        <v>1</v>
      </c>
      <c r="M49" t="n">
        <v>0</v>
      </c>
    </row>
    <row r="50" spans="1:13">
      <c r="A50" s="1">
        <f>HYPERLINK("http://www.twitter.com/NathanBLawrence/status/998592864904007681", "998592864904007681")</f>
        <v/>
      </c>
      <c r="B50" s="2" t="n">
        <v>43241.66280092593</v>
      </c>
      <c r="C50" t="n">
        <v>1</v>
      </c>
      <c r="D50" t="n">
        <v>0</v>
      </c>
      <c r="E50" t="s">
        <v>61</v>
      </c>
      <c r="F50" t="s"/>
      <c r="G50" t="s"/>
      <c r="H50" t="s"/>
      <c r="I50" t="s"/>
      <c r="J50" t="n">
        <v>0</v>
      </c>
      <c r="K50" t="n">
        <v>0</v>
      </c>
      <c r="L50" t="n">
        <v>1</v>
      </c>
      <c r="M50" t="n">
        <v>0</v>
      </c>
    </row>
    <row r="51" spans="1:13">
      <c r="A51" s="1">
        <f>HYPERLINK("http://www.twitter.com/NathanBLawrence/status/998562503394291712", "998562503394291712")</f>
        <v/>
      </c>
      <c r="B51" s="2" t="n">
        <v>43241.5790162037</v>
      </c>
      <c r="C51" t="n">
        <v>0</v>
      </c>
      <c r="D51" t="n">
        <v>7</v>
      </c>
      <c r="E51" t="s">
        <v>62</v>
      </c>
      <c r="F51" t="s"/>
      <c r="G51" t="s"/>
      <c r="H51" t="s"/>
      <c r="I51" t="s"/>
      <c r="J51" t="n">
        <v>0.5229</v>
      </c>
      <c r="K51" t="n">
        <v>0</v>
      </c>
      <c r="L51" t="n">
        <v>0.8159999999999999</v>
      </c>
      <c r="M51" t="n">
        <v>0.184</v>
      </c>
    </row>
    <row r="52" spans="1:13">
      <c r="A52" s="1">
        <f>HYPERLINK("http://www.twitter.com/NathanBLawrence/status/998561909501759488", "998561909501759488")</f>
        <v/>
      </c>
      <c r="B52" s="2" t="n">
        <v>43241.57738425926</v>
      </c>
      <c r="C52" t="n">
        <v>0</v>
      </c>
      <c r="D52" t="n">
        <v>5</v>
      </c>
      <c r="E52" t="s">
        <v>63</v>
      </c>
      <c r="F52" t="s"/>
      <c r="G52" t="s"/>
      <c r="H52" t="s"/>
      <c r="I52" t="s"/>
      <c r="J52" t="n">
        <v>0.4926</v>
      </c>
      <c r="K52" t="n">
        <v>0</v>
      </c>
      <c r="L52" t="n">
        <v>0.653</v>
      </c>
      <c r="M52" t="n">
        <v>0.347</v>
      </c>
    </row>
    <row r="53" spans="1:13">
      <c r="A53" s="1">
        <f>HYPERLINK("http://www.twitter.com/NathanBLawrence/status/998559755496017920", "998559755496017920")</f>
        <v/>
      </c>
      <c r="B53" s="2" t="n">
        <v>43241.57143518519</v>
      </c>
      <c r="C53" t="n">
        <v>1</v>
      </c>
      <c r="D53" t="n">
        <v>0</v>
      </c>
      <c r="E53" t="s">
        <v>64</v>
      </c>
      <c r="F53" t="s"/>
      <c r="G53" t="s"/>
      <c r="H53" t="s"/>
      <c r="I53" t="s"/>
      <c r="J53" t="n">
        <v>0</v>
      </c>
      <c r="K53" t="n">
        <v>0</v>
      </c>
      <c r="L53" t="n">
        <v>1</v>
      </c>
      <c r="M53" t="n">
        <v>0</v>
      </c>
    </row>
    <row r="54" spans="1:13">
      <c r="A54" s="1">
        <f>HYPERLINK("http://www.twitter.com/NathanBLawrence/status/998558311762014209", "998558311762014209")</f>
        <v/>
      </c>
      <c r="B54" s="2" t="n">
        <v>43241.5674537037</v>
      </c>
      <c r="C54" t="n">
        <v>2</v>
      </c>
      <c r="D54" t="n">
        <v>0</v>
      </c>
      <c r="E54" t="s">
        <v>65</v>
      </c>
      <c r="F54" t="s"/>
      <c r="G54" t="s"/>
      <c r="H54" t="s"/>
      <c r="I54" t="s"/>
      <c r="J54" t="n">
        <v>0</v>
      </c>
      <c r="K54" t="n">
        <v>0</v>
      </c>
      <c r="L54" t="n">
        <v>1</v>
      </c>
      <c r="M54" t="n">
        <v>0</v>
      </c>
    </row>
    <row r="55" spans="1:13">
      <c r="A55" s="1">
        <f>HYPERLINK("http://www.twitter.com/NathanBLawrence/status/998557912489447424", "998557912489447424")</f>
        <v/>
      </c>
      <c r="B55" s="2" t="n">
        <v>43241.56635416667</v>
      </c>
      <c r="C55" t="n">
        <v>1</v>
      </c>
      <c r="D55" t="n">
        <v>0</v>
      </c>
      <c r="E55" t="s">
        <v>66</v>
      </c>
      <c r="F55" t="s"/>
      <c r="G55" t="s"/>
      <c r="H55" t="s"/>
      <c r="I55" t="s"/>
      <c r="J55" t="n">
        <v>0.2942</v>
      </c>
      <c r="K55" t="n">
        <v>0</v>
      </c>
      <c r="L55" t="n">
        <v>0.913</v>
      </c>
      <c r="M55" t="n">
        <v>0.08699999999999999</v>
      </c>
    </row>
    <row r="56" spans="1:13">
      <c r="A56" s="1">
        <f>HYPERLINK("http://www.twitter.com/NathanBLawrence/status/998557515368550400", "998557515368550400")</f>
        <v/>
      </c>
      <c r="B56" s="2" t="n">
        <v>43241.56525462963</v>
      </c>
      <c r="C56" t="n">
        <v>1</v>
      </c>
      <c r="D56" t="n">
        <v>0</v>
      </c>
      <c r="E56" t="s">
        <v>67</v>
      </c>
      <c r="F56">
        <f>HYPERLINK("http://pbs.twimg.com/media/DduWxHjVwAEg07j.jpg", "http://pbs.twimg.com/media/DduWxHjVwAEg07j.jpg")</f>
        <v/>
      </c>
      <c r="G56" t="s"/>
      <c r="H56" t="s"/>
      <c r="I56" t="s"/>
      <c r="J56" t="n">
        <v>0.0184</v>
      </c>
      <c r="K56" t="n">
        <v>0.122</v>
      </c>
      <c r="L56" t="n">
        <v>0.753</v>
      </c>
      <c r="M56" t="n">
        <v>0.125</v>
      </c>
    </row>
    <row r="57" spans="1:13">
      <c r="A57" s="1">
        <f>HYPERLINK("http://www.twitter.com/NathanBLawrence/status/998557008700825600", "998557008700825600")</f>
        <v/>
      </c>
      <c r="B57" s="2" t="n">
        <v>43241.56385416666</v>
      </c>
      <c r="C57" t="n">
        <v>4</v>
      </c>
      <c r="D57" t="n">
        <v>0</v>
      </c>
      <c r="E57" t="s">
        <v>68</v>
      </c>
      <c r="F57">
        <f>HYPERLINK("http://pbs.twimg.com/media/DduWTXnVAAExjFu.jpg", "http://pbs.twimg.com/media/DduWTXnVAAExjFu.jpg")</f>
        <v/>
      </c>
      <c r="G57" t="s"/>
      <c r="H57" t="s"/>
      <c r="I57" t="s"/>
      <c r="J57" t="n">
        <v>0</v>
      </c>
      <c r="K57" t="n">
        <v>0</v>
      </c>
      <c r="L57" t="n">
        <v>1</v>
      </c>
      <c r="M57" t="n">
        <v>0</v>
      </c>
    </row>
    <row r="58" spans="1:13">
      <c r="A58" s="1">
        <f>HYPERLINK("http://www.twitter.com/NathanBLawrence/status/998546322411188229", "998546322411188229")</f>
        <v/>
      </c>
      <c r="B58" s="2" t="n">
        <v>43241.534375</v>
      </c>
      <c r="C58" t="n">
        <v>2</v>
      </c>
      <c r="D58" t="n">
        <v>0</v>
      </c>
      <c r="E58" t="s">
        <v>69</v>
      </c>
      <c r="F58">
        <f>HYPERLINK("http://pbs.twimg.com/media/DduMh_HVQAAUaww.jpg", "http://pbs.twimg.com/media/DduMh_HVQAAUaww.jpg")</f>
        <v/>
      </c>
      <c r="G58" t="s"/>
      <c r="H58" t="s"/>
      <c r="I58" t="s"/>
      <c r="J58" t="n">
        <v>0.09</v>
      </c>
      <c r="K58" t="n">
        <v>0.175</v>
      </c>
      <c r="L58" t="n">
        <v>0.592</v>
      </c>
      <c r="M58" t="n">
        <v>0.233</v>
      </c>
    </row>
    <row r="59" spans="1:13">
      <c r="A59" s="1">
        <f>HYPERLINK("http://www.twitter.com/NathanBLawrence/status/998546027211902976", "998546027211902976")</f>
        <v/>
      </c>
      <c r="B59" s="2" t="n">
        <v>43241.53355324074</v>
      </c>
      <c r="C59" t="n">
        <v>4</v>
      </c>
      <c r="D59" t="n">
        <v>1</v>
      </c>
      <c r="E59" t="s">
        <v>70</v>
      </c>
      <c r="F59">
        <f>HYPERLINK("http://pbs.twimg.com/media/DduMUUyVAAAPt0X.jpg", "http://pbs.twimg.com/media/DduMUUyVAAAPt0X.jpg")</f>
        <v/>
      </c>
      <c r="G59" t="s"/>
      <c r="H59" t="s"/>
      <c r="I59" t="s"/>
      <c r="J59" t="n">
        <v>0.5266999999999999</v>
      </c>
      <c r="K59" t="n">
        <v>0</v>
      </c>
      <c r="L59" t="n">
        <v>0.614</v>
      </c>
      <c r="M59" t="n">
        <v>0.386</v>
      </c>
    </row>
    <row r="60" spans="1:13">
      <c r="A60" s="1">
        <f>HYPERLINK("http://www.twitter.com/NathanBLawrence/status/998414544694317058", "998414544694317058")</f>
        <v/>
      </c>
      <c r="B60" s="2" t="n">
        <v>43241.17072916667</v>
      </c>
      <c r="C60" t="n">
        <v>0</v>
      </c>
      <c r="D60" t="n">
        <v>0</v>
      </c>
      <c r="E60" t="s">
        <v>71</v>
      </c>
      <c r="F60" t="s"/>
      <c r="G60" t="s"/>
      <c r="H60" t="s"/>
      <c r="I60" t="s"/>
      <c r="J60" t="n">
        <v>0.2263</v>
      </c>
      <c r="K60" t="n">
        <v>0</v>
      </c>
      <c r="L60" t="n">
        <v>0.759</v>
      </c>
      <c r="M60" t="n">
        <v>0.241</v>
      </c>
    </row>
    <row r="61" spans="1:13">
      <c r="A61" s="1">
        <f>HYPERLINK("http://www.twitter.com/NathanBLawrence/status/998398949022158848", "998398949022158848")</f>
        <v/>
      </c>
      <c r="B61" s="2" t="n">
        <v>43241.12769675926</v>
      </c>
      <c r="C61" t="n">
        <v>1</v>
      </c>
      <c r="D61" t="n">
        <v>0</v>
      </c>
      <c r="E61" t="s">
        <v>72</v>
      </c>
      <c r="F61" t="s"/>
      <c r="G61" t="s"/>
      <c r="H61" t="s"/>
      <c r="I61" t="s"/>
      <c r="J61" t="n">
        <v>0.4926</v>
      </c>
      <c r="K61" t="n">
        <v>0</v>
      </c>
      <c r="L61" t="n">
        <v>0.653</v>
      </c>
      <c r="M61" t="n">
        <v>0.347</v>
      </c>
    </row>
    <row r="62" spans="1:13">
      <c r="A62" s="1">
        <f>HYPERLINK("http://www.twitter.com/NathanBLawrence/status/998398829425823744", "998398829425823744")</f>
        <v/>
      </c>
      <c r="B62" s="2" t="n">
        <v>43241.12736111111</v>
      </c>
      <c r="C62" t="n">
        <v>1</v>
      </c>
      <c r="D62" t="n">
        <v>0</v>
      </c>
      <c r="E62" t="s">
        <v>73</v>
      </c>
      <c r="F62" t="s"/>
      <c r="G62" t="s"/>
      <c r="H62" t="s"/>
      <c r="I62" t="s"/>
      <c r="J62" t="n">
        <v>0.4648</v>
      </c>
      <c r="K62" t="n">
        <v>0</v>
      </c>
      <c r="L62" t="n">
        <v>0.698</v>
      </c>
      <c r="M62" t="n">
        <v>0.302</v>
      </c>
    </row>
    <row r="63" spans="1:13">
      <c r="A63" s="1">
        <f>HYPERLINK("http://www.twitter.com/NathanBLawrence/status/998398418383986689", "998398418383986689")</f>
        <v/>
      </c>
      <c r="B63" s="2" t="n">
        <v>43241.12622685185</v>
      </c>
      <c r="C63" t="n">
        <v>1</v>
      </c>
      <c r="D63" t="n">
        <v>0</v>
      </c>
      <c r="E63" t="s">
        <v>74</v>
      </c>
      <c r="F63" t="s"/>
      <c r="G63" t="s"/>
      <c r="H63" t="s"/>
      <c r="I63" t="s"/>
      <c r="J63" t="n">
        <v>0</v>
      </c>
      <c r="K63" t="n">
        <v>0</v>
      </c>
      <c r="L63" t="n">
        <v>1</v>
      </c>
      <c r="M63" t="n">
        <v>0</v>
      </c>
    </row>
    <row r="64" spans="1:13">
      <c r="A64" s="1">
        <f>HYPERLINK("http://www.twitter.com/NathanBLawrence/status/998397976539168768", "998397976539168768")</f>
        <v/>
      </c>
      <c r="B64" s="2" t="n">
        <v>43241.12501157408</v>
      </c>
      <c r="C64" t="n">
        <v>0</v>
      </c>
      <c r="D64" t="n">
        <v>88</v>
      </c>
      <c r="E64" t="s">
        <v>75</v>
      </c>
      <c r="F64" t="s"/>
      <c r="G64" t="s"/>
      <c r="H64" t="s"/>
      <c r="I64" t="s"/>
      <c r="J64" t="n">
        <v>0</v>
      </c>
      <c r="K64" t="n">
        <v>0</v>
      </c>
      <c r="L64" t="n">
        <v>1</v>
      </c>
      <c r="M64" t="n">
        <v>0</v>
      </c>
    </row>
    <row r="65" spans="1:13">
      <c r="A65" s="1">
        <f>HYPERLINK("http://www.twitter.com/NathanBLawrence/status/998397817231167488", "998397817231167488")</f>
        <v/>
      </c>
      <c r="B65" s="2" t="n">
        <v>43241.12457175926</v>
      </c>
      <c r="C65" t="n">
        <v>5</v>
      </c>
      <c r="D65" t="n">
        <v>1</v>
      </c>
      <c r="E65" t="s">
        <v>76</v>
      </c>
      <c r="F65" t="s"/>
      <c r="G65" t="s"/>
      <c r="H65" t="s"/>
      <c r="I65" t="s"/>
      <c r="J65" t="n">
        <v>0.3182</v>
      </c>
      <c r="K65" t="n">
        <v>0</v>
      </c>
      <c r="L65" t="n">
        <v>0.635</v>
      </c>
      <c r="M65" t="n">
        <v>0.365</v>
      </c>
    </row>
    <row r="66" spans="1:13">
      <c r="A66" s="1">
        <f>HYPERLINK("http://www.twitter.com/NathanBLawrence/status/998397547734544384", "998397547734544384")</f>
        <v/>
      </c>
      <c r="B66" s="2" t="n">
        <v>43241.12383101852</v>
      </c>
      <c r="C66" t="n">
        <v>1</v>
      </c>
      <c r="D66" t="n">
        <v>1</v>
      </c>
      <c r="E66" t="s">
        <v>77</v>
      </c>
      <c r="F66" t="s"/>
      <c r="G66" t="s"/>
      <c r="H66" t="s"/>
      <c r="I66" t="s"/>
      <c r="J66" t="n">
        <v>0.4753</v>
      </c>
      <c r="K66" t="n">
        <v>0</v>
      </c>
      <c r="L66" t="n">
        <v>0.886</v>
      </c>
      <c r="M66" t="n">
        <v>0.114</v>
      </c>
    </row>
    <row r="67" spans="1:13">
      <c r="A67" s="1">
        <f>HYPERLINK("http://www.twitter.com/NathanBLawrence/status/998397071077101568", "998397071077101568")</f>
        <v/>
      </c>
      <c r="B67" s="2" t="n">
        <v>43241.12251157407</v>
      </c>
      <c r="C67" t="n">
        <v>1</v>
      </c>
      <c r="D67" t="n">
        <v>0</v>
      </c>
      <c r="E67" t="s">
        <v>78</v>
      </c>
      <c r="F67" t="s"/>
      <c r="G67" t="s"/>
      <c r="H67" t="s"/>
      <c r="I67" t="s"/>
      <c r="J67" t="n">
        <v>0</v>
      </c>
      <c r="K67" t="n">
        <v>0</v>
      </c>
      <c r="L67" t="n">
        <v>1</v>
      </c>
      <c r="M67" t="n">
        <v>0</v>
      </c>
    </row>
    <row r="68" spans="1:13">
      <c r="A68" s="1">
        <f>HYPERLINK("http://www.twitter.com/NathanBLawrence/status/998394861551222784", "998394861551222784")</f>
        <v/>
      </c>
      <c r="B68" s="2" t="n">
        <v>43241.11641203704</v>
      </c>
      <c r="C68" t="n">
        <v>3</v>
      </c>
      <c r="D68" t="n">
        <v>2</v>
      </c>
      <c r="E68" t="s">
        <v>79</v>
      </c>
      <c r="F68" t="s"/>
      <c r="G68" t="s"/>
      <c r="H68" t="s"/>
      <c r="I68" t="s"/>
      <c r="J68" t="n">
        <v>0</v>
      </c>
      <c r="K68" t="n">
        <v>0</v>
      </c>
      <c r="L68" t="n">
        <v>1</v>
      </c>
      <c r="M68" t="n">
        <v>0</v>
      </c>
    </row>
    <row r="69" spans="1:13">
      <c r="A69" s="1">
        <f>HYPERLINK("http://www.twitter.com/NathanBLawrence/status/998394409027817472", "998394409027817472")</f>
        <v/>
      </c>
      <c r="B69" s="2" t="n">
        <v>43241.11517361111</v>
      </c>
      <c r="C69" t="n">
        <v>4</v>
      </c>
      <c r="D69" t="n">
        <v>0</v>
      </c>
      <c r="E69" t="s">
        <v>80</v>
      </c>
      <c r="F69" t="s"/>
      <c r="G69" t="s"/>
      <c r="H69" t="s"/>
      <c r="I69" t="s"/>
      <c r="J69" t="n">
        <v>0.4019</v>
      </c>
      <c r="K69" t="n">
        <v>0</v>
      </c>
      <c r="L69" t="n">
        <v>0.8159999999999999</v>
      </c>
      <c r="M69" t="n">
        <v>0.184</v>
      </c>
    </row>
    <row r="70" spans="1:13">
      <c r="A70" s="1">
        <f>HYPERLINK("http://www.twitter.com/NathanBLawrence/status/998377102842974208", "998377102842974208")</f>
        <v/>
      </c>
      <c r="B70" s="2" t="n">
        <v>43241.0674074074</v>
      </c>
      <c r="C70" t="n">
        <v>2</v>
      </c>
      <c r="D70" t="n">
        <v>0</v>
      </c>
      <c r="E70" t="s">
        <v>81</v>
      </c>
      <c r="F70" t="s"/>
      <c r="G70" t="s"/>
      <c r="H70" t="s"/>
      <c r="I70" t="s"/>
      <c r="J70" t="n">
        <v>-0.7003</v>
      </c>
      <c r="K70" t="n">
        <v>0.592</v>
      </c>
      <c r="L70" t="n">
        <v>0.408</v>
      </c>
      <c r="M70" t="n">
        <v>0</v>
      </c>
    </row>
    <row r="71" spans="1:13">
      <c r="A71" s="1">
        <f>HYPERLINK("http://www.twitter.com/NathanBLawrence/status/998376933267267584", "998376933267267584")</f>
        <v/>
      </c>
      <c r="B71" s="2" t="n">
        <v>43241.06694444444</v>
      </c>
      <c r="C71" t="n">
        <v>2</v>
      </c>
      <c r="D71" t="n">
        <v>0</v>
      </c>
      <c r="E71" t="s">
        <v>82</v>
      </c>
      <c r="F71" t="s"/>
      <c r="G71" t="s"/>
      <c r="H71" t="s"/>
      <c r="I71" t="s"/>
      <c r="J71" t="n">
        <v>0</v>
      </c>
      <c r="K71" t="n">
        <v>0</v>
      </c>
      <c r="L71" t="n">
        <v>1</v>
      </c>
      <c r="M71" t="n">
        <v>0</v>
      </c>
    </row>
    <row r="72" spans="1:13">
      <c r="A72" s="1">
        <f>HYPERLINK("http://www.twitter.com/NathanBLawrence/status/998376379287834626", "998376379287834626")</f>
        <v/>
      </c>
      <c r="B72" s="2" t="n">
        <v>43241.06541666666</v>
      </c>
      <c r="C72" t="n">
        <v>1</v>
      </c>
      <c r="D72" t="n">
        <v>1</v>
      </c>
      <c r="E72" t="s">
        <v>83</v>
      </c>
      <c r="F72" t="s"/>
      <c r="G72" t="s"/>
      <c r="H72" t="s"/>
      <c r="I72" t="s"/>
      <c r="J72" t="n">
        <v>0</v>
      </c>
      <c r="K72" t="n">
        <v>0</v>
      </c>
      <c r="L72" t="n">
        <v>1</v>
      </c>
      <c r="M72" t="n">
        <v>0</v>
      </c>
    </row>
    <row r="73" spans="1:13">
      <c r="A73" s="1">
        <f>HYPERLINK("http://www.twitter.com/NathanBLawrence/status/998375684887150592", "998375684887150592")</f>
        <v/>
      </c>
      <c r="B73" s="2" t="n">
        <v>43241.06349537037</v>
      </c>
      <c r="C73" t="n">
        <v>1</v>
      </c>
      <c r="D73" t="n">
        <v>0</v>
      </c>
      <c r="E73" t="s">
        <v>84</v>
      </c>
      <c r="F73" t="s"/>
      <c r="G73" t="s"/>
      <c r="H73" t="s"/>
      <c r="I73" t="s"/>
      <c r="J73" t="n">
        <v>0.6627999999999999</v>
      </c>
      <c r="K73" t="n">
        <v>0.035</v>
      </c>
      <c r="L73" t="n">
        <v>0.8100000000000001</v>
      </c>
      <c r="M73" t="n">
        <v>0.155</v>
      </c>
    </row>
    <row r="74" spans="1:13">
      <c r="A74" s="1">
        <f>HYPERLINK("http://www.twitter.com/NathanBLawrence/status/998374187516485637", "998374187516485637")</f>
        <v/>
      </c>
      <c r="B74" s="2" t="n">
        <v>43241.05936342593</v>
      </c>
      <c r="C74" t="n">
        <v>0</v>
      </c>
      <c r="D74" t="n">
        <v>0</v>
      </c>
      <c r="E74" t="s">
        <v>85</v>
      </c>
      <c r="F74" t="s"/>
      <c r="G74" t="s"/>
      <c r="H74" t="s"/>
      <c r="I74" t="s"/>
      <c r="J74" t="n">
        <v>-0.7351</v>
      </c>
      <c r="K74" t="n">
        <v>0.158</v>
      </c>
      <c r="L74" t="n">
        <v>0.842</v>
      </c>
      <c r="M74" t="n">
        <v>0</v>
      </c>
    </row>
    <row r="75" spans="1:13">
      <c r="A75" s="1">
        <f>HYPERLINK("http://www.twitter.com/NathanBLawrence/status/998373139183742977", "998373139183742977")</f>
        <v/>
      </c>
      <c r="B75" s="2" t="n">
        <v>43241.05646990741</v>
      </c>
      <c r="C75" t="n">
        <v>1</v>
      </c>
      <c r="D75" t="n">
        <v>0</v>
      </c>
      <c r="E75" t="s">
        <v>86</v>
      </c>
      <c r="F75" t="s"/>
      <c r="G75" t="s"/>
      <c r="H75" t="s"/>
      <c r="I75" t="s"/>
      <c r="J75" t="n">
        <v>0</v>
      </c>
      <c r="K75" t="n">
        <v>0</v>
      </c>
      <c r="L75" t="n">
        <v>1</v>
      </c>
      <c r="M75" t="n">
        <v>0</v>
      </c>
    </row>
    <row r="76" spans="1:13">
      <c r="A76" s="1">
        <f>HYPERLINK("http://www.twitter.com/NathanBLawrence/status/998372221969227776", "998372221969227776")</f>
        <v/>
      </c>
      <c r="B76" s="2" t="n">
        <v>43241.05394675926</v>
      </c>
      <c r="C76" t="n">
        <v>1</v>
      </c>
      <c r="D76" t="n">
        <v>1</v>
      </c>
      <c r="E76" t="s">
        <v>87</v>
      </c>
      <c r="F76" t="s"/>
      <c r="G76" t="s"/>
      <c r="H76" t="s"/>
      <c r="I76" t="s"/>
      <c r="J76" t="n">
        <v>0</v>
      </c>
      <c r="K76" t="n">
        <v>0</v>
      </c>
      <c r="L76" t="n">
        <v>1</v>
      </c>
      <c r="M76" t="n">
        <v>0</v>
      </c>
    </row>
    <row r="77" spans="1:13">
      <c r="A77" s="1">
        <f>HYPERLINK("http://www.twitter.com/NathanBLawrence/status/998371202585583616", "998371202585583616")</f>
        <v/>
      </c>
      <c r="B77" s="2" t="n">
        <v>43241.05113425926</v>
      </c>
      <c r="C77" t="n">
        <v>2</v>
      </c>
      <c r="D77" t="n">
        <v>1</v>
      </c>
      <c r="E77" t="s">
        <v>88</v>
      </c>
      <c r="F77" t="s"/>
      <c r="G77" t="s"/>
      <c r="H77" t="s"/>
      <c r="I77" t="s"/>
      <c r="J77" t="n">
        <v>-0.8126</v>
      </c>
      <c r="K77" t="n">
        <v>0.243</v>
      </c>
      <c r="L77" t="n">
        <v>0.757</v>
      </c>
      <c r="M77" t="n">
        <v>0</v>
      </c>
    </row>
    <row r="78" spans="1:13">
      <c r="A78" s="1">
        <f>HYPERLINK("http://www.twitter.com/NathanBLawrence/status/998369871116292098", "998369871116292098")</f>
        <v/>
      </c>
      <c r="B78" s="2" t="n">
        <v>43241.0474537037</v>
      </c>
      <c r="C78" t="n">
        <v>5</v>
      </c>
      <c r="D78" t="n">
        <v>2</v>
      </c>
      <c r="E78" t="s">
        <v>89</v>
      </c>
      <c r="F78" t="s"/>
      <c r="G78" t="s"/>
      <c r="H78" t="s"/>
      <c r="I78" t="s"/>
      <c r="J78" t="n">
        <v>0</v>
      </c>
      <c r="K78" t="n">
        <v>0</v>
      </c>
      <c r="L78" t="n">
        <v>1</v>
      </c>
      <c r="M78" t="n">
        <v>0</v>
      </c>
    </row>
    <row r="79" spans="1:13">
      <c r="A79" s="1">
        <f>HYPERLINK("http://www.twitter.com/NathanBLawrence/status/998366974509019136", "998366974509019136")</f>
        <v/>
      </c>
      <c r="B79" s="2" t="n">
        <v>43241.03946759259</v>
      </c>
      <c r="C79" t="n">
        <v>4</v>
      </c>
      <c r="D79" t="n">
        <v>0</v>
      </c>
      <c r="E79" t="s">
        <v>90</v>
      </c>
      <c r="F79" t="s"/>
      <c r="G79" t="s"/>
      <c r="H79" t="s"/>
      <c r="I79" t="s"/>
      <c r="J79" t="n">
        <v>0.3182</v>
      </c>
      <c r="K79" t="n">
        <v>0</v>
      </c>
      <c r="L79" t="n">
        <v>0.905</v>
      </c>
      <c r="M79" t="n">
        <v>0.095</v>
      </c>
    </row>
    <row r="80" spans="1:13">
      <c r="A80" s="1">
        <f>HYPERLINK("http://www.twitter.com/NathanBLawrence/status/998362719177887744", "998362719177887744")</f>
        <v/>
      </c>
      <c r="B80" s="2" t="n">
        <v>43241.0277199074</v>
      </c>
      <c r="C80" t="n">
        <v>1</v>
      </c>
      <c r="D80" t="n">
        <v>1</v>
      </c>
      <c r="E80" t="s">
        <v>91</v>
      </c>
      <c r="F80" t="s"/>
      <c r="G80" t="s"/>
      <c r="H80" t="s"/>
      <c r="I80" t="s"/>
      <c r="J80" t="n">
        <v>0.3612</v>
      </c>
      <c r="K80" t="n">
        <v>0</v>
      </c>
      <c r="L80" t="n">
        <v>0.8149999999999999</v>
      </c>
      <c r="M80" t="n">
        <v>0.185</v>
      </c>
    </row>
    <row r="81" spans="1:13">
      <c r="A81" s="1">
        <f>HYPERLINK("http://www.twitter.com/NathanBLawrence/status/998361237720354817", "998361237720354817")</f>
        <v/>
      </c>
      <c r="B81" s="2" t="n">
        <v>43241.02363425926</v>
      </c>
      <c r="C81" t="n">
        <v>1</v>
      </c>
      <c r="D81" t="n">
        <v>0</v>
      </c>
      <c r="E81" t="s">
        <v>92</v>
      </c>
      <c r="F81" t="s"/>
      <c r="G81" t="s"/>
      <c r="H81" t="s"/>
      <c r="I81" t="s"/>
      <c r="J81" t="n">
        <v>0</v>
      </c>
      <c r="K81" t="n">
        <v>0</v>
      </c>
      <c r="L81" t="n">
        <v>1</v>
      </c>
      <c r="M81" t="n">
        <v>0</v>
      </c>
    </row>
    <row r="82" spans="1:13">
      <c r="A82" s="1">
        <f>HYPERLINK("http://www.twitter.com/NathanBLawrence/status/998360743752945665", "998360743752945665")</f>
        <v/>
      </c>
      <c r="B82" s="2" t="n">
        <v>43241.02226851852</v>
      </c>
      <c r="C82" t="n">
        <v>2</v>
      </c>
      <c r="D82" t="n">
        <v>1</v>
      </c>
      <c r="E82" t="s">
        <v>93</v>
      </c>
      <c r="F82" t="s"/>
      <c r="G82" t="s"/>
      <c r="H82" t="s"/>
      <c r="I82" t="s"/>
      <c r="J82" t="n">
        <v>-0.2732</v>
      </c>
      <c r="K82" t="n">
        <v>0.06</v>
      </c>
      <c r="L82" t="n">
        <v>0.9399999999999999</v>
      </c>
      <c r="M82" t="n">
        <v>0</v>
      </c>
    </row>
    <row r="83" spans="1:13">
      <c r="A83" s="1">
        <f>HYPERLINK("http://www.twitter.com/NathanBLawrence/status/998359267701817347", "998359267701817347")</f>
        <v/>
      </c>
      <c r="B83" s="2" t="n">
        <v>43241.01819444444</v>
      </c>
      <c r="C83" t="n">
        <v>2</v>
      </c>
      <c r="D83" t="n">
        <v>1</v>
      </c>
      <c r="E83" t="s">
        <v>94</v>
      </c>
      <c r="F83" t="s"/>
      <c r="G83" t="s"/>
      <c r="H83" t="s"/>
      <c r="I83" t="s"/>
      <c r="J83" t="n">
        <v>0.0202</v>
      </c>
      <c r="K83" t="n">
        <v>0.112</v>
      </c>
      <c r="L83" t="n">
        <v>0.744</v>
      </c>
      <c r="M83" t="n">
        <v>0.145</v>
      </c>
    </row>
    <row r="84" spans="1:13">
      <c r="A84" s="1">
        <f>HYPERLINK("http://www.twitter.com/NathanBLawrence/status/998357649057107968", "998357649057107968")</f>
        <v/>
      </c>
      <c r="B84" s="2" t="n">
        <v>43241.01372685185</v>
      </c>
      <c r="C84" t="n">
        <v>2</v>
      </c>
      <c r="D84" t="n">
        <v>0</v>
      </c>
      <c r="E84" t="s">
        <v>95</v>
      </c>
      <c r="F84" t="s"/>
      <c r="G84" t="s"/>
      <c r="H84" t="s"/>
      <c r="I84" t="s"/>
      <c r="J84" t="n">
        <v>0</v>
      </c>
      <c r="K84" t="n">
        <v>0</v>
      </c>
      <c r="L84" t="n">
        <v>1</v>
      </c>
      <c r="M84" t="n">
        <v>0</v>
      </c>
    </row>
    <row r="85" spans="1:13">
      <c r="A85" s="1">
        <f>HYPERLINK("http://www.twitter.com/NathanBLawrence/status/998356298851905536", "998356298851905536")</f>
        <v/>
      </c>
      <c r="B85" s="2" t="n">
        <v>43241.01</v>
      </c>
      <c r="C85" t="n">
        <v>2</v>
      </c>
      <c r="D85" t="n">
        <v>1</v>
      </c>
      <c r="E85" t="s">
        <v>96</v>
      </c>
      <c r="F85" t="s"/>
      <c r="G85" t="s"/>
      <c r="H85" t="s"/>
      <c r="I85" t="s"/>
      <c r="J85" t="n">
        <v>0</v>
      </c>
      <c r="K85" t="n">
        <v>0</v>
      </c>
      <c r="L85" t="n">
        <v>1</v>
      </c>
      <c r="M85" t="n">
        <v>0</v>
      </c>
    </row>
    <row r="86" spans="1:13">
      <c r="A86" s="1">
        <f>HYPERLINK("http://www.twitter.com/NathanBLawrence/status/998354369853771776", "998354369853771776")</f>
        <v/>
      </c>
      <c r="B86" s="2" t="n">
        <v>43241.00467592593</v>
      </c>
      <c r="C86" t="n">
        <v>2</v>
      </c>
      <c r="D86" t="n">
        <v>1</v>
      </c>
      <c r="E86" t="s">
        <v>97</v>
      </c>
      <c r="F86" t="s"/>
      <c r="G86" t="s"/>
      <c r="H86" t="s"/>
      <c r="I86" t="s"/>
      <c r="J86" t="n">
        <v>0.3612</v>
      </c>
      <c r="K86" t="n">
        <v>0</v>
      </c>
      <c r="L86" t="n">
        <v>0.8149999999999999</v>
      </c>
      <c r="M86" t="n">
        <v>0.185</v>
      </c>
    </row>
    <row r="87" spans="1:13">
      <c r="A87" s="1">
        <f>HYPERLINK("http://www.twitter.com/NathanBLawrence/status/998338760227115008", "998338760227115008")</f>
        <v/>
      </c>
      <c r="B87" s="2" t="n">
        <v>43240.96160879629</v>
      </c>
      <c r="C87" t="n">
        <v>2</v>
      </c>
      <c r="D87" t="n">
        <v>1</v>
      </c>
      <c r="E87" t="s">
        <v>98</v>
      </c>
      <c r="F87" t="s"/>
      <c r="G87" t="s"/>
      <c r="H87" t="s"/>
      <c r="I87" t="s"/>
      <c r="J87" t="n">
        <v>0.3254</v>
      </c>
      <c r="K87" t="n">
        <v>0.122</v>
      </c>
      <c r="L87" t="n">
        <v>0.746</v>
      </c>
      <c r="M87" t="n">
        <v>0.132</v>
      </c>
    </row>
    <row r="88" spans="1:13">
      <c r="A88" s="1">
        <f>HYPERLINK("http://www.twitter.com/NathanBLawrence/status/998319248782045184", "998319248782045184")</f>
        <v/>
      </c>
      <c r="B88" s="2" t="n">
        <v>43240.9077662037</v>
      </c>
      <c r="C88" t="n">
        <v>1</v>
      </c>
      <c r="D88" t="n">
        <v>0</v>
      </c>
      <c r="E88" t="s">
        <v>99</v>
      </c>
      <c r="F88" t="s"/>
      <c r="G88" t="s"/>
      <c r="H88" t="s"/>
      <c r="I88" t="s"/>
      <c r="J88" t="n">
        <v>0.3987</v>
      </c>
      <c r="K88" t="n">
        <v>0</v>
      </c>
      <c r="L88" t="n">
        <v>0.829</v>
      </c>
      <c r="M88" t="n">
        <v>0.171</v>
      </c>
    </row>
    <row r="89" spans="1:13">
      <c r="A89" s="1">
        <f>HYPERLINK("http://www.twitter.com/NathanBLawrence/status/998318759055110144", "998318759055110144")</f>
        <v/>
      </c>
      <c r="B89" s="2" t="n">
        <v>43240.90641203704</v>
      </c>
      <c r="C89" t="n">
        <v>0</v>
      </c>
      <c r="D89" t="n">
        <v>7</v>
      </c>
      <c r="E89" t="s">
        <v>100</v>
      </c>
      <c r="F89">
        <f>HYPERLINK("http://pbs.twimg.com/media/DdqpAeJU8AABOWQ.jpg", "http://pbs.twimg.com/media/DdqpAeJU8AABOWQ.jpg")</f>
        <v/>
      </c>
      <c r="G89" t="s"/>
      <c r="H89" t="s"/>
      <c r="I89" t="s"/>
      <c r="J89" t="n">
        <v>0.6588000000000001</v>
      </c>
      <c r="K89" t="n">
        <v>0</v>
      </c>
      <c r="L89" t="n">
        <v>0.785</v>
      </c>
      <c r="M89" t="n">
        <v>0.215</v>
      </c>
    </row>
    <row r="90" spans="1:13">
      <c r="A90" s="1">
        <f>HYPERLINK("http://www.twitter.com/NathanBLawrence/status/998248613213065218", "998248613213065218")</f>
        <v/>
      </c>
      <c r="B90" s="2" t="n">
        <v>43240.71284722222</v>
      </c>
      <c r="C90" t="n">
        <v>2</v>
      </c>
      <c r="D90" t="n">
        <v>1</v>
      </c>
      <c r="E90" t="s">
        <v>101</v>
      </c>
      <c r="F90" t="s"/>
      <c r="G90" t="s"/>
      <c r="H90" t="s"/>
      <c r="I90" t="s"/>
      <c r="J90" t="n">
        <v>-0.4215</v>
      </c>
      <c r="K90" t="n">
        <v>0.146</v>
      </c>
      <c r="L90" t="n">
        <v>0.787</v>
      </c>
      <c r="M90" t="n">
        <v>0.067</v>
      </c>
    </row>
    <row r="91" spans="1:13">
      <c r="A91" s="1">
        <f>HYPERLINK("http://www.twitter.com/NathanBLawrence/status/998247543422308352", "998247543422308352")</f>
        <v/>
      </c>
      <c r="B91" s="2" t="n">
        <v>43240.70989583333</v>
      </c>
      <c r="C91" t="n">
        <v>0</v>
      </c>
      <c r="D91" t="n">
        <v>0</v>
      </c>
      <c r="E91" t="s">
        <v>102</v>
      </c>
      <c r="F91" t="s"/>
      <c r="G91" t="s"/>
      <c r="H91" t="s"/>
      <c r="I91" t="s"/>
      <c r="J91" t="n">
        <v>0.0857</v>
      </c>
      <c r="K91" t="n">
        <v>0.212</v>
      </c>
      <c r="L91" t="n">
        <v>0.55</v>
      </c>
      <c r="M91" t="n">
        <v>0.238</v>
      </c>
    </row>
    <row r="92" spans="1:13">
      <c r="A92" s="1">
        <f>HYPERLINK("http://www.twitter.com/NathanBLawrence/status/998246780126072832", "998246780126072832")</f>
        <v/>
      </c>
      <c r="B92" s="2" t="n">
        <v>43240.70778935185</v>
      </c>
      <c r="C92" t="n">
        <v>0</v>
      </c>
      <c r="D92" t="n">
        <v>779</v>
      </c>
      <c r="E92" t="s">
        <v>103</v>
      </c>
      <c r="F92" t="s"/>
      <c r="G92" t="s"/>
      <c r="H92" t="s"/>
      <c r="I92" t="s"/>
      <c r="J92" t="n">
        <v>-0.0258</v>
      </c>
      <c r="K92" t="n">
        <v>0.101</v>
      </c>
      <c r="L92" t="n">
        <v>0.802</v>
      </c>
      <c r="M92" t="n">
        <v>0.097</v>
      </c>
    </row>
    <row r="93" spans="1:13">
      <c r="A93" s="1">
        <f>HYPERLINK("http://www.twitter.com/NathanBLawrence/status/998246594544889856", "998246594544889856")</f>
        <v/>
      </c>
      <c r="B93" s="2" t="n">
        <v>43240.7072800926</v>
      </c>
      <c r="C93" t="n">
        <v>1</v>
      </c>
      <c r="D93" t="n">
        <v>0</v>
      </c>
      <c r="E93" t="s">
        <v>104</v>
      </c>
      <c r="F93" t="s"/>
      <c r="G93" t="s"/>
      <c r="H93" t="s"/>
      <c r="I93" t="s"/>
      <c r="J93" t="n">
        <v>0.3257</v>
      </c>
      <c r="K93" t="n">
        <v>0</v>
      </c>
      <c r="L93" t="n">
        <v>0.75</v>
      </c>
      <c r="M93" t="n">
        <v>0.25</v>
      </c>
    </row>
    <row r="94" spans="1:13">
      <c r="A94" s="1">
        <f>HYPERLINK("http://www.twitter.com/NathanBLawrence/status/998246232194678785", "998246232194678785")</f>
        <v/>
      </c>
      <c r="B94" s="2" t="n">
        <v>43240.70627314815</v>
      </c>
      <c r="C94" t="n">
        <v>0</v>
      </c>
      <c r="D94" t="n">
        <v>10</v>
      </c>
      <c r="E94" t="s">
        <v>105</v>
      </c>
      <c r="F94">
        <f>HYPERLINK("http://pbs.twimg.com/media/DdptqP7VMAAcr-H.jpg", "http://pbs.twimg.com/media/DdptqP7VMAAcr-H.jpg")</f>
        <v/>
      </c>
      <c r="G94">
        <f>HYPERLINK("http://pbs.twimg.com/media/DdptqP7VwAAEjTy.jpg", "http://pbs.twimg.com/media/DdptqP7VwAAEjTy.jpg")</f>
        <v/>
      </c>
      <c r="H94" t="s"/>
      <c r="I94" t="s"/>
      <c r="J94" t="n">
        <v>-0.4648</v>
      </c>
      <c r="K94" t="n">
        <v>0.117</v>
      </c>
      <c r="L94" t="n">
        <v>0.827</v>
      </c>
      <c r="M94" t="n">
        <v>0.055</v>
      </c>
    </row>
    <row r="95" spans="1:13">
      <c r="A95" s="1">
        <f>HYPERLINK("http://www.twitter.com/NathanBLawrence/status/998246199340748805", "998246199340748805")</f>
        <v/>
      </c>
      <c r="B95" s="2" t="n">
        <v>43240.70619212963</v>
      </c>
      <c r="C95" t="n">
        <v>2</v>
      </c>
      <c r="D95" t="n">
        <v>1</v>
      </c>
      <c r="E95" t="s">
        <v>106</v>
      </c>
      <c r="F95" t="s"/>
      <c r="G95" t="s"/>
      <c r="H95" t="s"/>
      <c r="I95" t="s"/>
      <c r="J95" t="n">
        <v>0</v>
      </c>
      <c r="K95" t="n">
        <v>0</v>
      </c>
      <c r="L95" t="n">
        <v>1</v>
      </c>
      <c r="M95" t="n">
        <v>0</v>
      </c>
    </row>
    <row r="96" spans="1:13">
      <c r="A96" s="1">
        <f>HYPERLINK("http://www.twitter.com/NathanBLawrence/status/998245710070939648", "998245710070939648")</f>
        <v/>
      </c>
      <c r="B96" s="2" t="n">
        <v>43240.70483796296</v>
      </c>
      <c r="C96" t="n">
        <v>7</v>
      </c>
      <c r="D96" t="n">
        <v>7</v>
      </c>
      <c r="E96" t="s">
        <v>107</v>
      </c>
      <c r="F96" t="s"/>
      <c r="G96" t="s"/>
      <c r="H96" t="s"/>
      <c r="I96" t="s"/>
      <c r="J96" t="n">
        <v>0</v>
      </c>
      <c r="K96" t="n">
        <v>0</v>
      </c>
      <c r="L96" t="n">
        <v>1</v>
      </c>
      <c r="M96" t="n">
        <v>0</v>
      </c>
    </row>
    <row r="97" spans="1:13">
      <c r="A97" s="1">
        <f>HYPERLINK("http://www.twitter.com/NathanBLawrence/status/998245169920139265", "998245169920139265")</f>
        <v/>
      </c>
      <c r="B97" s="2" t="n">
        <v>43240.70334490741</v>
      </c>
      <c r="C97" t="n">
        <v>2</v>
      </c>
      <c r="D97" t="n">
        <v>0</v>
      </c>
      <c r="E97" t="s">
        <v>108</v>
      </c>
      <c r="F97" t="s"/>
      <c r="G97" t="s"/>
      <c r="H97" t="s"/>
      <c r="I97" t="s"/>
      <c r="J97" t="n">
        <v>-0.2732</v>
      </c>
      <c r="K97" t="n">
        <v>0.08400000000000001</v>
      </c>
      <c r="L97" t="n">
        <v>0.916</v>
      </c>
      <c r="M97" t="n">
        <v>0</v>
      </c>
    </row>
    <row r="98" spans="1:13">
      <c r="A98" s="1">
        <f>HYPERLINK("http://www.twitter.com/NathanBLawrence/status/998244751911673857", "998244751911673857")</f>
        <v/>
      </c>
      <c r="B98" s="2" t="n">
        <v>43240.70219907408</v>
      </c>
      <c r="C98" t="n">
        <v>0</v>
      </c>
      <c r="D98" t="n">
        <v>69</v>
      </c>
      <c r="E98" t="s">
        <v>109</v>
      </c>
      <c r="F98">
        <f>HYPERLINK("http://pbs.twimg.com/media/DdpuGdiV0AIcmSL.jpg", "http://pbs.twimg.com/media/DdpuGdiV0AIcmSL.jpg")</f>
        <v/>
      </c>
      <c r="G98">
        <f>HYPERLINK("http://pbs.twimg.com/media/DdpuGd8VwAEJfpg.jpg", "http://pbs.twimg.com/media/DdpuGd8VwAEJfpg.jpg")</f>
        <v/>
      </c>
      <c r="H98" t="s"/>
      <c r="I98" t="s"/>
      <c r="J98" t="n">
        <v>0</v>
      </c>
      <c r="K98" t="n">
        <v>0</v>
      </c>
      <c r="L98" t="n">
        <v>1</v>
      </c>
      <c r="M98" t="n">
        <v>0</v>
      </c>
    </row>
    <row r="99" spans="1:13">
      <c r="A99" s="1">
        <f>HYPERLINK("http://www.twitter.com/NathanBLawrence/status/998244451192659969", "998244451192659969")</f>
        <v/>
      </c>
      <c r="B99" s="2" t="n">
        <v>43240.70136574074</v>
      </c>
      <c r="C99" t="n">
        <v>4</v>
      </c>
      <c r="D99" t="n">
        <v>3</v>
      </c>
      <c r="E99" t="s">
        <v>110</v>
      </c>
      <c r="F99" t="s"/>
      <c r="G99" t="s"/>
      <c r="H99" t="s"/>
      <c r="I99" t="s"/>
      <c r="J99" t="n">
        <v>0</v>
      </c>
      <c r="K99" t="n">
        <v>0</v>
      </c>
      <c r="L99" t="n">
        <v>1</v>
      </c>
      <c r="M99" t="n">
        <v>0</v>
      </c>
    </row>
    <row r="100" spans="1:13">
      <c r="A100" s="1">
        <f>HYPERLINK("http://www.twitter.com/NathanBLawrence/status/998243478084685824", "998243478084685824")</f>
        <v/>
      </c>
      <c r="B100" s="2" t="n">
        <v>43240.69868055556</v>
      </c>
      <c r="C100" t="n">
        <v>1</v>
      </c>
      <c r="D100" t="n">
        <v>1</v>
      </c>
      <c r="E100" t="s">
        <v>111</v>
      </c>
      <c r="F100" t="s"/>
      <c r="G100" t="s"/>
      <c r="H100" t="s"/>
      <c r="I100" t="s"/>
      <c r="J100" t="n">
        <v>0</v>
      </c>
      <c r="K100" t="n">
        <v>0</v>
      </c>
      <c r="L100" t="n">
        <v>1</v>
      </c>
      <c r="M100" t="n">
        <v>0</v>
      </c>
    </row>
    <row r="101" spans="1:13">
      <c r="A101" s="1">
        <f>HYPERLINK("http://www.twitter.com/NathanBLawrence/status/998236419847057408", "998236419847057408")</f>
        <v/>
      </c>
      <c r="B101" s="2" t="n">
        <v>43240.67920138889</v>
      </c>
      <c r="C101" t="n">
        <v>0</v>
      </c>
      <c r="D101" t="n">
        <v>0</v>
      </c>
      <c r="E101" t="s">
        <v>112</v>
      </c>
      <c r="F101" t="s"/>
      <c r="G101" t="s"/>
      <c r="H101" t="s"/>
      <c r="I101" t="s"/>
      <c r="J101" t="n">
        <v>0</v>
      </c>
      <c r="K101" t="n">
        <v>0</v>
      </c>
      <c r="L101" t="n">
        <v>1</v>
      </c>
      <c r="M101" t="n">
        <v>0</v>
      </c>
    </row>
    <row r="102" spans="1:13">
      <c r="A102" s="1">
        <f>HYPERLINK("http://www.twitter.com/NathanBLawrence/status/998235208829820928", "998235208829820928")</f>
        <v/>
      </c>
      <c r="B102" s="2" t="n">
        <v>43240.67585648148</v>
      </c>
      <c r="C102" t="n">
        <v>0</v>
      </c>
      <c r="D102" t="n">
        <v>1753</v>
      </c>
      <c r="E102" t="s">
        <v>113</v>
      </c>
      <c r="F102" t="s"/>
      <c r="G102" t="s"/>
      <c r="H102" t="s"/>
      <c r="I102" t="s"/>
      <c r="J102" t="n">
        <v>0.6249</v>
      </c>
      <c r="K102" t="n">
        <v>0</v>
      </c>
      <c r="L102" t="n">
        <v>0.788</v>
      </c>
      <c r="M102" t="n">
        <v>0.212</v>
      </c>
    </row>
    <row r="103" spans="1:13">
      <c r="A103" s="1">
        <f>HYPERLINK("http://www.twitter.com/NathanBLawrence/status/998234186296242182", "998234186296242182")</f>
        <v/>
      </c>
      <c r="B103" s="2" t="n">
        <v>43240.67303240741</v>
      </c>
      <c r="C103" t="n">
        <v>1</v>
      </c>
      <c r="D103" t="n">
        <v>0</v>
      </c>
      <c r="E103" t="s">
        <v>114</v>
      </c>
      <c r="F103" t="s"/>
      <c r="G103" t="s"/>
      <c r="H103" t="s"/>
      <c r="I103" t="s"/>
      <c r="J103" t="n">
        <v>0</v>
      </c>
      <c r="K103" t="n">
        <v>0</v>
      </c>
      <c r="L103" t="n">
        <v>1</v>
      </c>
      <c r="M103" t="n">
        <v>0</v>
      </c>
    </row>
    <row r="104" spans="1:13">
      <c r="A104" s="1">
        <f>HYPERLINK("http://www.twitter.com/NathanBLawrence/status/998204974696947712", "998204974696947712")</f>
        <v/>
      </c>
      <c r="B104" s="2" t="n">
        <v>43240.59243055555</v>
      </c>
      <c r="C104" t="n">
        <v>2</v>
      </c>
      <c r="D104" t="n">
        <v>0</v>
      </c>
      <c r="E104" t="s">
        <v>115</v>
      </c>
      <c r="F104" t="s"/>
      <c r="G104" t="s"/>
      <c r="H104" t="s"/>
      <c r="I104" t="s"/>
      <c r="J104" t="n">
        <v>0.3164</v>
      </c>
      <c r="K104" t="n">
        <v>0.04</v>
      </c>
      <c r="L104" t="n">
        <v>0.869</v>
      </c>
      <c r="M104" t="n">
        <v>0.091</v>
      </c>
    </row>
    <row r="105" spans="1:13">
      <c r="A105" s="1">
        <f>HYPERLINK("http://www.twitter.com/NathanBLawrence/status/998199695880212480", "998199695880212480")</f>
        <v/>
      </c>
      <c r="B105" s="2" t="n">
        <v>43240.5778587963</v>
      </c>
      <c r="C105" t="n">
        <v>1</v>
      </c>
      <c r="D105" t="n">
        <v>0</v>
      </c>
      <c r="E105" t="s">
        <v>116</v>
      </c>
      <c r="F105">
        <f>HYPERLINK("http://pbs.twimg.com/media/DdpRU97VAAAeF-6.jpg", "http://pbs.twimg.com/media/DdpRU97VAAAeF-6.jpg")</f>
        <v/>
      </c>
      <c r="G105" t="s"/>
      <c r="H105" t="s"/>
      <c r="I105" t="s"/>
      <c r="J105" t="n">
        <v>0</v>
      </c>
      <c r="K105" t="n">
        <v>0</v>
      </c>
      <c r="L105" t="n">
        <v>1</v>
      </c>
      <c r="M105" t="n">
        <v>0</v>
      </c>
    </row>
    <row r="106" spans="1:13">
      <c r="A106" s="1">
        <f>HYPERLINK("http://www.twitter.com/NathanBLawrence/status/998199642889314304", "998199642889314304")</f>
        <v/>
      </c>
      <c r="B106" s="2" t="n">
        <v>43240.57771990741</v>
      </c>
      <c r="C106" t="n">
        <v>1</v>
      </c>
      <c r="D106" t="n">
        <v>0</v>
      </c>
      <c r="E106" t="s">
        <v>117</v>
      </c>
      <c r="F106">
        <f>HYPERLINK("http://pbs.twimg.com/media/DdpRR7yV0AAK-nd.jpg", "http://pbs.twimg.com/media/DdpRR7yV0AAK-nd.jpg")</f>
        <v/>
      </c>
      <c r="G106" t="s"/>
      <c r="H106" t="s"/>
      <c r="I106" t="s"/>
      <c r="J106" t="n">
        <v>0</v>
      </c>
      <c r="K106" t="n">
        <v>0</v>
      </c>
      <c r="L106" t="n">
        <v>1</v>
      </c>
      <c r="M106" t="n">
        <v>0</v>
      </c>
    </row>
    <row r="107" spans="1:13">
      <c r="A107" s="1">
        <f>HYPERLINK("http://www.twitter.com/NathanBLawrence/status/998199579135873025", "998199579135873025")</f>
        <v/>
      </c>
      <c r="B107" s="2" t="n">
        <v>43240.57753472222</v>
      </c>
      <c r="C107" t="n">
        <v>1</v>
      </c>
      <c r="D107" t="n">
        <v>0</v>
      </c>
      <c r="E107" t="s">
        <v>118</v>
      </c>
      <c r="F107" t="s"/>
      <c r="G107" t="s"/>
      <c r="H107" t="s"/>
      <c r="I107" t="s"/>
      <c r="J107" t="n">
        <v>0</v>
      </c>
      <c r="K107" t="n">
        <v>0</v>
      </c>
      <c r="L107" t="n">
        <v>1</v>
      </c>
      <c r="M107" t="n">
        <v>0</v>
      </c>
    </row>
    <row r="108" spans="1:13">
      <c r="A108" s="1">
        <f>HYPERLINK("http://www.twitter.com/NathanBLawrence/status/998199202495819778", "998199202495819778")</f>
        <v/>
      </c>
      <c r="B108" s="2" t="n">
        <v>43240.57650462963</v>
      </c>
      <c r="C108" t="n">
        <v>8</v>
      </c>
      <c r="D108" t="n">
        <v>5</v>
      </c>
      <c r="E108" t="s">
        <v>119</v>
      </c>
      <c r="F108" t="s"/>
      <c r="G108" t="s"/>
      <c r="H108" t="s"/>
      <c r="I108" t="s"/>
      <c r="J108" t="n">
        <v>-0.2808</v>
      </c>
      <c r="K108" t="n">
        <v>0.061</v>
      </c>
      <c r="L108" t="n">
        <v>0.9389999999999999</v>
      </c>
      <c r="M108" t="n">
        <v>0</v>
      </c>
    </row>
    <row r="109" spans="1:13">
      <c r="A109" s="1">
        <f>HYPERLINK("http://www.twitter.com/NathanBLawrence/status/998195850680700930", "998195850680700930")</f>
        <v/>
      </c>
      <c r="B109" s="2" t="n">
        <v>43240.56725694444</v>
      </c>
      <c r="C109" t="n">
        <v>10</v>
      </c>
      <c r="D109" t="n">
        <v>7</v>
      </c>
      <c r="E109" t="s">
        <v>120</v>
      </c>
      <c r="F109" t="s"/>
      <c r="G109" t="s"/>
      <c r="H109" t="s"/>
      <c r="I109" t="s"/>
      <c r="J109" t="n">
        <v>-0.5266999999999999</v>
      </c>
      <c r="K109" t="n">
        <v>0.18</v>
      </c>
      <c r="L109" t="n">
        <v>0.82</v>
      </c>
      <c r="M109" t="n">
        <v>0</v>
      </c>
    </row>
    <row r="110" spans="1:13">
      <c r="A110" s="1">
        <f>HYPERLINK("http://www.twitter.com/NathanBLawrence/status/998194977070026753", "998194977070026753")</f>
        <v/>
      </c>
      <c r="B110" s="2" t="n">
        <v>43240.56483796296</v>
      </c>
      <c r="C110" t="n">
        <v>2</v>
      </c>
      <c r="D110" t="n">
        <v>0</v>
      </c>
      <c r="E110" t="s">
        <v>121</v>
      </c>
      <c r="F110" t="s"/>
      <c r="G110" t="s"/>
      <c r="H110" t="s"/>
      <c r="I110" t="s"/>
      <c r="J110" t="n">
        <v>0.3612</v>
      </c>
      <c r="K110" t="n">
        <v>0</v>
      </c>
      <c r="L110" t="n">
        <v>0.872</v>
      </c>
      <c r="M110" t="n">
        <v>0.128</v>
      </c>
    </row>
    <row r="111" spans="1:13">
      <c r="A111" s="1">
        <f>HYPERLINK("http://www.twitter.com/NathanBLawrence/status/998194359525871616", "998194359525871616")</f>
        <v/>
      </c>
      <c r="B111" s="2" t="n">
        <v>43240.56313657408</v>
      </c>
      <c r="C111" t="n">
        <v>11</v>
      </c>
      <c r="D111" t="n">
        <v>5</v>
      </c>
      <c r="E111" t="s">
        <v>122</v>
      </c>
      <c r="F111" t="s"/>
      <c r="G111" t="s"/>
      <c r="H111" t="s"/>
      <c r="I111" t="s"/>
      <c r="J111" t="n">
        <v>0.3612</v>
      </c>
      <c r="K111" t="n">
        <v>0</v>
      </c>
      <c r="L111" t="n">
        <v>0.872</v>
      </c>
      <c r="M111" t="n">
        <v>0.128</v>
      </c>
    </row>
    <row r="112" spans="1:13">
      <c r="A112" s="1">
        <f>HYPERLINK("http://www.twitter.com/NathanBLawrence/status/998193105412214784", "998193105412214784")</f>
        <v/>
      </c>
      <c r="B112" s="2" t="n">
        <v>43240.55967592593</v>
      </c>
      <c r="C112" t="n">
        <v>1</v>
      </c>
      <c r="D112" t="n">
        <v>0</v>
      </c>
      <c r="E112" t="s">
        <v>123</v>
      </c>
      <c r="F112" t="s"/>
      <c r="G112" t="s"/>
      <c r="H112" t="s"/>
      <c r="I112" t="s"/>
      <c r="J112" t="n">
        <v>0</v>
      </c>
      <c r="K112" t="n">
        <v>0</v>
      </c>
      <c r="L112" t="n">
        <v>1</v>
      </c>
      <c r="M112" t="n">
        <v>0</v>
      </c>
    </row>
    <row r="113" spans="1:13">
      <c r="A113" s="1">
        <f>HYPERLINK("http://www.twitter.com/NathanBLawrence/status/998192847223492609", "998192847223492609")</f>
        <v/>
      </c>
      <c r="B113" s="2" t="n">
        <v>43240.55895833333</v>
      </c>
      <c r="C113" t="n">
        <v>1</v>
      </c>
      <c r="D113" t="n">
        <v>0</v>
      </c>
      <c r="E113" t="s">
        <v>124</v>
      </c>
      <c r="F113" t="s"/>
      <c r="G113" t="s"/>
      <c r="H113" t="s"/>
      <c r="I113" t="s"/>
      <c r="J113" t="n">
        <v>0.609</v>
      </c>
      <c r="K113" t="n">
        <v>0.079</v>
      </c>
      <c r="L113" t="n">
        <v>0.787</v>
      </c>
      <c r="M113" t="n">
        <v>0.135</v>
      </c>
    </row>
    <row r="114" spans="1:13">
      <c r="A114" s="1">
        <f>HYPERLINK("http://www.twitter.com/NathanBLawrence/status/998191516651802624", "998191516651802624")</f>
        <v/>
      </c>
      <c r="B114" s="2" t="n">
        <v>43240.55528935185</v>
      </c>
      <c r="C114" t="n">
        <v>2</v>
      </c>
      <c r="D114" t="n">
        <v>0</v>
      </c>
      <c r="E114" t="s">
        <v>125</v>
      </c>
      <c r="F114" t="s"/>
      <c r="G114" t="s"/>
      <c r="H114" t="s"/>
      <c r="I114" t="s"/>
      <c r="J114" t="n">
        <v>0</v>
      </c>
      <c r="K114" t="n">
        <v>0</v>
      </c>
      <c r="L114" t="n">
        <v>1</v>
      </c>
      <c r="M114" t="n">
        <v>0</v>
      </c>
    </row>
    <row r="115" spans="1:13">
      <c r="A115" s="1">
        <f>HYPERLINK("http://www.twitter.com/NathanBLawrence/status/998012141843222530", "998012141843222530")</f>
        <v/>
      </c>
      <c r="B115" s="2" t="n">
        <v>43240.0603125</v>
      </c>
      <c r="C115" t="n">
        <v>12</v>
      </c>
      <c r="D115" t="n">
        <v>3</v>
      </c>
      <c r="E115" t="s">
        <v>126</v>
      </c>
      <c r="F115">
        <f>HYPERLINK("http://pbs.twimg.com/media/DdmmvyiU0AA6R3v.jpg", "http://pbs.twimg.com/media/DdmmvyiU0AA6R3v.jpg")</f>
        <v/>
      </c>
      <c r="G115" t="s"/>
      <c r="H115" t="s"/>
      <c r="I115" t="s"/>
      <c r="J115" t="n">
        <v>0</v>
      </c>
      <c r="K115" t="n">
        <v>0</v>
      </c>
      <c r="L115" t="n">
        <v>1</v>
      </c>
      <c r="M115" t="n">
        <v>0</v>
      </c>
    </row>
    <row r="116" spans="1:13">
      <c r="A116" s="1">
        <f>HYPERLINK("http://www.twitter.com/NathanBLawrence/status/998011229150105600", "998011229150105600")</f>
        <v/>
      </c>
      <c r="B116" s="2" t="n">
        <v>43240.05778935185</v>
      </c>
      <c r="C116" t="n">
        <v>1</v>
      </c>
      <c r="D116" t="n">
        <v>0</v>
      </c>
      <c r="E116" t="s">
        <v>127</v>
      </c>
      <c r="F116">
        <f>HYPERLINK("http://pbs.twimg.com/media/Ddml6slU8AEmHzo.jpg", "http://pbs.twimg.com/media/Ddml6slU8AEmHzo.jpg")</f>
        <v/>
      </c>
      <c r="G116" t="s"/>
      <c r="H116" t="s"/>
      <c r="I116" t="s"/>
      <c r="J116" t="n">
        <v>-0.575</v>
      </c>
      <c r="K116" t="n">
        <v>0.252</v>
      </c>
      <c r="L116" t="n">
        <v>0.748</v>
      </c>
      <c r="M116" t="n">
        <v>0</v>
      </c>
    </row>
    <row r="117" spans="1:13">
      <c r="A117" s="1">
        <f>HYPERLINK("http://www.twitter.com/NathanBLawrence/status/998010386866692096", "998010386866692096")</f>
        <v/>
      </c>
      <c r="B117" s="2" t="n">
        <v>43240.05547453704</v>
      </c>
      <c r="C117" t="n">
        <v>2</v>
      </c>
      <c r="D117" t="n">
        <v>0</v>
      </c>
      <c r="E117" t="s">
        <v>128</v>
      </c>
      <c r="F117" t="s"/>
      <c r="G117" t="s"/>
      <c r="H117" t="s"/>
      <c r="I117" t="s"/>
      <c r="J117" t="n">
        <v>0</v>
      </c>
      <c r="K117" t="n">
        <v>0</v>
      </c>
      <c r="L117" t="n">
        <v>1</v>
      </c>
      <c r="M117" t="n">
        <v>0</v>
      </c>
    </row>
    <row r="118" spans="1:13">
      <c r="A118" s="1">
        <f>HYPERLINK("http://www.twitter.com/NathanBLawrence/status/997995015732416512", "997995015732416512")</f>
        <v/>
      </c>
      <c r="B118" s="2" t="n">
        <v>43240.01305555556</v>
      </c>
      <c r="C118" t="n">
        <v>1</v>
      </c>
      <c r="D118" t="n">
        <v>0</v>
      </c>
      <c r="E118" t="s">
        <v>129</v>
      </c>
      <c r="F118" t="s"/>
      <c r="G118" t="s"/>
      <c r="H118" t="s"/>
      <c r="I118" t="s"/>
      <c r="J118" t="n">
        <v>-0.2263</v>
      </c>
      <c r="K118" t="n">
        <v>0.061</v>
      </c>
      <c r="L118" t="n">
        <v>0.9389999999999999</v>
      </c>
      <c r="M118" t="n">
        <v>0</v>
      </c>
    </row>
    <row r="119" spans="1:13">
      <c r="A119" s="1">
        <f>HYPERLINK("http://www.twitter.com/NathanBLawrence/status/997989862992171008", "997989862992171008")</f>
        <v/>
      </c>
      <c r="B119" s="2" t="n">
        <v>43239.99883101852</v>
      </c>
      <c r="C119" t="n">
        <v>1</v>
      </c>
      <c r="D119" t="n">
        <v>1</v>
      </c>
      <c r="E119" t="s">
        <v>130</v>
      </c>
      <c r="F119" t="s"/>
      <c r="G119" t="s"/>
      <c r="H119" t="s"/>
      <c r="I119" t="s"/>
      <c r="J119" t="n">
        <v>0.7783</v>
      </c>
      <c r="K119" t="n">
        <v>0</v>
      </c>
      <c r="L119" t="n">
        <v>0.702</v>
      </c>
      <c r="M119" t="n">
        <v>0.298</v>
      </c>
    </row>
    <row r="120" spans="1:13">
      <c r="A120" s="1">
        <f>HYPERLINK("http://www.twitter.com/NathanBLawrence/status/997942250217799680", "997942250217799680")</f>
        <v/>
      </c>
      <c r="B120" s="2" t="n">
        <v>43239.86744212963</v>
      </c>
      <c r="C120" t="n">
        <v>3</v>
      </c>
      <c r="D120" t="n">
        <v>0</v>
      </c>
      <c r="E120" t="s">
        <v>131</v>
      </c>
      <c r="F120" t="s"/>
      <c r="G120" t="s"/>
      <c r="H120" t="s"/>
      <c r="I120" t="s"/>
      <c r="J120" t="n">
        <v>-0.4574</v>
      </c>
      <c r="K120" t="n">
        <v>0.166</v>
      </c>
      <c r="L120" t="n">
        <v>0.834</v>
      </c>
      <c r="M120" t="n">
        <v>0</v>
      </c>
    </row>
    <row r="121" spans="1:13">
      <c r="A121" s="1">
        <f>HYPERLINK("http://www.twitter.com/NathanBLawrence/status/997892098367066113", "997892098367066113")</f>
        <v/>
      </c>
      <c r="B121" s="2" t="n">
        <v>43239.72905092593</v>
      </c>
      <c r="C121" t="n">
        <v>2</v>
      </c>
      <c r="D121" t="n">
        <v>0</v>
      </c>
      <c r="E121" t="s">
        <v>132</v>
      </c>
      <c r="F121" t="s"/>
      <c r="G121" t="s"/>
      <c r="H121" t="s"/>
      <c r="I121" t="s"/>
      <c r="J121" t="n">
        <v>0</v>
      </c>
      <c r="K121" t="n">
        <v>0</v>
      </c>
      <c r="L121" t="n">
        <v>1</v>
      </c>
      <c r="M121" t="n">
        <v>0</v>
      </c>
    </row>
    <row r="122" spans="1:13">
      <c r="A122" s="1">
        <f>HYPERLINK("http://www.twitter.com/NathanBLawrence/status/997882565305491459", "997882565305491459")</f>
        <v/>
      </c>
      <c r="B122" s="2" t="n">
        <v>43239.70274305555</v>
      </c>
      <c r="C122" t="n">
        <v>1</v>
      </c>
      <c r="D122" t="n">
        <v>1</v>
      </c>
      <c r="E122" t="s">
        <v>133</v>
      </c>
      <c r="F122" t="s"/>
      <c r="G122" t="s"/>
      <c r="H122" t="s"/>
      <c r="I122" t="s"/>
      <c r="J122" t="n">
        <v>-0.8625</v>
      </c>
      <c r="K122" t="n">
        <v>0.444</v>
      </c>
      <c r="L122" t="n">
        <v>0.556</v>
      </c>
      <c r="M122" t="n">
        <v>0</v>
      </c>
    </row>
    <row r="123" spans="1:13">
      <c r="A123" s="1">
        <f>HYPERLINK("http://www.twitter.com/NathanBLawrence/status/997882262459994112", "997882262459994112")</f>
        <v/>
      </c>
      <c r="B123" s="2" t="n">
        <v>43239.70190972222</v>
      </c>
      <c r="C123" t="n">
        <v>0</v>
      </c>
      <c r="D123" t="n">
        <v>0</v>
      </c>
      <c r="E123" t="s">
        <v>134</v>
      </c>
      <c r="F123" t="s"/>
      <c r="G123" t="s"/>
      <c r="H123" t="s"/>
      <c r="I123" t="s"/>
      <c r="J123" t="n">
        <v>0.2285</v>
      </c>
      <c r="K123" t="n">
        <v>0.104</v>
      </c>
      <c r="L123" t="n">
        <v>0.765</v>
      </c>
      <c r="M123" t="n">
        <v>0.131</v>
      </c>
    </row>
    <row r="124" spans="1:13">
      <c r="A124" s="1">
        <f>HYPERLINK("http://www.twitter.com/NathanBLawrence/status/997881251901202433", "997881251901202433")</f>
        <v/>
      </c>
      <c r="B124" s="2" t="n">
        <v>43239.69912037037</v>
      </c>
      <c r="C124" t="n">
        <v>1</v>
      </c>
      <c r="D124" t="n">
        <v>0</v>
      </c>
      <c r="E124" t="s">
        <v>135</v>
      </c>
      <c r="F124" t="s"/>
      <c r="G124" t="s"/>
      <c r="H124" t="s"/>
      <c r="I124" t="s"/>
      <c r="J124" t="n">
        <v>0.4404</v>
      </c>
      <c r="K124" t="n">
        <v>0</v>
      </c>
      <c r="L124" t="n">
        <v>0.906</v>
      </c>
      <c r="M124" t="n">
        <v>0.094</v>
      </c>
    </row>
    <row r="125" spans="1:13">
      <c r="A125" s="1">
        <f>HYPERLINK("http://www.twitter.com/NathanBLawrence/status/997880799180541952", "997880799180541952")</f>
        <v/>
      </c>
      <c r="B125" s="2" t="n">
        <v>43239.69787037037</v>
      </c>
      <c r="C125" t="n">
        <v>1</v>
      </c>
      <c r="D125" t="n">
        <v>0</v>
      </c>
      <c r="E125" t="s">
        <v>136</v>
      </c>
      <c r="F125" t="s"/>
      <c r="G125" t="s"/>
      <c r="H125" t="s"/>
      <c r="I125" t="s"/>
      <c r="J125" t="n">
        <v>0.8007</v>
      </c>
      <c r="K125" t="n">
        <v>0</v>
      </c>
      <c r="L125" t="n">
        <v>0.295</v>
      </c>
      <c r="M125" t="n">
        <v>0.705</v>
      </c>
    </row>
    <row r="126" spans="1:13">
      <c r="A126" s="1">
        <f>HYPERLINK("http://www.twitter.com/NathanBLawrence/status/997880737931169792", "997880737931169792")</f>
        <v/>
      </c>
      <c r="B126" s="2" t="n">
        <v>43239.69770833333</v>
      </c>
      <c r="C126" t="n">
        <v>0</v>
      </c>
      <c r="D126" t="n">
        <v>0</v>
      </c>
      <c r="E126" t="s">
        <v>137</v>
      </c>
      <c r="F126" t="s"/>
      <c r="G126" t="s"/>
      <c r="H126" t="s"/>
      <c r="I126" t="s"/>
      <c r="J126" t="n">
        <v>0</v>
      </c>
      <c r="K126" t="n">
        <v>0</v>
      </c>
      <c r="L126" t="n">
        <v>1</v>
      </c>
      <c r="M126" t="n">
        <v>0</v>
      </c>
    </row>
    <row r="127" spans="1:13">
      <c r="A127" s="1">
        <f>HYPERLINK("http://www.twitter.com/NathanBLawrence/status/997880608515870720", "997880608515870720")</f>
        <v/>
      </c>
      <c r="B127" s="2" t="n">
        <v>43239.69734953704</v>
      </c>
      <c r="C127" t="n">
        <v>0</v>
      </c>
      <c r="D127" t="n">
        <v>0</v>
      </c>
      <c r="E127" t="s">
        <v>138</v>
      </c>
      <c r="F127" t="s"/>
      <c r="G127" t="s"/>
      <c r="H127" t="s"/>
      <c r="I127" t="s"/>
      <c r="J127" t="n">
        <v>-0.5266999999999999</v>
      </c>
      <c r="K127" t="n">
        <v>0.327</v>
      </c>
      <c r="L127" t="n">
        <v>0.673</v>
      </c>
      <c r="M127" t="n">
        <v>0</v>
      </c>
    </row>
    <row r="128" spans="1:13">
      <c r="A128" s="1">
        <f>HYPERLINK("http://www.twitter.com/NathanBLawrence/status/997868527703986176", "997868527703986176")</f>
        <v/>
      </c>
      <c r="B128" s="2" t="n">
        <v>43239.6640162037</v>
      </c>
      <c r="C128" t="n">
        <v>1</v>
      </c>
      <c r="D128" t="n">
        <v>0</v>
      </c>
      <c r="E128" t="s">
        <v>139</v>
      </c>
      <c r="F128" t="s"/>
      <c r="G128" t="s"/>
      <c r="H128" t="s"/>
      <c r="I128" t="s"/>
      <c r="J128" t="n">
        <v>-0.7574</v>
      </c>
      <c r="K128" t="n">
        <v>0.334</v>
      </c>
      <c r="L128" t="n">
        <v>0.523</v>
      </c>
      <c r="M128" t="n">
        <v>0.143</v>
      </c>
    </row>
    <row r="129" spans="1:13">
      <c r="A129" s="1">
        <f>HYPERLINK("http://www.twitter.com/NathanBLawrence/status/997867871777804288", "997867871777804288")</f>
        <v/>
      </c>
      <c r="B129" s="2" t="n">
        <v>43239.66219907408</v>
      </c>
      <c r="C129" t="n">
        <v>0</v>
      </c>
      <c r="D129" t="n">
        <v>7</v>
      </c>
      <c r="E129" t="s">
        <v>140</v>
      </c>
      <c r="F129" t="s"/>
      <c r="G129" t="s"/>
      <c r="H129" t="s"/>
      <c r="I129" t="s"/>
      <c r="J129" t="n">
        <v>-0.6808</v>
      </c>
      <c r="K129" t="n">
        <v>0.258</v>
      </c>
      <c r="L129" t="n">
        <v>0.66</v>
      </c>
      <c r="M129" t="n">
        <v>0.082</v>
      </c>
    </row>
    <row r="130" spans="1:13">
      <c r="A130" s="1">
        <f>HYPERLINK("http://www.twitter.com/NathanBLawrence/status/997867435427590150", "997867435427590150")</f>
        <v/>
      </c>
      <c r="B130" s="2" t="n">
        <v>43239.66099537037</v>
      </c>
      <c r="C130" t="n">
        <v>0</v>
      </c>
      <c r="D130" t="n">
        <v>2071</v>
      </c>
      <c r="E130" t="s">
        <v>141</v>
      </c>
      <c r="F130">
        <f>HYPERLINK("https://video.twimg.com/ext_tw_video/997856301152550912/pu/vid/1280x720/clmeTFbgnx4YH-gG.mp4?tag=3", "https://video.twimg.com/ext_tw_video/997856301152550912/pu/vid/1280x720/clmeTFbgnx4YH-gG.mp4?tag=3")</f>
        <v/>
      </c>
      <c r="G130" t="s"/>
      <c r="H130" t="s"/>
      <c r="I130" t="s"/>
      <c r="J130" t="n">
        <v>-0.8831</v>
      </c>
      <c r="K130" t="n">
        <v>0.377</v>
      </c>
      <c r="L130" t="n">
        <v>0.623</v>
      </c>
      <c r="M130" t="n">
        <v>0</v>
      </c>
    </row>
    <row r="131" spans="1:13">
      <c r="A131" s="1">
        <f>HYPERLINK("http://www.twitter.com/NathanBLawrence/status/997866169502785536", "997866169502785536")</f>
        <v/>
      </c>
      <c r="B131" s="2" t="n">
        <v>43239.6575</v>
      </c>
      <c r="C131" t="n">
        <v>0</v>
      </c>
      <c r="D131" t="n">
        <v>0</v>
      </c>
      <c r="E131" t="s">
        <v>142</v>
      </c>
      <c r="F131" t="s"/>
      <c r="G131" t="s"/>
      <c r="H131" t="s"/>
      <c r="I131" t="s"/>
      <c r="J131" t="n">
        <v>0.7233000000000001</v>
      </c>
      <c r="K131" t="n">
        <v>0</v>
      </c>
      <c r="L131" t="n">
        <v>0.698</v>
      </c>
      <c r="M131" t="n">
        <v>0.302</v>
      </c>
    </row>
    <row r="132" spans="1:13">
      <c r="A132" s="1">
        <f>HYPERLINK("http://www.twitter.com/NathanBLawrence/status/997839638764097537", "997839638764097537")</f>
        <v/>
      </c>
      <c r="B132" s="2" t="n">
        <v>43239.58429398148</v>
      </c>
      <c r="C132" t="n">
        <v>0</v>
      </c>
      <c r="D132" t="n">
        <v>0</v>
      </c>
      <c r="E132" t="s">
        <v>143</v>
      </c>
      <c r="F132" t="s"/>
      <c r="G132" t="s"/>
      <c r="H132" t="s"/>
      <c r="I132" t="s"/>
      <c r="J132" t="n">
        <v>0.5994</v>
      </c>
      <c r="K132" t="n">
        <v>0</v>
      </c>
      <c r="L132" t="n">
        <v>0.738</v>
      </c>
      <c r="M132" t="n">
        <v>0.262</v>
      </c>
    </row>
    <row r="133" spans="1:13">
      <c r="A133" s="1">
        <f>HYPERLINK("http://www.twitter.com/NathanBLawrence/status/997839281677848577", "997839281677848577")</f>
        <v/>
      </c>
      <c r="B133" s="2" t="n">
        <v>43239.58331018518</v>
      </c>
      <c r="C133" t="n">
        <v>3</v>
      </c>
      <c r="D133" t="n">
        <v>0</v>
      </c>
      <c r="E133" t="s">
        <v>144</v>
      </c>
      <c r="F133" t="s"/>
      <c r="G133" t="s"/>
      <c r="H133" t="s"/>
      <c r="I133" t="s"/>
      <c r="J133" t="n">
        <v>0</v>
      </c>
      <c r="K133" t="n">
        <v>0</v>
      </c>
      <c r="L133" t="n">
        <v>1</v>
      </c>
      <c r="M133" t="n">
        <v>0</v>
      </c>
    </row>
    <row r="134" spans="1:13">
      <c r="A134" s="1">
        <f>HYPERLINK("http://www.twitter.com/NathanBLawrence/status/997838855905665024", "997838855905665024")</f>
        <v/>
      </c>
      <c r="B134" s="2" t="n">
        <v>43239.58212962963</v>
      </c>
      <c r="C134" t="n">
        <v>8</v>
      </c>
      <c r="D134" t="n">
        <v>3</v>
      </c>
      <c r="E134" t="s">
        <v>145</v>
      </c>
      <c r="F134" t="s"/>
      <c r="G134" t="s"/>
      <c r="H134" t="s"/>
      <c r="I134" t="s"/>
      <c r="J134" t="n">
        <v>0.6249</v>
      </c>
      <c r="K134" t="n">
        <v>0.051</v>
      </c>
      <c r="L134" t="n">
        <v>0.793</v>
      </c>
      <c r="M134" t="n">
        <v>0.156</v>
      </c>
    </row>
    <row r="135" spans="1:13">
      <c r="A135" s="1">
        <f>HYPERLINK("http://www.twitter.com/NathanBLawrence/status/997835255699640321", "997835255699640321")</f>
        <v/>
      </c>
      <c r="B135" s="2" t="n">
        <v>43239.57219907407</v>
      </c>
      <c r="C135" t="n">
        <v>3</v>
      </c>
      <c r="D135" t="n">
        <v>1</v>
      </c>
      <c r="E135" t="s">
        <v>146</v>
      </c>
      <c r="F135" t="s"/>
      <c r="G135" t="s"/>
      <c r="H135" t="s"/>
      <c r="I135" t="s"/>
      <c r="J135" t="n">
        <v>0.4939</v>
      </c>
      <c r="K135" t="n">
        <v>0</v>
      </c>
      <c r="L135" t="n">
        <v>0.6860000000000001</v>
      </c>
      <c r="M135" t="n">
        <v>0.314</v>
      </c>
    </row>
    <row r="136" spans="1:13">
      <c r="A136" s="1">
        <f>HYPERLINK("http://www.twitter.com/NathanBLawrence/status/997828830462169089", "997828830462169089")</f>
        <v/>
      </c>
      <c r="B136" s="2" t="n">
        <v>43239.55446759259</v>
      </c>
      <c r="C136" t="n">
        <v>0</v>
      </c>
      <c r="D136" t="n">
        <v>1390</v>
      </c>
      <c r="E136" t="s">
        <v>147</v>
      </c>
      <c r="F136" t="s"/>
      <c r="G136" t="s"/>
      <c r="H136" t="s"/>
      <c r="I136" t="s"/>
      <c r="J136" t="n">
        <v>-0.0772</v>
      </c>
      <c r="K136" t="n">
        <v>0.098</v>
      </c>
      <c r="L136" t="n">
        <v>0.8159999999999999</v>
      </c>
      <c r="M136" t="n">
        <v>0.08599999999999999</v>
      </c>
    </row>
    <row r="137" spans="1:13">
      <c r="A137" s="1">
        <f>HYPERLINK("http://www.twitter.com/NathanBLawrence/status/997828397438062594", "997828397438062594")</f>
        <v/>
      </c>
      <c r="B137" s="2" t="n">
        <v>43239.55327546296</v>
      </c>
      <c r="C137" t="n">
        <v>0</v>
      </c>
      <c r="D137" t="n">
        <v>0</v>
      </c>
      <c r="E137" t="s">
        <v>148</v>
      </c>
      <c r="F137" t="s"/>
      <c r="G137" t="s"/>
      <c r="H137" t="s"/>
      <c r="I137" t="s"/>
      <c r="J137" t="n">
        <v>-0.643</v>
      </c>
      <c r="K137" t="n">
        <v>0.378</v>
      </c>
      <c r="L137" t="n">
        <v>0.622</v>
      </c>
      <c r="M137" t="n">
        <v>0</v>
      </c>
    </row>
    <row r="138" spans="1:13">
      <c r="A138" s="1">
        <f>HYPERLINK("http://www.twitter.com/NathanBLawrence/status/997824671369322496", "997824671369322496")</f>
        <v/>
      </c>
      <c r="B138" s="2" t="n">
        <v>43239.54298611111</v>
      </c>
      <c r="C138" t="n">
        <v>0</v>
      </c>
      <c r="D138" t="n">
        <v>0</v>
      </c>
      <c r="E138" t="s">
        <v>149</v>
      </c>
      <c r="F138" t="s"/>
      <c r="G138" t="s"/>
      <c r="H138" t="s"/>
      <c r="I138" t="s"/>
      <c r="J138" t="n">
        <v>0.3182</v>
      </c>
      <c r="K138" t="n">
        <v>0</v>
      </c>
      <c r="L138" t="n">
        <v>0.6850000000000001</v>
      </c>
      <c r="M138" t="n">
        <v>0.315</v>
      </c>
    </row>
    <row r="139" spans="1:13">
      <c r="A139" s="1">
        <f>HYPERLINK("http://www.twitter.com/NathanBLawrence/status/997824334331809792", "997824334331809792")</f>
        <v/>
      </c>
      <c r="B139" s="2" t="n">
        <v>43239.54206018519</v>
      </c>
      <c r="C139" t="n">
        <v>0</v>
      </c>
      <c r="D139" t="n">
        <v>0</v>
      </c>
      <c r="E139" t="s">
        <v>150</v>
      </c>
      <c r="F139" t="s"/>
      <c r="G139" t="s"/>
      <c r="H139" t="s"/>
      <c r="I139" t="s"/>
      <c r="J139" t="n">
        <v>-0.3732</v>
      </c>
      <c r="K139" t="n">
        <v>0.543</v>
      </c>
      <c r="L139" t="n">
        <v>0.457</v>
      </c>
      <c r="M139" t="n">
        <v>0</v>
      </c>
    </row>
    <row r="140" spans="1:13">
      <c r="A140" s="1">
        <f>HYPERLINK("http://www.twitter.com/NathanBLawrence/status/997824130639638528", "997824130639638528")</f>
        <v/>
      </c>
      <c r="B140" s="2" t="n">
        <v>43239.54150462963</v>
      </c>
      <c r="C140" t="n">
        <v>4</v>
      </c>
      <c r="D140" t="n">
        <v>1</v>
      </c>
      <c r="E140" t="s">
        <v>151</v>
      </c>
      <c r="F140" t="s"/>
      <c r="G140" t="s"/>
      <c r="H140" t="s"/>
      <c r="I140" t="s"/>
      <c r="J140" t="n">
        <v>-0.7835</v>
      </c>
      <c r="K140" t="n">
        <v>0.216</v>
      </c>
      <c r="L140" t="n">
        <v>0.784</v>
      </c>
      <c r="M140" t="n">
        <v>0</v>
      </c>
    </row>
    <row r="141" spans="1:13">
      <c r="A141" s="1">
        <f>HYPERLINK("http://www.twitter.com/NathanBLawrence/status/997823460733804545", "997823460733804545")</f>
        <v/>
      </c>
      <c r="B141" s="2" t="n">
        <v>43239.53965277778</v>
      </c>
      <c r="C141" t="n">
        <v>1</v>
      </c>
      <c r="D141" t="n">
        <v>1</v>
      </c>
      <c r="E141" t="s">
        <v>152</v>
      </c>
      <c r="F141" t="s"/>
      <c r="G141" t="s"/>
      <c r="H141" t="s"/>
      <c r="I141" t="s"/>
      <c r="J141" t="n">
        <v>0</v>
      </c>
      <c r="K141" t="n">
        <v>0</v>
      </c>
      <c r="L141" t="n">
        <v>1</v>
      </c>
      <c r="M141" t="n">
        <v>0</v>
      </c>
    </row>
    <row r="142" spans="1:13">
      <c r="A142" s="1">
        <f>HYPERLINK("http://www.twitter.com/NathanBLawrence/status/997815518710194176", "997815518710194176")</f>
        <v/>
      </c>
      <c r="B142" s="2" t="n">
        <v>43239.51773148148</v>
      </c>
      <c r="C142" t="n">
        <v>0</v>
      </c>
      <c r="D142" t="n">
        <v>10</v>
      </c>
      <c r="E142" t="s">
        <v>153</v>
      </c>
      <c r="F142" t="s"/>
      <c r="G142" t="s"/>
      <c r="H142" t="s"/>
      <c r="I142" t="s"/>
      <c r="J142" t="n">
        <v>-0.6908</v>
      </c>
      <c r="K142" t="n">
        <v>0.265</v>
      </c>
      <c r="L142" t="n">
        <v>0.671</v>
      </c>
      <c r="M142" t="n">
        <v>0.064</v>
      </c>
    </row>
    <row r="143" spans="1:13">
      <c r="A143" s="1">
        <f>HYPERLINK("http://www.twitter.com/NathanBLawrence/status/997811391003324417", "997811391003324417")</f>
        <v/>
      </c>
      <c r="B143" s="2" t="n">
        <v>43239.50634259259</v>
      </c>
      <c r="C143" t="n">
        <v>0</v>
      </c>
      <c r="D143" t="n">
        <v>0</v>
      </c>
      <c r="E143" t="s">
        <v>154</v>
      </c>
      <c r="F143" t="s"/>
      <c r="G143" t="s"/>
      <c r="H143" t="s"/>
      <c r="I143" t="s"/>
      <c r="J143" t="n">
        <v>-0.2263</v>
      </c>
      <c r="K143" t="n">
        <v>0.119</v>
      </c>
      <c r="L143" t="n">
        <v>0.881</v>
      </c>
      <c r="M143" t="n">
        <v>0</v>
      </c>
    </row>
    <row r="144" spans="1:13">
      <c r="A144" s="1">
        <f>HYPERLINK("http://www.twitter.com/NathanBLawrence/status/997808867638591489", "997808867638591489")</f>
        <v/>
      </c>
      <c r="B144" s="2" t="n">
        <v>43239.49938657408</v>
      </c>
      <c r="C144" t="n">
        <v>0</v>
      </c>
      <c r="D144" t="n">
        <v>591</v>
      </c>
      <c r="E144" t="s">
        <v>155</v>
      </c>
      <c r="F144">
        <f>HYPERLINK("https://video.twimg.com/ext_tw_video/955165886675001344/pu/vid/480x360/3pQqUQPyxFXfQQ-y.mp4", "https://video.twimg.com/ext_tw_video/955165886675001344/pu/vid/480x360/3pQqUQPyxFXfQQ-y.mp4")</f>
        <v/>
      </c>
      <c r="G144" t="s"/>
      <c r="H144" t="s"/>
      <c r="I144" t="s"/>
      <c r="J144" t="n">
        <v>0</v>
      </c>
      <c r="K144" t="n">
        <v>0</v>
      </c>
      <c r="L144" t="n">
        <v>1</v>
      </c>
      <c r="M144" t="n">
        <v>0</v>
      </c>
    </row>
    <row r="145" spans="1:13">
      <c r="A145" s="1">
        <f>HYPERLINK("http://www.twitter.com/NathanBLawrence/status/997808437944778752", "997808437944778752")</f>
        <v/>
      </c>
      <c r="B145" s="2" t="n">
        <v>43239.49819444444</v>
      </c>
      <c r="C145" t="n">
        <v>0</v>
      </c>
      <c r="D145" t="n">
        <v>26921</v>
      </c>
      <c r="E145" t="s">
        <v>156</v>
      </c>
      <c r="F145" t="s"/>
      <c r="G145" t="s"/>
      <c r="H145" t="s"/>
      <c r="I145" t="s"/>
      <c r="J145" t="n">
        <v>0</v>
      </c>
      <c r="K145" t="n">
        <v>0</v>
      </c>
      <c r="L145" t="n">
        <v>1</v>
      </c>
      <c r="M145" t="n">
        <v>0</v>
      </c>
    </row>
    <row r="146" spans="1:13">
      <c r="A146" s="1">
        <f>HYPERLINK("http://www.twitter.com/NathanBLawrence/status/997808192062132226", "997808192062132226")</f>
        <v/>
      </c>
      <c r="B146" s="2" t="n">
        <v>43239.49752314815</v>
      </c>
      <c r="C146" t="n">
        <v>3</v>
      </c>
      <c r="D146" t="n">
        <v>2</v>
      </c>
      <c r="E146" t="s">
        <v>157</v>
      </c>
      <c r="F146" t="s"/>
      <c r="G146" t="s"/>
      <c r="H146" t="s"/>
      <c r="I146" t="s"/>
      <c r="J146" t="n">
        <v>-0.4278</v>
      </c>
      <c r="K146" t="n">
        <v>0.415</v>
      </c>
      <c r="L146" t="n">
        <v>0.585</v>
      </c>
      <c r="M146" t="n">
        <v>0</v>
      </c>
    </row>
    <row r="147" spans="1:13">
      <c r="A147" s="1">
        <f>HYPERLINK("http://www.twitter.com/NathanBLawrence/status/997805238525538305", "997805238525538305")</f>
        <v/>
      </c>
      <c r="B147" s="2" t="n">
        <v>43239.48936342593</v>
      </c>
      <c r="C147" t="n">
        <v>0</v>
      </c>
      <c r="D147" t="n">
        <v>2</v>
      </c>
      <c r="E147" t="s">
        <v>158</v>
      </c>
      <c r="F147">
        <f>HYPERLINK("http://pbs.twimg.com/media/DdjpyZgU8AAl-Sk.jpg", "http://pbs.twimg.com/media/DdjpyZgU8AAl-Sk.jpg")</f>
        <v/>
      </c>
      <c r="G147" t="s"/>
      <c r="H147" t="s"/>
      <c r="I147" t="s"/>
      <c r="J147" t="n">
        <v>0</v>
      </c>
      <c r="K147" t="n">
        <v>0</v>
      </c>
      <c r="L147" t="n">
        <v>1</v>
      </c>
      <c r="M147" t="n">
        <v>0</v>
      </c>
    </row>
    <row r="148" spans="1:13">
      <c r="A148" s="1">
        <f>HYPERLINK("http://www.twitter.com/NathanBLawrence/status/997805176772812800", "997805176772812800")</f>
        <v/>
      </c>
      <c r="B148" s="2" t="n">
        <v>43239.48920138889</v>
      </c>
      <c r="C148" t="n">
        <v>0</v>
      </c>
      <c r="D148" t="n">
        <v>0</v>
      </c>
      <c r="E148" t="s">
        <v>159</v>
      </c>
      <c r="F148" t="s"/>
      <c r="G148" t="s"/>
      <c r="H148" t="s"/>
      <c r="I148" t="s"/>
      <c r="J148" t="n">
        <v>0</v>
      </c>
      <c r="K148" t="n">
        <v>0</v>
      </c>
      <c r="L148" t="n">
        <v>1</v>
      </c>
      <c r="M148" t="n">
        <v>0</v>
      </c>
    </row>
    <row r="149" spans="1:13">
      <c r="A149" s="1">
        <f>HYPERLINK("http://www.twitter.com/NathanBLawrence/status/997804740116434944", "997804740116434944")</f>
        <v/>
      </c>
      <c r="B149" s="2" t="n">
        <v>43239.48799768519</v>
      </c>
      <c r="C149" t="n">
        <v>0</v>
      </c>
      <c r="D149" t="n">
        <v>0</v>
      </c>
      <c r="E149" t="s">
        <v>160</v>
      </c>
      <c r="F149" t="s"/>
      <c r="G149" t="s"/>
      <c r="H149" t="s"/>
      <c r="I149" t="s"/>
      <c r="J149" t="n">
        <v>0</v>
      </c>
      <c r="K149" t="n">
        <v>0</v>
      </c>
      <c r="L149" t="n">
        <v>1</v>
      </c>
      <c r="M149" t="n">
        <v>0</v>
      </c>
    </row>
    <row r="150" spans="1:13">
      <c r="A150" s="1">
        <f>HYPERLINK("http://www.twitter.com/NathanBLawrence/status/997804433689010178", "997804433689010178")</f>
        <v/>
      </c>
      <c r="B150" s="2" t="n">
        <v>43239.4871412037</v>
      </c>
      <c r="C150" t="n">
        <v>0</v>
      </c>
      <c r="D150" t="n">
        <v>0</v>
      </c>
      <c r="E150" t="s">
        <v>161</v>
      </c>
      <c r="F150" t="s"/>
      <c r="G150" t="s"/>
      <c r="H150" t="s"/>
      <c r="I150" t="s"/>
      <c r="J150" t="n">
        <v>0</v>
      </c>
      <c r="K150" t="n">
        <v>0</v>
      </c>
      <c r="L150" t="n">
        <v>1</v>
      </c>
      <c r="M150" t="n">
        <v>0</v>
      </c>
    </row>
    <row r="151" spans="1:13">
      <c r="A151" s="1">
        <f>HYPERLINK("http://www.twitter.com/NathanBLawrence/status/997804265811988480", "997804265811988480")</f>
        <v/>
      </c>
      <c r="B151" s="2" t="n">
        <v>43239.48667824074</v>
      </c>
      <c r="C151" t="n">
        <v>2</v>
      </c>
      <c r="D151" t="n">
        <v>0</v>
      </c>
      <c r="E151" t="s">
        <v>162</v>
      </c>
      <c r="F151" t="s"/>
      <c r="G151" t="s"/>
      <c r="H151" t="s"/>
      <c r="I151" t="s"/>
      <c r="J151" t="n">
        <v>-0.6239</v>
      </c>
      <c r="K151" t="n">
        <v>0.313</v>
      </c>
      <c r="L151" t="n">
        <v>0.6870000000000001</v>
      </c>
      <c r="M151" t="n">
        <v>0</v>
      </c>
    </row>
    <row r="152" spans="1:13">
      <c r="A152" s="1">
        <f>HYPERLINK("http://www.twitter.com/NathanBLawrence/status/997801660545200128", "997801660545200128")</f>
        <v/>
      </c>
      <c r="B152" s="2" t="n">
        <v>43239.47949074074</v>
      </c>
      <c r="C152" t="n">
        <v>1</v>
      </c>
      <c r="D152" t="n">
        <v>0</v>
      </c>
      <c r="E152" t="s">
        <v>163</v>
      </c>
      <c r="F152" t="s"/>
      <c r="G152" t="s"/>
      <c r="H152" t="s"/>
      <c r="I152" t="s"/>
      <c r="J152" t="n">
        <v>0</v>
      </c>
      <c r="K152" t="n">
        <v>0</v>
      </c>
      <c r="L152" t="n">
        <v>1</v>
      </c>
      <c r="M152" t="n">
        <v>0</v>
      </c>
    </row>
    <row r="153" spans="1:13">
      <c r="A153" s="1">
        <f>HYPERLINK("http://www.twitter.com/NathanBLawrence/status/997801252628193280", "997801252628193280")</f>
        <v/>
      </c>
      <c r="B153" s="2" t="n">
        <v>43239.47836805556</v>
      </c>
      <c r="C153" t="n">
        <v>2</v>
      </c>
      <c r="D153" t="n">
        <v>1</v>
      </c>
      <c r="E153" t="s">
        <v>164</v>
      </c>
      <c r="F153" t="s"/>
      <c r="G153" t="s"/>
      <c r="H153" t="s"/>
      <c r="I153" t="s"/>
      <c r="J153" t="n">
        <v>-0.296</v>
      </c>
      <c r="K153" t="n">
        <v>0.347</v>
      </c>
      <c r="L153" t="n">
        <v>0.484</v>
      </c>
      <c r="M153" t="n">
        <v>0.169</v>
      </c>
    </row>
    <row r="154" spans="1:13">
      <c r="A154" s="1">
        <f>HYPERLINK("http://www.twitter.com/NathanBLawrence/status/997800579727548416", "997800579727548416")</f>
        <v/>
      </c>
      <c r="B154" s="2" t="n">
        <v>43239.4765162037</v>
      </c>
      <c r="C154" t="n">
        <v>0</v>
      </c>
      <c r="D154" t="n">
        <v>6</v>
      </c>
      <c r="E154" t="s">
        <v>165</v>
      </c>
      <c r="F154" t="s"/>
      <c r="G154" t="s"/>
      <c r="H154" t="s"/>
      <c r="I154" t="s"/>
      <c r="J154" t="n">
        <v>0.8135</v>
      </c>
      <c r="K154" t="n">
        <v>0</v>
      </c>
      <c r="L154" t="n">
        <v>0.696</v>
      </c>
      <c r="M154" t="n">
        <v>0.304</v>
      </c>
    </row>
    <row r="155" spans="1:13">
      <c r="A155" s="1">
        <f>HYPERLINK("http://www.twitter.com/NathanBLawrence/status/997656767256514562", "997656767256514562")</f>
        <v/>
      </c>
      <c r="B155" s="2" t="n">
        <v>43239.07966435186</v>
      </c>
      <c r="C155" t="n">
        <v>3</v>
      </c>
      <c r="D155" t="n">
        <v>0</v>
      </c>
      <c r="E155" t="s">
        <v>166</v>
      </c>
      <c r="F155" t="s"/>
      <c r="G155" t="s"/>
      <c r="H155" t="s"/>
      <c r="I155" t="s"/>
      <c r="J155" t="n">
        <v>0.1027</v>
      </c>
      <c r="K155" t="n">
        <v>0</v>
      </c>
      <c r="L155" t="n">
        <v>0.833</v>
      </c>
      <c r="M155" t="n">
        <v>0.167</v>
      </c>
    </row>
    <row r="156" spans="1:13">
      <c r="A156" s="1">
        <f>HYPERLINK("http://www.twitter.com/NathanBLawrence/status/997625814291132418", "997625814291132418")</f>
        <v/>
      </c>
      <c r="B156" s="2" t="n">
        <v>43238.99424768519</v>
      </c>
      <c r="C156" t="n">
        <v>1</v>
      </c>
      <c r="D156" t="n">
        <v>0</v>
      </c>
      <c r="E156" t="s">
        <v>167</v>
      </c>
      <c r="F156" t="s"/>
      <c r="G156" t="s"/>
      <c r="H156" t="s"/>
      <c r="I156" t="s"/>
      <c r="J156" t="n">
        <v>0.6369</v>
      </c>
      <c r="K156" t="n">
        <v>0</v>
      </c>
      <c r="L156" t="n">
        <v>0.625</v>
      </c>
      <c r="M156" t="n">
        <v>0.375</v>
      </c>
    </row>
    <row r="157" spans="1:13">
      <c r="A157" s="1">
        <f>HYPERLINK("http://www.twitter.com/NathanBLawrence/status/997595555953102848", "997595555953102848")</f>
        <v/>
      </c>
      <c r="B157" s="2" t="n">
        <v>43238.91075231481</v>
      </c>
      <c r="C157" t="n">
        <v>1</v>
      </c>
      <c r="D157" t="n">
        <v>0</v>
      </c>
      <c r="E157" t="s">
        <v>168</v>
      </c>
      <c r="F157" t="s"/>
      <c r="G157" t="s"/>
      <c r="H157" t="s"/>
      <c r="I157" t="s"/>
      <c r="J157" t="n">
        <v>0</v>
      </c>
      <c r="K157" t="n">
        <v>0</v>
      </c>
      <c r="L157" t="n">
        <v>1</v>
      </c>
      <c r="M157" t="n">
        <v>0</v>
      </c>
    </row>
    <row r="158" spans="1:13">
      <c r="A158" s="1">
        <f>HYPERLINK("http://www.twitter.com/NathanBLawrence/status/997573463740121088", "997573463740121088")</f>
        <v/>
      </c>
      <c r="B158" s="2" t="n">
        <v>43238.84979166667</v>
      </c>
      <c r="C158" t="n">
        <v>1</v>
      </c>
      <c r="D158" t="n">
        <v>0</v>
      </c>
      <c r="E158" t="s">
        <v>169</v>
      </c>
      <c r="F158" t="s"/>
      <c r="G158" t="s"/>
      <c r="H158" t="s"/>
      <c r="I158" t="s"/>
      <c r="J158" t="n">
        <v>0</v>
      </c>
      <c r="K158" t="n">
        <v>0</v>
      </c>
      <c r="L158" t="n">
        <v>1</v>
      </c>
      <c r="M158" t="n">
        <v>0</v>
      </c>
    </row>
    <row r="159" spans="1:13">
      <c r="A159" s="1">
        <f>HYPERLINK("http://www.twitter.com/NathanBLawrence/status/997573277848621063", "997573277848621063")</f>
        <v/>
      </c>
      <c r="B159" s="2" t="n">
        <v>43238.84928240741</v>
      </c>
      <c r="C159" t="n">
        <v>3</v>
      </c>
      <c r="D159" t="n">
        <v>0</v>
      </c>
      <c r="E159" t="s">
        <v>170</v>
      </c>
      <c r="F159" t="s"/>
      <c r="G159" t="s"/>
      <c r="H159" t="s"/>
      <c r="I159" t="s"/>
      <c r="J159" t="n">
        <v>-0.8462</v>
      </c>
      <c r="K159" t="n">
        <v>0.731</v>
      </c>
      <c r="L159" t="n">
        <v>0.269</v>
      </c>
      <c r="M159" t="n">
        <v>0</v>
      </c>
    </row>
    <row r="160" spans="1:13">
      <c r="A160" s="1">
        <f>HYPERLINK("http://www.twitter.com/NathanBLawrence/status/997572903720890368", "997572903720890368")</f>
        <v/>
      </c>
      <c r="B160" s="2" t="n">
        <v>43238.84824074074</v>
      </c>
      <c r="C160" t="n">
        <v>1</v>
      </c>
      <c r="D160" t="n">
        <v>0</v>
      </c>
      <c r="E160" t="s">
        <v>171</v>
      </c>
      <c r="F160" t="s"/>
      <c r="G160" t="s"/>
      <c r="H160" t="s"/>
      <c r="I160" t="s"/>
      <c r="J160" t="n">
        <v>-0.3664</v>
      </c>
      <c r="K160" t="n">
        <v>0.184</v>
      </c>
      <c r="L160" t="n">
        <v>0.71</v>
      </c>
      <c r="M160" t="n">
        <v>0.106</v>
      </c>
    </row>
    <row r="161" spans="1:13">
      <c r="A161" s="1">
        <f>HYPERLINK("http://www.twitter.com/NathanBLawrence/status/997572642822483970", "997572642822483970")</f>
        <v/>
      </c>
      <c r="B161" s="2" t="n">
        <v>43238.84752314815</v>
      </c>
      <c r="C161" t="n">
        <v>1</v>
      </c>
      <c r="D161" t="n">
        <v>0</v>
      </c>
      <c r="E161" t="s">
        <v>172</v>
      </c>
      <c r="F161" t="s"/>
      <c r="G161" t="s"/>
      <c r="H161" t="s"/>
      <c r="I161" t="s"/>
      <c r="J161" t="n">
        <v>0.555</v>
      </c>
      <c r="K161" t="n">
        <v>0</v>
      </c>
      <c r="L161" t="n">
        <v>0.736</v>
      </c>
      <c r="M161" t="n">
        <v>0.264</v>
      </c>
    </row>
    <row r="162" spans="1:13">
      <c r="A162" s="1">
        <f>HYPERLINK("http://www.twitter.com/NathanBLawrence/status/997572069373235201", "997572069373235201")</f>
        <v/>
      </c>
      <c r="B162" s="2" t="n">
        <v>43238.8459375</v>
      </c>
      <c r="C162" t="n">
        <v>1</v>
      </c>
      <c r="D162" t="n">
        <v>0</v>
      </c>
      <c r="E162" t="s">
        <v>173</v>
      </c>
      <c r="F162" t="s"/>
      <c r="G162" t="s"/>
      <c r="H162" t="s"/>
      <c r="I162" t="s"/>
      <c r="J162" t="n">
        <v>0</v>
      </c>
      <c r="K162" t="n">
        <v>0</v>
      </c>
      <c r="L162" t="n">
        <v>1</v>
      </c>
      <c r="M162" t="n">
        <v>0</v>
      </c>
    </row>
    <row r="163" spans="1:13">
      <c r="A163" s="1">
        <f>HYPERLINK("http://www.twitter.com/NathanBLawrence/status/997571849201561600", "997571849201561600")</f>
        <v/>
      </c>
      <c r="B163" s="2" t="n">
        <v>43238.84533564815</v>
      </c>
      <c r="C163" t="n">
        <v>1</v>
      </c>
      <c r="D163" t="n">
        <v>0</v>
      </c>
      <c r="E163" t="s">
        <v>174</v>
      </c>
      <c r="F163" t="s"/>
      <c r="G163" t="s"/>
      <c r="H163" t="s"/>
      <c r="I163" t="s"/>
      <c r="J163" t="n">
        <v>0</v>
      </c>
      <c r="K163" t="n">
        <v>0</v>
      </c>
      <c r="L163" t="n">
        <v>1</v>
      </c>
      <c r="M163" t="n">
        <v>0</v>
      </c>
    </row>
    <row r="164" spans="1:13">
      <c r="A164" s="1">
        <f>HYPERLINK("http://www.twitter.com/NathanBLawrence/status/997543270237528065", "997543270237528065")</f>
        <v/>
      </c>
      <c r="B164" s="2" t="n">
        <v>43238.76646990741</v>
      </c>
      <c r="C164" t="n">
        <v>3</v>
      </c>
      <c r="D164" t="n">
        <v>0</v>
      </c>
      <c r="E164" t="s">
        <v>175</v>
      </c>
      <c r="F164" t="s"/>
      <c r="G164" t="s"/>
      <c r="H164" t="s"/>
      <c r="I164" t="s"/>
      <c r="J164" t="n">
        <v>0</v>
      </c>
      <c r="K164" t="n">
        <v>0</v>
      </c>
      <c r="L164" t="n">
        <v>1</v>
      </c>
      <c r="M164" t="n">
        <v>0</v>
      </c>
    </row>
    <row r="165" spans="1:13">
      <c r="A165" s="1">
        <f>HYPERLINK("http://www.twitter.com/NathanBLawrence/status/997542964661571585", "997542964661571585")</f>
        <v/>
      </c>
      <c r="B165" s="2" t="n">
        <v>43238.765625</v>
      </c>
      <c r="C165" t="n">
        <v>2</v>
      </c>
      <c r="D165" t="n">
        <v>1</v>
      </c>
      <c r="E165" t="s">
        <v>176</v>
      </c>
      <c r="F165" t="s"/>
      <c r="G165" t="s"/>
      <c r="H165" t="s"/>
      <c r="I165" t="s"/>
      <c r="J165" t="n">
        <v>-0.9026</v>
      </c>
      <c r="K165" t="n">
        <v>0.244</v>
      </c>
      <c r="L165" t="n">
        <v>0.705</v>
      </c>
      <c r="M165" t="n">
        <v>0.051</v>
      </c>
    </row>
    <row r="166" spans="1:13">
      <c r="A166" s="1">
        <f>HYPERLINK("http://www.twitter.com/NathanBLawrence/status/997542216733200384", "997542216733200384")</f>
        <v/>
      </c>
      <c r="B166" s="2" t="n">
        <v>43238.76356481481</v>
      </c>
      <c r="C166" t="n">
        <v>6</v>
      </c>
      <c r="D166" t="n">
        <v>4</v>
      </c>
      <c r="E166" t="s">
        <v>177</v>
      </c>
      <c r="F166" t="s"/>
      <c r="G166" t="s"/>
      <c r="H166" t="s"/>
      <c r="I166" t="s"/>
      <c r="J166" t="n">
        <v>0.5610000000000001</v>
      </c>
      <c r="K166" t="n">
        <v>0</v>
      </c>
      <c r="L166" t="n">
        <v>0.895</v>
      </c>
      <c r="M166" t="n">
        <v>0.105</v>
      </c>
    </row>
    <row r="167" spans="1:13">
      <c r="A167" s="1">
        <f>HYPERLINK("http://www.twitter.com/NathanBLawrence/status/997541446470250496", "997541446470250496")</f>
        <v/>
      </c>
      <c r="B167" s="2" t="n">
        <v>43238.76143518519</v>
      </c>
      <c r="C167" t="n">
        <v>0</v>
      </c>
      <c r="D167" t="n">
        <v>3984</v>
      </c>
      <c r="E167" t="s">
        <v>178</v>
      </c>
      <c r="F167">
        <f>HYPERLINK("http://pbs.twimg.com/media/DddCP0QVwAABGDI.jpg", "http://pbs.twimg.com/media/DddCP0QVwAABGDI.jpg")</f>
        <v/>
      </c>
      <c r="G167">
        <f>HYPERLINK("http://pbs.twimg.com/media/DddCWQYUQAAMZYr.jpg", "http://pbs.twimg.com/media/DddCWQYUQAAMZYr.jpg")</f>
        <v/>
      </c>
      <c r="H167" t="s"/>
      <c r="I167" t="s"/>
      <c r="J167" t="n">
        <v>0</v>
      </c>
      <c r="K167" t="n">
        <v>0</v>
      </c>
      <c r="L167" t="n">
        <v>1</v>
      </c>
      <c r="M167" t="n">
        <v>0</v>
      </c>
    </row>
    <row r="168" spans="1:13">
      <c r="A168" s="1">
        <f>HYPERLINK("http://www.twitter.com/NathanBLawrence/status/997541175128133633", "997541175128133633")</f>
        <v/>
      </c>
      <c r="B168" s="2" t="n">
        <v>43238.76069444444</v>
      </c>
      <c r="C168" t="n">
        <v>3</v>
      </c>
      <c r="D168" t="n">
        <v>0</v>
      </c>
      <c r="E168" t="s">
        <v>179</v>
      </c>
      <c r="F168" t="s"/>
      <c r="G168" t="s"/>
      <c r="H168" t="s"/>
      <c r="I168" t="s"/>
      <c r="J168" t="n">
        <v>0</v>
      </c>
      <c r="K168" t="n">
        <v>0</v>
      </c>
      <c r="L168" t="n">
        <v>1</v>
      </c>
      <c r="M168" t="n">
        <v>0</v>
      </c>
    </row>
    <row r="169" spans="1:13">
      <c r="A169" s="1">
        <f>HYPERLINK("http://www.twitter.com/NathanBLawrence/status/997540891928813574", "997540891928813574")</f>
        <v/>
      </c>
      <c r="B169" s="2" t="n">
        <v>43238.75990740741</v>
      </c>
      <c r="C169" t="n">
        <v>1</v>
      </c>
      <c r="D169" t="n">
        <v>0</v>
      </c>
      <c r="E169" t="s">
        <v>180</v>
      </c>
      <c r="F169" t="s"/>
      <c r="G169" t="s"/>
      <c r="H169" t="s"/>
      <c r="I169" t="s"/>
      <c r="J169" t="n">
        <v>0.4926</v>
      </c>
      <c r="K169" t="n">
        <v>0</v>
      </c>
      <c r="L169" t="n">
        <v>0.484</v>
      </c>
      <c r="M169" t="n">
        <v>0.516</v>
      </c>
    </row>
    <row r="170" spans="1:13">
      <c r="A170" s="1">
        <f>HYPERLINK("http://www.twitter.com/NathanBLawrence/status/997540613150199809", "997540613150199809")</f>
        <v/>
      </c>
      <c r="B170" s="2" t="n">
        <v>43238.75914351852</v>
      </c>
      <c r="C170" t="n">
        <v>4</v>
      </c>
      <c r="D170" t="n">
        <v>0</v>
      </c>
      <c r="E170" t="s">
        <v>181</v>
      </c>
      <c r="F170" t="s"/>
      <c r="G170" t="s"/>
      <c r="H170" t="s"/>
      <c r="I170" t="s"/>
      <c r="J170" t="n">
        <v>-0.9751</v>
      </c>
      <c r="K170" t="n">
        <v>0.35</v>
      </c>
      <c r="L170" t="n">
        <v>0.617</v>
      </c>
      <c r="M170" t="n">
        <v>0.033</v>
      </c>
    </row>
    <row r="171" spans="1:13">
      <c r="A171" s="1">
        <f>HYPERLINK("http://www.twitter.com/NathanBLawrence/status/997514268839989249", "997514268839989249")</f>
        <v/>
      </c>
      <c r="B171" s="2" t="n">
        <v>43238.68644675926</v>
      </c>
      <c r="C171" t="n">
        <v>0</v>
      </c>
      <c r="D171" t="n">
        <v>214</v>
      </c>
      <c r="E171" t="s">
        <v>182</v>
      </c>
      <c r="F171">
        <f>HYPERLINK("http://pbs.twimg.com/media/Dda-DmrU0AAx5Jb.jpg", "http://pbs.twimg.com/media/Dda-DmrU0AAx5Jb.jpg")</f>
        <v/>
      </c>
      <c r="G171" t="s"/>
      <c r="H171" t="s"/>
      <c r="I171" t="s"/>
      <c r="J171" t="n">
        <v>0</v>
      </c>
      <c r="K171" t="n">
        <v>0</v>
      </c>
      <c r="L171" t="n">
        <v>1</v>
      </c>
      <c r="M171" t="n">
        <v>0</v>
      </c>
    </row>
    <row r="172" spans="1:13">
      <c r="A172" s="1">
        <f>HYPERLINK("http://www.twitter.com/NathanBLawrence/status/997514179631198209", "997514179631198209")</f>
        <v/>
      </c>
      <c r="B172" s="2" t="n">
        <v>43238.68619212963</v>
      </c>
      <c r="C172" t="n">
        <v>0</v>
      </c>
      <c r="D172" t="n">
        <v>0</v>
      </c>
      <c r="E172" t="s">
        <v>183</v>
      </c>
      <c r="F172" t="s"/>
      <c r="G172" t="s"/>
      <c r="H172" t="s"/>
      <c r="I172" t="s"/>
      <c r="J172" t="n">
        <v>0.8718</v>
      </c>
      <c r="K172" t="n">
        <v>0</v>
      </c>
      <c r="L172" t="n">
        <v>0.423</v>
      </c>
      <c r="M172" t="n">
        <v>0.577</v>
      </c>
    </row>
    <row r="173" spans="1:13">
      <c r="A173" s="1">
        <f>HYPERLINK("http://www.twitter.com/NathanBLawrence/status/997513746691043330", "997513746691043330")</f>
        <v/>
      </c>
      <c r="B173" s="2" t="n">
        <v>43238.685</v>
      </c>
      <c r="C173" t="n">
        <v>0</v>
      </c>
      <c r="D173" t="n">
        <v>39</v>
      </c>
      <c r="E173" t="s">
        <v>184</v>
      </c>
      <c r="F173" t="s"/>
      <c r="G173" t="s"/>
      <c r="H173" t="s"/>
      <c r="I173" t="s"/>
      <c r="J173" t="n">
        <v>-0.3182</v>
      </c>
      <c r="K173" t="n">
        <v>0.183</v>
      </c>
      <c r="L173" t="n">
        <v>0.722</v>
      </c>
      <c r="M173" t="n">
        <v>0.095</v>
      </c>
    </row>
    <row r="174" spans="1:13">
      <c r="A174" s="1">
        <f>HYPERLINK("http://www.twitter.com/NathanBLawrence/status/997513584316944386", "997513584316944386")</f>
        <v/>
      </c>
      <c r="B174" s="2" t="n">
        <v>43238.68456018518</v>
      </c>
      <c r="C174" t="n">
        <v>1</v>
      </c>
      <c r="D174" t="n">
        <v>0</v>
      </c>
      <c r="E174" t="s">
        <v>185</v>
      </c>
      <c r="F174" t="s"/>
      <c r="G174" t="s"/>
      <c r="H174" t="s"/>
      <c r="I174" t="s"/>
      <c r="J174" t="n">
        <v>0.657</v>
      </c>
      <c r="K174" t="n">
        <v>0</v>
      </c>
      <c r="L174" t="n">
        <v>0.804</v>
      </c>
      <c r="M174" t="n">
        <v>0.196</v>
      </c>
    </row>
    <row r="175" spans="1:13">
      <c r="A175" s="1">
        <f>HYPERLINK("http://www.twitter.com/NathanBLawrence/status/997483852238147584", "997483852238147584")</f>
        <v/>
      </c>
      <c r="B175" s="2" t="n">
        <v>43238.60251157408</v>
      </c>
      <c r="C175" t="n">
        <v>7</v>
      </c>
      <c r="D175" t="n">
        <v>2</v>
      </c>
      <c r="E175" t="s">
        <v>186</v>
      </c>
      <c r="F175">
        <f>HYPERLINK("http://pbs.twimg.com/media/DdfGPeSVAAA_-KI.jpg", "http://pbs.twimg.com/media/DdfGPeSVAAA_-KI.jpg")</f>
        <v/>
      </c>
      <c r="G175" t="s"/>
      <c r="H175" t="s"/>
      <c r="I175" t="s"/>
      <c r="J175" t="n">
        <v>0</v>
      </c>
      <c r="K175" t="n">
        <v>0</v>
      </c>
      <c r="L175" t="n">
        <v>1</v>
      </c>
      <c r="M175" t="n">
        <v>0</v>
      </c>
    </row>
    <row r="176" spans="1:13">
      <c r="A176" s="1">
        <f>HYPERLINK("http://www.twitter.com/NathanBLawrence/status/997483848664576000", "997483848664576000")</f>
        <v/>
      </c>
      <c r="B176" s="2" t="n">
        <v>43238.6025</v>
      </c>
      <c r="C176" t="n">
        <v>1</v>
      </c>
      <c r="D176" t="n">
        <v>0</v>
      </c>
      <c r="E176" t="s">
        <v>187</v>
      </c>
      <c r="F176">
        <f>HYPERLINK("http://pbs.twimg.com/media/DdfGPk6VQAIY_9b.jpg", "http://pbs.twimg.com/media/DdfGPk6VQAIY_9b.jpg")</f>
        <v/>
      </c>
      <c r="G176" t="s"/>
      <c r="H176" t="s"/>
      <c r="I176" t="s"/>
      <c r="J176" t="n">
        <v>0.8083</v>
      </c>
      <c r="K176" t="n">
        <v>0</v>
      </c>
      <c r="L176" t="n">
        <v>0.823</v>
      </c>
      <c r="M176" t="n">
        <v>0.177</v>
      </c>
    </row>
    <row r="177" spans="1:13">
      <c r="A177" s="1">
        <f>HYPERLINK("http://www.twitter.com/NathanBLawrence/status/997483847121080320", "997483847121080320")</f>
        <v/>
      </c>
      <c r="B177" s="2" t="n">
        <v>43238.6025</v>
      </c>
      <c r="C177" t="n">
        <v>7</v>
      </c>
      <c r="D177" t="n">
        <v>2</v>
      </c>
      <c r="E177" t="s">
        <v>188</v>
      </c>
      <c r="F177">
        <f>HYPERLINK("http://pbs.twimg.com/media/DdfGPdLU8AEPesD.jpg", "http://pbs.twimg.com/media/DdfGPdLU8AEPesD.jpg")</f>
        <v/>
      </c>
      <c r="G177" t="s"/>
      <c r="H177" t="s"/>
      <c r="I177" t="s"/>
      <c r="J177" t="n">
        <v>0</v>
      </c>
      <c r="K177" t="n">
        <v>0</v>
      </c>
      <c r="L177" t="n">
        <v>1</v>
      </c>
      <c r="M177" t="n">
        <v>0</v>
      </c>
    </row>
    <row r="178" spans="1:13">
      <c r="A178" s="1">
        <f>HYPERLINK("http://www.twitter.com/NathanBLawrence/status/997483846064070656", "997483846064070656")</f>
        <v/>
      </c>
      <c r="B178" s="2" t="n">
        <v>43238.60248842592</v>
      </c>
      <c r="C178" t="n">
        <v>14</v>
      </c>
      <c r="D178" t="n">
        <v>3</v>
      </c>
      <c r="E178" t="s">
        <v>189</v>
      </c>
      <c r="F178">
        <f>HYPERLINK("http://pbs.twimg.com/media/DdfGPdsVAAAZriE.jpg", "http://pbs.twimg.com/media/DdfGPdsVAAAZriE.jpg")</f>
        <v/>
      </c>
      <c r="G178" t="s"/>
      <c r="H178" t="s"/>
      <c r="I178" t="s"/>
      <c r="J178" t="n">
        <v>0.296</v>
      </c>
      <c r="K178" t="n">
        <v>0</v>
      </c>
      <c r="L178" t="n">
        <v>0.761</v>
      </c>
      <c r="M178" t="n">
        <v>0.239</v>
      </c>
    </row>
    <row r="179" spans="1:13">
      <c r="A179" s="1">
        <f>HYPERLINK("http://www.twitter.com/NathanBLawrence/status/997483841844600833", "997483841844600833")</f>
        <v/>
      </c>
      <c r="B179" s="2" t="n">
        <v>43238.60247685185</v>
      </c>
      <c r="C179" t="n">
        <v>14</v>
      </c>
      <c r="D179" t="n">
        <v>4</v>
      </c>
      <c r="E179" t="s">
        <v>190</v>
      </c>
      <c r="F179">
        <f>HYPERLINK("http://pbs.twimg.com/media/DdfGPdLV0AE3pI-.jpg", "http://pbs.twimg.com/media/DdfGPdLV0AE3pI-.jpg")</f>
        <v/>
      </c>
      <c r="G179" t="s"/>
      <c r="H179" t="s"/>
      <c r="I179" t="s"/>
      <c r="J179" t="n">
        <v>0</v>
      </c>
      <c r="K179" t="n">
        <v>0</v>
      </c>
      <c r="L179" t="n">
        <v>1</v>
      </c>
      <c r="M179" t="n">
        <v>0</v>
      </c>
    </row>
    <row r="180" spans="1:13">
      <c r="A180" s="1">
        <f>HYPERLINK("http://www.twitter.com/NathanBLawrence/status/997483840871510016", "997483840871510016")</f>
        <v/>
      </c>
      <c r="B180" s="2" t="n">
        <v>43238.60247685185</v>
      </c>
      <c r="C180" t="n">
        <v>4</v>
      </c>
      <c r="D180" t="n">
        <v>0</v>
      </c>
      <c r="E180" t="s">
        <v>191</v>
      </c>
      <c r="F180">
        <f>HYPERLINK("http://pbs.twimg.com/media/DdfGPfRVwAE9ZTK.jpg", "http://pbs.twimg.com/media/DdfGPfRVwAE9ZTK.jpg")</f>
        <v/>
      </c>
      <c r="G180" t="s"/>
      <c r="H180" t="s"/>
      <c r="I180" t="s"/>
      <c r="J180" t="n">
        <v>0</v>
      </c>
      <c r="K180" t="n">
        <v>0</v>
      </c>
      <c r="L180" t="n">
        <v>1</v>
      </c>
      <c r="M180" t="n">
        <v>0</v>
      </c>
    </row>
    <row r="181" spans="1:13">
      <c r="A181" s="1">
        <f>HYPERLINK("http://www.twitter.com/NathanBLawrence/status/997479104688607233", "997479104688607233")</f>
        <v/>
      </c>
      <c r="B181" s="2" t="n">
        <v>43238.58940972222</v>
      </c>
      <c r="C181" t="n">
        <v>3</v>
      </c>
      <c r="D181" t="n">
        <v>1</v>
      </c>
      <c r="E181" t="s">
        <v>192</v>
      </c>
      <c r="F181" t="s"/>
      <c r="G181" t="s"/>
      <c r="H181" t="s"/>
      <c r="I181" t="s"/>
      <c r="J181" t="n">
        <v>0.4404</v>
      </c>
      <c r="K181" t="n">
        <v>0</v>
      </c>
      <c r="L181" t="n">
        <v>0.775</v>
      </c>
      <c r="M181" t="n">
        <v>0.225</v>
      </c>
    </row>
    <row r="182" spans="1:13">
      <c r="A182" s="1">
        <f>HYPERLINK("http://www.twitter.com/NathanBLawrence/status/997478639590572032", "997478639590572032")</f>
        <v/>
      </c>
      <c r="B182" s="2" t="n">
        <v>43238.588125</v>
      </c>
      <c r="C182" t="n">
        <v>0</v>
      </c>
      <c r="D182" t="n">
        <v>10</v>
      </c>
      <c r="E182" t="s">
        <v>193</v>
      </c>
      <c r="F182" t="s"/>
      <c r="G182" t="s"/>
      <c r="H182" t="s"/>
      <c r="I182" t="s"/>
      <c r="J182" t="n">
        <v>-0.7184</v>
      </c>
      <c r="K182" t="n">
        <v>0.24</v>
      </c>
      <c r="L182" t="n">
        <v>0.694</v>
      </c>
      <c r="M182" t="n">
        <v>0.066</v>
      </c>
    </row>
    <row r="183" spans="1:13">
      <c r="A183" s="1">
        <f>HYPERLINK("http://www.twitter.com/NathanBLawrence/status/997478497659518977", "997478497659518977")</f>
        <v/>
      </c>
      <c r="B183" s="2" t="n">
        <v>43238.58773148148</v>
      </c>
      <c r="C183" t="n">
        <v>0</v>
      </c>
      <c r="D183" t="n">
        <v>43</v>
      </c>
      <c r="E183" t="s">
        <v>194</v>
      </c>
      <c r="F183">
        <f>HYPERLINK("http://pbs.twimg.com/media/Ddaq8CtVAAAlwNR.jpg", "http://pbs.twimg.com/media/Ddaq8CtVAAAlwNR.jpg")</f>
        <v/>
      </c>
      <c r="G183" t="s"/>
      <c r="H183" t="s"/>
      <c r="I183" t="s"/>
      <c r="J183" t="n">
        <v>-0.5927</v>
      </c>
      <c r="K183" t="n">
        <v>0.181</v>
      </c>
      <c r="L183" t="n">
        <v>0.819</v>
      </c>
      <c r="M183" t="n">
        <v>0</v>
      </c>
    </row>
    <row r="184" spans="1:13">
      <c r="A184" s="1">
        <f>HYPERLINK("http://www.twitter.com/NathanBLawrence/status/997477941784260610", "997477941784260610")</f>
        <v/>
      </c>
      <c r="B184" s="2" t="n">
        <v>43238.5862037037</v>
      </c>
      <c r="C184" t="n">
        <v>0</v>
      </c>
      <c r="D184" t="n">
        <v>0</v>
      </c>
      <c r="E184" t="s">
        <v>195</v>
      </c>
      <c r="F184" t="s"/>
      <c r="G184" t="s"/>
      <c r="H184" t="s"/>
      <c r="I184" t="s"/>
      <c r="J184" t="n">
        <v>0</v>
      </c>
      <c r="K184" t="n">
        <v>0</v>
      </c>
      <c r="L184" t="n">
        <v>1</v>
      </c>
      <c r="M184" t="n">
        <v>0</v>
      </c>
    </row>
    <row r="185" spans="1:13">
      <c r="A185" s="1">
        <f>HYPERLINK("http://www.twitter.com/NathanBLawrence/status/997474272103878661", "997474272103878661")</f>
        <v/>
      </c>
      <c r="B185" s="2" t="n">
        <v>43238.57607638889</v>
      </c>
      <c r="C185" t="n">
        <v>2</v>
      </c>
      <c r="D185" t="n">
        <v>0</v>
      </c>
      <c r="E185" t="s">
        <v>196</v>
      </c>
      <c r="F185" t="s"/>
      <c r="G185" t="s"/>
      <c r="H185" t="s"/>
      <c r="I185" t="s"/>
      <c r="J185" t="n">
        <v>0</v>
      </c>
      <c r="K185" t="n">
        <v>0</v>
      </c>
      <c r="L185" t="n">
        <v>1</v>
      </c>
      <c r="M185" t="n">
        <v>0</v>
      </c>
    </row>
    <row r="186" spans="1:13">
      <c r="A186" s="1">
        <f>HYPERLINK("http://www.twitter.com/NathanBLawrence/status/997474034827907077", "997474034827907077")</f>
        <v/>
      </c>
      <c r="B186" s="2" t="n">
        <v>43238.57541666667</v>
      </c>
      <c r="C186" t="n">
        <v>3</v>
      </c>
      <c r="D186" t="n">
        <v>3</v>
      </c>
      <c r="E186" t="s">
        <v>197</v>
      </c>
      <c r="F186" t="s"/>
      <c r="G186" t="s"/>
      <c r="H186" t="s"/>
      <c r="I186" t="s"/>
      <c r="J186" t="n">
        <v>-0.4215</v>
      </c>
      <c r="K186" t="n">
        <v>0.157</v>
      </c>
      <c r="L186" t="n">
        <v>0.843</v>
      </c>
      <c r="M186" t="n">
        <v>0</v>
      </c>
    </row>
    <row r="187" spans="1:13">
      <c r="A187" s="1">
        <f>HYPERLINK("http://www.twitter.com/NathanBLawrence/status/997470177225773056", "997470177225773056")</f>
        <v/>
      </c>
      <c r="B187" s="2" t="n">
        <v>43238.56478009259</v>
      </c>
      <c r="C187" t="n">
        <v>0</v>
      </c>
      <c r="D187" t="n">
        <v>4</v>
      </c>
      <c r="E187" t="s">
        <v>198</v>
      </c>
      <c r="F187" t="s"/>
      <c r="G187" t="s"/>
      <c r="H187" t="s"/>
      <c r="I187" t="s"/>
      <c r="J187" t="n">
        <v>0.5859</v>
      </c>
      <c r="K187" t="n">
        <v>0.09</v>
      </c>
      <c r="L187" t="n">
        <v>0.677</v>
      </c>
      <c r="M187" t="n">
        <v>0.233</v>
      </c>
    </row>
    <row r="188" spans="1:13">
      <c r="A188" s="1">
        <f>HYPERLINK("http://www.twitter.com/NathanBLawrence/status/997470108271378433", "997470108271378433")</f>
        <v/>
      </c>
      <c r="B188" s="2" t="n">
        <v>43238.56458333333</v>
      </c>
      <c r="C188" t="n">
        <v>0</v>
      </c>
      <c r="D188" t="n">
        <v>6385</v>
      </c>
      <c r="E188" t="s">
        <v>199</v>
      </c>
      <c r="F188" t="s"/>
      <c r="G188" t="s"/>
      <c r="H188" t="s"/>
      <c r="I188" t="s"/>
      <c r="J188" t="n">
        <v>-0.7125</v>
      </c>
      <c r="K188" t="n">
        <v>0.275</v>
      </c>
      <c r="L188" t="n">
        <v>0.725</v>
      </c>
      <c r="M188" t="n">
        <v>0</v>
      </c>
    </row>
    <row r="189" spans="1:13">
      <c r="A189" s="1">
        <f>HYPERLINK("http://www.twitter.com/NathanBLawrence/status/997469897683881989", "997469897683881989")</f>
        <v/>
      </c>
      <c r="B189" s="2" t="n">
        <v>43238.56400462963</v>
      </c>
      <c r="C189" t="n">
        <v>0</v>
      </c>
      <c r="D189" t="n">
        <v>0</v>
      </c>
      <c r="E189" t="s">
        <v>200</v>
      </c>
      <c r="F189" t="s"/>
      <c r="G189" t="s"/>
      <c r="H189" t="s"/>
      <c r="I189" t="s"/>
      <c r="J189" t="n">
        <v>0</v>
      </c>
      <c r="K189" t="n">
        <v>0</v>
      </c>
      <c r="L189" t="n">
        <v>1</v>
      </c>
      <c r="M189" t="n">
        <v>0</v>
      </c>
    </row>
    <row r="190" spans="1:13">
      <c r="A190" s="1">
        <f>HYPERLINK("http://www.twitter.com/NathanBLawrence/status/997469523350577153", "997469523350577153")</f>
        <v/>
      </c>
      <c r="B190" s="2" t="n">
        <v>43238.56297453704</v>
      </c>
      <c r="C190" t="n">
        <v>0</v>
      </c>
      <c r="D190" t="n">
        <v>26</v>
      </c>
      <c r="E190" t="s">
        <v>201</v>
      </c>
      <c r="F190">
        <f>HYPERLINK("http://pbs.twimg.com/media/Ddbco4GV4AAgjxY.jpg", "http://pbs.twimg.com/media/Ddbco4GV4AAgjxY.jpg")</f>
        <v/>
      </c>
      <c r="G190" t="s"/>
      <c r="H190" t="s"/>
      <c r="I190" t="s"/>
      <c r="J190" t="n">
        <v>0.0772</v>
      </c>
      <c r="K190" t="n">
        <v>0.073</v>
      </c>
      <c r="L190" t="n">
        <v>0.843</v>
      </c>
      <c r="M190" t="n">
        <v>0.08400000000000001</v>
      </c>
    </row>
    <row r="191" spans="1:13">
      <c r="A191" s="1">
        <f>HYPERLINK("http://www.twitter.com/NathanBLawrence/status/997469399572451328", "997469399572451328")</f>
        <v/>
      </c>
      <c r="B191" s="2" t="n">
        <v>43238.56262731482</v>
      </c>
      <c r="C191" t="n">
        <v>2</v>
      </c>
      <c r="D191" t="n">
        <v>1</v>
      </c>
      <c r="E191" t="s">
        <v>202</v>
      </c>
      <c r="F191" t="s"/>
      <c r="G191" t="s"/>
      <c r="H191" t="s"/>
      <c r="I191" t="s"/>
      <c r="J191" t="n">
        <v>0</v>
      </c>
      <c r="K191" t="n">
        <v>0</v>
      </c>
      <c r="L191" t="n">
        <v>1</v>
      </c>
      <c r="M191" t="n">
        <v>0</v>
      </c>
    </row>
    <row r="192" spans="1:13">
      <c r="A192" s="1">
        <f>HYPERLINK("http://www.twitter.com/NathanBLawrence/status/997469011632906241", "997469011632906241")</f>
        <v/>
      </c>
      <c r="B192" s="2" t="n">
        <v>43238.5615625</v>
      </c>
      <c r="C192" t="n">
        <v>1</v>
      </c>
      <c r="D192" t="n">
        <v>0</v>
      </c>
      <c r="E192" t="s">
        <v>203</v>
      </c>
      <c r="F192" t="s"/>
      <c r="G192" t="s"/>
      <c r="H192" t="s"/>
      <c r="I192" t="s"/>
      <c r="J192" t="n">
        <v>0.4574</v>
      </c>
      <c r="K192" t="n">
        <v>0</v>
      </c>
      <c r="L192" t="n">
        <v>0.501</v>
      </c>
      <c r="M192" t="n">
        <v>0.499</v>
      </c>
    </row>
    <row r="193" spans="1:13">
      <c r="A193" s="1">
        <f>HYPERLINK("http://www.twitter.com/NathanBLawrence/status/997468873086722048", "997468873086722048")</f>
        <v/>
      </c>
      <c r="B193" s="2" t="n">
        <v>43238.56118055555</v>
      </c>
      <c r="C193" t="n">
        <v>8</v>
      </c>
      <c r="D193" t="n">
        <v>1</v>
      </c>
      <c r="E193" t="s">
        <v>204</v>
      </c>
      <c r="F193">
        <f>HYPERLINK("http://pbs.twimg.com/media/Dde4pdmVQAEHPEf.jpg", "http://pbs.twimg.com/media/Dde4pdmVQAEHPEf.jpg")</f>
        <v/>
      </c>
      <c r="G193" t="s"/>
      <c r="H193" t="s"/>
      <c r="I193" t="s"/>
      <c r="J193" t="n">
        <v>0.5719</v>
      </c>
      <c r="K193" t="n">
        <v>0</v>
      </c>
      <c r="L193" t="n">
        <v>0.85</v>
      </c>
      <c r="M193" t="n">
        <v>0.15</v>
      </c>
    </row>
    <row r="194" spans="1:13">
      <c r="A194" s="1">
        <f>HYPERLINK("http://www.twitter.com/NathanBLawrence/status/997468210592182272", "997468210592182272")</f>
        <v/>
      </c>
      <c r="B194" s="2" t="n">
        <v>43238.55935185185</v>
      </c>
      <c r="C194" t="n">
        <v>9</v>
      </c>
      <c r="D194" t="n">
        <v>2</v>
      </c>
      <c r="E194" t="s">
        <v>205</v>
      </c>
      <c r="F194">
        <f>HYPERLINK("http://pbs.twimg.com/media/Dde4CWKVMAEULcf.jpg", "http://pbs.twimg.com/media/Dde4CWKVMAEULcf.jpg")</f>
        <v/>
      </c>
      <c r="G194" t="s"/>
      <c r="H194" t="s"/>
      <c r="I194" t="s"/>
      <c r="J194" t="n">
        <v>0</v>
      </c>
      <c r="K194" t="n">
        <v>0</v>
      </c>
      <c r="L194" t="n">
        <v>1</v>
      </c>
      <c r="M194" t="n">
        <v>0</v>
      </c>
    </row>
    <row r="195" spans="1:13">
      <c r="A195" s="1">
        <f>HYPERLINK("http://www.twitter.com/NathanBLawrence/status/997467818756108293", "997467818756108293")</f>
        <v/>
      </c>
      <c r="B195" s="2" t="n">
        <v>43238.55826388889</v>
      </c>
      <c r="C195" t="n">
        <v>1</v>
      </c>
      <c r="D195" t="n">
        <v>1</v>
      </c>
      <c r="E195" t="s">
        <v>206</v>
      </c>
      <c r="F195" t="s"/>
      <c r="G195" t="s"/>
      <c r="H195" t="s"/>
      <c r="I195" t="s"/>
      <c r="J195" t="n">
        <v>0.4003</v>
      </c>
      <c r="K195" t="n">
        <v>0</v>
      </c>
      <c r="L195" t="n">
        <v>0.765</v>
      </c>
      <c r="M195" t="n">
        <v>0.235</v>
      </c>
    </row>
    <row r="196" spans="1:13">
      <c r="A196" s="1">
        <f>HYPERLINK("http://www.twitter.com/NathanBLawrence/status/997467644126167040", "997467644126167040")</f>
        <v/>
      </c>
      <c r="B196" s="2" t="n">
        <v>43238.55778935185</v>
      </c>
      <c r="C196" t="n">
        <v>0</v>
      </c>
      <c r="D196" t="n">
        <v>1</v>
      </c>
      <c r="E196" t="s">
        <v>207</v>
      </c>
      <c r="F196" t="s"/>
      <c r="G196" t="s"/>
      <c r="H196" t="s"/>
      <c r="I196" t="s"/>
      <c r="J196" t="n">
        <v>0</v>
      </c>
      <c r="K196" t="n">
        <v>0</v>
      </c>
      <c r="L196" t="n">
        <v>1</v>
      </c>
      <c r="M196" t="n">
        <v>0</v>
      </c>
    </row>
    <row r="197" spans="1:13">
      <c r="A197" s="1">
        <f>HYPERLINK("http://www.twitter.com/NathanBLawrence/status/997452538998870022", "997452538998870022")</f>
        <v/>
      </c>
      <c r="B197" s="2" t="n">
        <v>43238.51609953704</v>
      </c>
      <c r="C197" t="n">
        <v>0</v>
      </c>
      <c r="D197" t="n">
        <v>1</v>
      </c>
      <c r="E197" t="s">
        <v>208</v>
      </c>
      <c r="F197">
        <f>HYPERLINK("http://pbs.twimg.com/media/Ddeo3VYVQAAB67s.jpg", "http://pbs.twimg.com/media/Ddeo3VYVQAAB67s.jpg")</f>
        <v/>
      </c>
      <c r="G197" t="s"/>
      <c r="H197" t="s"/>
      <c r="I197" t="s"/>
      <c r="J197" t="n">
        <v>0</v>
      </c>
      <c r="K197" t="n">
        <v>0</v>
      </c>
      <c r="L197" t="n">
        <v>1</v>
      </c>
      <c r="M197" t="n">
        <v>0</v>
      </c>
    </row>
    <row r="198" spans="1:13">
      <c r="A198" s="1">
        <f>HYPERLINK("http://www.twitter.com/NathanBLawrence/status/997442326422278144", "997442326422278144")</f>
        <v/>
      </c>
      <c r="B198" s="2" t="n">
        <v>43238.48791666667</v>
      </c>
      <c r="C198" t="n">
        <v>11</v>
      </c>
      <c r="D198" t="n">
        <v>4</v>
      </c>
      <c r="E198" t="s">
        <v>209</v>
      </c>
      <c r="F198" t="s"/>
      <c r="G198" t="s"/>
      <c r="H198" t="s"/>
      <c r="I198" t="s"/>
      <c r="J198" t="n">
        <v>0.8260999999999999</v>
      </c>
      <c r="K198" t="n">
        <v>0</v>
      </c>
      <c r="L198" t="n">
        <v>0.741</v>
      </c>
      <c r="M198" t="n">
        <v>0.259</v>
      </c>
    </row>
    <row r="199" spans="1:13">
      <c r="A199" s="1">
        <f>HYPERLINK("http://www.twitter.com/NathanBLawrence/status/997207966536302592", "997207966536302592")</f>
        <v/>
      </c>
      <c r="B199" s="2" t="n">
        <v>43237.84121527777</v>
      </c>
      <c r="C199" t="n">
        <v>1</v>
      </c>
      <c r="D199" t="n">
        <v>1</v>
      </c>
      <c r="E199" t="s">
        <v>210</v>
      </c>
      <c r="F199" t="s"/>
      <c r="G199" t="s"/>
      <c r="H199" t="s"/>
      <c r="I199" t="s"/>
      <c r="J199" t="n">
        <v>0</v>
      </c>
      <c r="K199" t="n">
        <v>0</v>
      </c>
      <c r="L199" t="n">
        <v>1</v>
      </c>
      <c r="M199" t="n">
        <v>0</v>
      </c>
    </row>
    <row r="200" spans="1:13">
      <c r="A200" s="1">
        <f>HYPERLINK("http://www.twitter.com/NathanBLawrence/status/997144180441931776", "997144180441931776")</f>
        <v/>
      </c>
      <c r="B200" s="2" t="n">
        <v>43237.66519675926</v>
      </c>
      <c r="C200" t="n">
        <v>2</v>
      </c>
      <c r="D200" t="n">
        <v>1</v>
      </c>
      <c r="E200" t="s">
        <v>211</v>
      </c>
      <c r="F200" t="s"/>
      <c r="G200" t="s"/>
      <c r="H200" t="s"/>
      <c r="I200" t="s"/>
      <c r="J200" t="n">
        <v>0</v>
      </c>
      <c r="K200" t="n">
        <v>0</v>
      </c>
      <c r="L200" t="n">
        <v>1</v>
      </c>
      <c r="M200" t="n">
        <v>0</v>
      </c>
    </row>
    <row r="201" spans="1:13">
      <c r="A201" s="1">
        <f>HYPERLINK("http://www.twitter.com/NathanBLawrence/status/997143839658921990", "997143839658921990")</f>
        <v/>
      </c>
      <c r="B201" s="2" t="n">
        <v>43237.66425925926</v>
      </c>
      <c r="C201" t="n">
        <v>2</v>
      </c>
      <c r="D201" t="n">
        <v>0</v>
      </c>
      <c r="E201" t="s">
        <v>212</v>
      </c>
      <c r="F201" t="s"/>
      <c r="G201" t="s"/>
      <c r="H201" t="s"/>
      <c r="I201" t="s"/>
      <c r="J201" t="n">
        <v>0.5466</v>
      </c>
      <c r="K201" t="n">
        <v>0.042</v>
      </c>
      <c r="L201" t="n">
        <v>0.848</v>
      </c>
      <c r="M201" t="n">
        <v>0.109</v>
      </c>
    </row>
    <row r="202" spans="1:13">
      <c r="A202" s="1">
        <f>HYPERLINK("http://www.twitter.com/NathanBLawrence/status/997134657350225920", "997134657350225920")</f>
        <v/>
      </c>
      <c r="B202" s="2" t="n">
        <v>43237.63891203704</v>
      </c>
      <c r="C202" t="n">
        <v>1</v>
      </c>
      <c r="D202" t="n">
        <v>0</v>
      </c>
      <c r="E202" t="s">
        <v>213</v>
      </c>
      <c r="F202" t="s"/>
      <c r="G202" t="s"/>
      <c r="H202" t="s"/>
      <c r="I202" t="s"/>
      <c r="J202" t="n">
        <v>-0.4019</v>
      </c>
      <c r="K202" t="n">
        <v>0.351</v>
      </c>
      <c r="L202" t="n">
        <v>0.649</v>
      </c>
      <c r="M202" t="n">
        <v>0</v>
      </c>
    </row>
    <row r="203" spans="1:13">
      <c r="A203" s="1">
        <f>HYPERLINK("http://www.twitter.com/NathanBLawrence/status/997113655958425601", "997113655958425601")</f>
        <v/>
      </c>
      <c r="B203" s="2" t="n">
        <v>43237.58096064815</v>
      </c>
      <c r="C203" t="n">
        <v>4</v>
      </c>
      <c r="D203" t="n">
        <v>1</v>
      </c>
      <c r="E203" t="s">
        <v>214</v>
      </c>
      <c r="F203" t="s"/>
      <c r="G203" t="s"/>
      <c r="H203" t="s"/>
      <c r="I203" t="s"/>
      <c r="J203" t="n">
        <v>0.4574</v>
      </c>
      <c r="K203" t="n">
        <v>0</v>
      </c>
      <c r="L203" t="n">
        <v>0.909</v>
      </c>
      <c r="M203" t="n">
        <v>0.091</v>
      </c>
    </row>
    <row r="204" spans="1:13">
      <c r="A204" s="1">
        <f>HYPERLINK("http://www.twitter.com/NathanBLawrence/status/997111726268207104", "997111726268207104")</f>
        <v/>
      </c>
      <c r="B204" s="2" t="n">
        <v>43237.57563657407</v>
      </c>
      <c r="C204" t="n">
        <v>1</v>
      </c>
      <c r="D204" t="n">
        <v>0</v>
      </c>
      <c r="E204" t="s">
        <v>215</v>
      </c>
      <c r="F204">
        <f>HYPERLINK("http://pbs.twimg.com/media/DdZz058VAAAQThh.jpg", "http://pbs.twimg.com/media/DdZz058VAAAQThh.jpg")</f>
        <v/>
      </c>
      <c r="G204" t="s"/>
      <c r="H204" t="s"/>
      <c r="I204" t="s"/>
      <c r="J204" t="n">
        <v>0</v>
      </c>
      <c r="K204" t="n">
        <v>0</v>
      </c>
      <c r="L204" t="n">
        <v>1</v>
      </c>
      <c r="M204" t="n">
        <v>0</v>
      </c>
    </row>
    <row r="205" spans="1:13">
      <c r="A205" s="1">
        <f>HYPERLINK("http://www.twitter.com/NathanBLawrence/status/997111308767113216", "997111308767113216")</f>
        <v/>
      </c>
      <c r="B205" s="2" t="n">
        <v>43237.57449074074</v>
      </c>
      <c r="C205" t="n">
        <v>1</v>
      </c>
      <c r="D205" t="n">
        <v>0</v>
      </c>
      <c r="E205" t="s">
        <v>216</v>
      </c>
      <c r="F205">
        <f>HYPERLINK("http://pbs.twimg.com/media/DdZzc0PU8AY0hcJ.jpg", "http://pbs.twimg.com/media/DdZzc0PU8AY0hcJ.jpg")</f>
        <v/>
      </c>
      <c r="G205" t="s"/>
      <c r="H205" t="s"/>
      <c r="I205" t="s"/>
      <c r="J205" t="n">
        <v>0.296</v>
      </c>
      <c r="K205" t="n">
        <v>0</v>
      </c>
      <c r="L205" t="n">
        <v>0.879</v>
      </c>
      <c r="M205" t="n">
        <v>0.121</v>
      </c>
    </row>
    <row r="206" spans="1:13">
      <c r="A206" s="1">
        <f>HYPERLINK("http://www.twitter.com/NathanBLawrence/status/997110401232928768", "997110401232928768")</f>
        <v/>
      </c>
      <c r="B206" s="2" t="n">
        <v>43237.57197916666</v>
      </c>
      <c r="C206" t="n">
        <v>0</v>
      </c>
      <c r="D206" t="n">
        <v>3</v>
      </c>
      <c r="E206" t="s">
        <v>217</v>
      </c>
      <c r="F206" t="s"/>
      <c r="G206" t="s"/>
      <c r="H206" t="s"/>
      <c r="I206" t="s"/>
      <c r="J206" t="n">
        <v>0.3182</v>
      </c>
      <c r="K206" t="n">
        <v>0</v>
      </c>
      <c r="L206" t="n">
        <v>0.5659999999999999</v>
      </c>
      <c r="M206" t="n">
        <v>0.434</v>
      </c>
    </row>
    <row r="207" spans="1:13">
      <c r="A207" s="1">
        <f>HYPERLINK("http://www.twitter.com/NathanBLawrence/status/997110305586073601", "997110305586073601")</f>
        <v/>
      </c>
      <c r="B207" s="2" t="n">
        <v>43237.57171296296</v>
      </c>
      <c r="C207" t="n">
        <v>3</v>
      </c>
      <c r="D207" t="n">
        <v>0</v>
      </c>
      <c r="E207" t="s">
        <v>218</v>
      </c>
      <c r="F207" t="s"/>
      <c r="G207" t="s"/>
      <c r="H207" t="s"/>
      <c r="I207" t="s"/>
      <c r="J207" t="n">
        <v>0</v>
      </c>
      <c r="K207" t="n">
        <v>0</v>
      </c>
      <c r="L207" t="n">
        <v>1</v>
      </c>
      <c r="M207" t="n">
        <v>0</v>
      </c>
    </row>
    <row r="208" spans="1:13">
      <c r="A208" s="1">
        <f>HYPERLINK("http://www.twitter.com/NathanBLawrence/status/997110084017774593", "997110084017774593")</f>
        <v/>
      </c>
      <c r="B208" s="2" t="n">
        <v>43237.57111111111</v>
      </c>
      <c r="C208" t="n">
        <v>2</v>
      </c>
      <c r="D208" t="n">
        <v>0</v>
      </c>
      <c r="E208" t="s">
        <v>219</v>
      </c>
      <c r="F208">
        <f>HYPERLINK("http://pbs.twimg.com/media/DdZyVL3UQAEkW0g.jpg", "http://pbs.twimg.com/media/DdZyVL3UQAEkW0g.jpg")</f>
        <v/>
      </c>
      <c r="G208" t="s"/>
      <c r="H208" t="s"/>
      <c r="I208" t="s"/>
      <c r="J208" t="n">
        <v>0</v>
      </c>
      <c r="K208" t="n">
        <v>0</v>
      </c>
      <c r="L208" t="n">
        <v>1</v>
      </c>
      <c r="M208" t="n">
        <v>0</v>
      </c>
    </row>
    <row r="209" spans="1:13">
      <c r="A209" s="1">
        <f>HYPERLINK("http://www.twitter.com/NathanBLawrence/status/997109377969553408", "997109377969553408")</f>
        <v/>
      </c>
      <c r="B209" s="2" t="n">
        <v>43237.56915509259</v>
      </c>
      <c r="C209" t="n">
        <v>2</v>
      </c>
      <c r="D209" t="n">
        <v>0</v>
      </c>
      <c r="E209" t="s">
        <v>220</v>
      </c>
      <c r="F209" t="s"/>
      <c r="G209" t="s"/>
      <c r="H209" t="s"/>
      <c r="I209" t="s"/>
      <c r="J209" t="n">
        <v>0.5399</v>
      </c>
      <c r="K209" t="n">
        <v>0</v>
      </c>
      <c r="L209" t="n">
        <v>0.775</v>
      </c>
      <c r="M209" t="n">
        <v>0.225</v>
      </c>
    </row>
    <row r="210" spans="1:13">
      <c r="A210" s="1">
        <f>HYPERLINK("http://www.twitter.com/NathanBLawrence/status/997074830192205824", "997074830192205824")</f>
        <v/>
      </c>
      <c r="B210" s="2" t="n">
        <v>43237.47381944444</v>
      </c>
      <c r="C210" t="n">
        <v>4</v>
      </c>
      <c r="D210" t="n">
        <v>1</v>
      </c>
      <c r="E210" t="s">
        <v>221</v>
      </c>
      <c r="F210" t="s"/>
      <c r="G210" t="s"/>
      <c r="H210" t="s"/>
      <c r="I210" t="s"/>
      <c r="J210" t="n">
        <v>-0.3182</v>
      </c>
      <c r="K210" t="n">
        <v>0.133</v>
      </c>
      <c r="L210" t="n">
        <v>0.867</v>
      </c>
      <c r="M210" t="n">
        <v>0</v>
      </c>
    </row>
    <row r="211" spans="1:13">
      <c r="A211" s="1">
        <f>HYPERLINK("http://www.twitter.com/NathanBLawrence/status/996956550026719233", "996956550026719233")</f>
        <v/>
      </c>
      <c r="B211" s="2" t="n">
        <v>43237.14743055555</v>
      </c>
      <c r="C211" t="n">
        <v>0</v>
      </c>
      <c r="D211" t="n">
        <v>0</v>
      </c>
      <c r="E211" t="s">
        <v>222</v>
      </c>
      <c r="F211">
        <f>HYPERLINK("http://pbs.twimg.com/media/DdXmseCVAAENR-n.jpg", "http://pbs.twimg.com/media/DdXmseCVAAENR-n.jpg")</f>
        <v/>
      </c>
      <c r="G211" t="s"/>
      <c r="H211" t="s"/>
      <c r="I211" t="s"/>
      <c r="J211" t="n">
        <v>0.8687</v>
      </c>
      <c r="K211" t="n">
        <v>0</v>
      </c>
      <c r="L211" t="n">
        <v>0.551</v>
      </c>
      <c r="M211" t="n">
        <v>0.449</v>
      </c>
    </row>
    <row r="212" spans="1:13">
      <c r="A212" s="1">
        <f>HYPERLINK("http://www.twitter.com/NathanBLawrence/status/996953646599458816", "996953646599458816")</f>
        <v/>
      </c>
      <c r="B212" s="2" t="n">
        <v>43237.1394212963</v>
      </c>
      <c r="C212" t="n">
        <v>0</v>
      </c>
      <c r="D212" t="n">
        <v>0</v>
      </c>
      <c r="E212" t="s">
        <v>223</v>
      </c>
      <c r="F212" t="s"/>
      <c r="G212" t="s"/>
      <c r="H212" t="s"/>
      <c r="I212" t="s"/>
      <c r="J212" t="n">
        <v>0</v>
      </c>
      <c r="K212" t="n">
        <v>0</v>
      </c>
      <c r="L212" t="n">
        <v>1</v>
      </c>
      <c r="M212" t="n">
        <v>0</v>
      </c>
    </row>
    <row r="213" spans="1:13">
      <c r="A213" s="1">
        <f>HYPERLINK("http://www.twitter.com/NathanBLawrence/status/996953460288475136", "996953460288475136")</f>
        <v/>
      </c>
      <c r="B213" s="2" t="n">
        <v>43237.13891203704</v>
      </c>
      <c r="C213" t="n">
        <v>3</v>
      </c>
      <c r="D213" t="n">
        <v>2</v>
      </c>
      <c r="E213" t="s">
        <v>224</v>
      </c>
      <c r="F213" t="s"/>
      <c r="G213" t="s"/>
      <c r="H213" t="s"/>
      <c r="I213" t="s"/>
      <c r="J213" t="n">
        <v>0.6084000000000001</v>
      </c>
      <c r="K213" t="n">
        <v>0</v>
      </c>
      <c r="L213" t="n">
        <v>0.735</v>
      </c>
      <c r="M213" t="n">
        <v>0.265</v>
      </c>
    </row>
    <row r="214" spans="1:13">
      <c r="A214" s="1">
        <f>HYPERLINK("http://www.twitter.com/NathanBLawrence/status/996952833277784064", "996952833277784064")</f>
        <v/>
      </c>
      <c r="B214" s="2" t="n">
        <v>43237.13717592593</v>
      </c>
      <c r="C214" t="n">
        <v>0</v>
      </c>
      <c r="D214" t="n">
        <v>2570</v>
      </c>
      <c r="E214" t="s">
        <v>225</v>
      </c>
      <c r="F214">
        <f>HYPERLINK("https://video.twimg.com/ext_tw_video/996486552946728960/pu/vid/1280x720/_0ns14MpaSZMNk8G.mp4?tag=3", "https://video.twimg.com/ext_tw_video/996486552946728960/pu/vid/1280x720/_0ns14MpaSZMNk8G.mp4?tag=3")</f>
        <v/>
      </c>
      <c r="G214" t="s"/>
      <c r="H214" t="s"/>
      <c r="I214" t="s"/>
      <c r="J214" t="n">
        <v>0</v>
      </c>
      <c r="K214" t="n">
        <v>0</v>
      </c>
      <c r="L214" t="n">
        <v>1</v>
      </c>
      <c r="M214" t="n">
        <v>0</v>
      </c>
    </row>
    <row r="215" spans="1:13">
      <c r="A215" s="1">
        <f>HYPERLINK("http://www.twitter.com/NathanBLawrence/status/996952336227622912", "996952336227622912")</f>
        <v/>
      </c>
      <c r="B215" s="2" t="n">
        <v>43237.13581018519</v>
      </c>
      <c r="C215" t="n">
        <v>3</v>
      </c>
      <c r="D215" t="n">
        <v>1</v>
      </c>
      <c r="E215" t="s">
        <v>226</v>
      </c>
      <c r="F215" t="s"/>
      <c r="G215" t="s"/>
      <c r="H215" t="s"/>
      <c r="I215" t="s"/>
      <c r="J215" t="n">
        <v>0.1027</v>
      </c>
      <c r="K215" t="n">
        <v>0.198</v>
      </c>
      <c r="L215" t="n">
        <v>0.5659999999999999</v>
      </c>
      <c r="M215" t="n">
        <v>0.236</v>
      </c>
    </row>
    <row r="216" spans="1:13">
      <c r="A216" s="1">
        <f>HYPERLINK("http://www.twitter.com/NathanBLawrence/status/996951610709471232", "996951610709471232")</f>
        <v/>
      </c>
      <c r="B216" s="2" t="n">
        <v>43237.13380787037</v>
      </c>
      <c r="C216" t="n">
        <v>2</v>
      </c>
      <c r="D216" t="n">
        <v>0</v>
      </c>
      <c r="E216" t="s">
        <v>227</v>
      </c>
      <c r="F216" t="s"/>
      <c r="G216" t="s"/>
      <c r="H216" t="s"/>
      <c r="I216" t="s"/>
      <c r="J216" t="n">
        <v>-0.0516</v>
      </c>
      <c r="K216" t="n">
        <v>0.148</v>
      </c>
      <c r="L216" t="n">
        <v>0.714</v>
      </c>
      <c r="M216" t="n">
        <v>0.137</v>
      </c>
    </row>
    <row r="217" spans="1:13">
      <c r="A217" s="1">
        <f>HYPERLINK("http://www.twitter.com/NathanBLawrence/status/996951130633658368", "996951130633658368")</f>
        <v/>
      </c>
      <c r="B217" s="2" t="n">
        <v>43237.13247685185</v>
      </c>
      <c r="C217" t="n">
        <v>1</v>
      </c>
      <c r="D217" t="n">
        <v>0</v>
      </c>
      <c r="E217" t="s">
        <v>228</v>
      </c>
      <c r="F217" t="s"/>
      <c r="G217" t="s"/>
      <c r="H217" t="s"/>
      <c r="I217" t="s"/>
      <c r="J217" t="n">
        <v>0</v>
      </c>
      <c r="K217" t="n">
        <v>0</v>
      </c>
      <c r="L217" t="n">
        <v>1</v>
      </c>
      <c r="M217" t="n">
        <v>0</v>
      </c>
    </row>
    <row r="218" spans="1:13">
      <c r="A218" s="1">
        <f>HYPERLINK("http://www.twitter.com/NathanBLawrence/status/996951022567411712", "996951022567411712")</f>
        <v/>
      </c>
      <c r="B218" s="2" t="n">
        <v>43237.13217592592</v>
      </c>
      <c r="C218" t="n">
        <v>3</v>
      </c>
      <c r="D218" t="n">
        <v>0</v>
      </c>
      <c r="E218" t="s">
        <v>229</v>
      </c>
      <c r="F218" t="s"/>
      <c r="G218" t="s"/>
      <c r="H218" t="s"/>
      <c r="I218" t="s"/>
      <c r="J218" t="n">
        <v>0</v>
      </c>
      <c r="K218" t="n">
        <v>0</v>
      </c>
      <c r="L218" t="n">
        <v>1</v>
      </c>
      <c r="M218" t="n">
        <v>0</v>
      </c>
    </row>
    <row r="219" spans="1:13">
      <c r="A219" s="1">
        <f>HYPERLINK("http://www.twitter.com/NathanBLawrence/status/996947937992347648", "996947937992347648")</f>
        <v/>
      </c>
      <c r="B219" s="2" t="n">
        <v>43237.12366898148</v>
      </c>
      <c r="C219" t="n">
        <v>3</v>
      </c>
      <c r="D219" t="n">
        <v>2</v>
      </c>
      <c r="E219" t="s">
        <v>230</v>
      </c>
      <c r="F219" t="s"/>
      <c r="G219" t="s"/>
      <c r="H219" t="s"/>
      <c r="I219" t="s"/>
      <c r="J219" t="n">
        <v>-0.4862</v>
      </c>
      <c r="K219" t="n">
        <v>0.148</v>
      </c>
      <c r="L219" t="n">
        <v>0.852</v>
      </c>
      <c r="M219" t="n">
        <v>0</v>
      </c>
    </row>
    <row r="220" spans="1:13">
      <c r="A220" s="1">
        <f>HYPERLINK("http://www.twitter.com/NathanBLawrence/status/996946838761672705", "996946838761672705")</f>
        <v/>
      </c>
      <c r="B220" s="2" t="n">
        <v>43237.12063657407</v>
      </c>
      <c r="C220" t="n">
        <v>0</v>
      </c>
      <c r="D220" t="n">
        <v>0</v>
      </c>
      <c r="E220" t="s">
        <v>231</v>
      </c>
      <c r="F220" t="s"/>
      <c r="G220" t="s"/>
      <c r="H220" t="s"/>
      <c r="I220" t="s"/>
      <c r="J220" t="n">
        <v>0</v>
      </c>
      <c r="K220" t="n">
        <v>0</v>
      </c>
      <c r="L220" t="n">
        <v>1</v>
      </c>
      <c r="M220" t="n">
        <v>0</v>
      </c>
    </row>
    <row r="221" spans="1:13">
      <c r="A221" s="1">
        <f>HYPERLINK("http://www.twitter.com/NathanBLawrence/status/996945902278447104", "996945902278447104")</f>
        <v/>
      </c>
      <c r="B221" s="2" t="n">
        <v>43237.11805555555</v>
      </c>
      <c r="C221" t="n">
        <v>1</v>
      </c>
      <c r="D221" t="n">
        <v>0</v>
      </c>
      <c r="E221" t="s">
        <v>232</v>
      </c>
      <c r="F221">
        <f>HYPERLINK("http://pbs.twimg.com/media/DdXdAkmVQAAqNR-.jpg", "http://pbs.twimg.com/media/DdXdAkmVQAAqNR-.jpg")</f>
        <v/>
      </c>
      <c r="G221" t="s"/>
      <c r="H221" t="s"/>
      <c r="I221" t="s"/>
      <c r="J221" t="n">
        <v>0</v>
      </c>
      <c r="K221" t="n">
        <v>0</v>
      </c>
      <c r="L221" t="n">
        <v>1</v>
      </c>
      <c r="M221" t="n">
        <v>0</v>
      </c>
    </row>
    <row r="222" spans="1:13">
      <c r="A222" s="1">
        <f>HYPERLINK("http://www.twitter.com/NathanBLawrence/status/996945853511274496", "996945853511274496")</f>
        <v/>
      </c>
      <c r="B222" s="2" t="n">
        <v>43237.11791666667</v>
      </c>
      <c r="C222" t="n">
        <v>2</v>
      </c>
      <c r="D222" t="n">
        <v>0</v>
      </c>
      <c r="E222" t="s">
        <v>233</v>
      </c>
      <c r="F222" t="s"/>
      <c r="G222" t="s"/>
      <c r="H222" t="s"/>
      <c r="I222" t="s"/>
      <c r="J222" t="n">
        <v>0</v>
      </c>
      <c r="K222" t="n">
        <v>0</v>
      </c>
      <c r="L222" t="n">
        <v>1</v>
      </c>
      <c r="M222" t="n">
        <v>0</v>
      </c>
    </row>
    <row r="223" spans="1:13">
      <c r="A223" s="1">
        <f>HYPERLINK("http://www.twitter.com/NathanBLawrence/status/996940183722446848", "996940183722446848")</f>
        <v/>
      </c>
      <c r="B223" s="2" t="n">
        <v>43237.10226851852</v>
      </c>
      <c r="C223" t="n">
        <v>1</v>
      </c>
      <c r="D223" t="n">
        <v>0</v>
      </c>
      <c r="E223" t="s">
        <v>234</v>
      </c>
      <c r="F223" t="s"/>
      <c r="G223" t="s"/>
      <c r="H223" t="s"/>
      <c r="I223" t="s"/>
      <c r="J223" t="n">
        <v>0.3182</v>
      </c>
      <c r="K223" t="n">
        <v>0</v>
      </c>
      <c r="L223" t="n">
        <v>0.635</v>
      </c>
      <c r="M223" t="n">
        <v>0.365</v>
      </c>
    </row>
    <row r="224" spans="1:13">
      <c r="A224" s="1">
        <f>HYPERLINK("http://www.twitter.com/NathanBLawrence/status/996939955204251651", "996939955204251651")</f>
        <v/>
      </c>
      <c r="B224" s="2" t="n">
        <v>43237.10164351852</v>
      </c>
      <c r="C224" t="n">
        <v>0</v>
      </c>
      <c r="D224" t="n">
        <v>0</v>
      </c>
      <c r="E224" t="s">
        <v>235</v>
      </c>
      <c r="F224" t="s"/>
      <c r="G224" t="s"/>
      <c r="H224" t="s"/>
      <c r="I224" t="s"/>
      <c r="J224" t="n">
        <v>-0.8401999999999999</v>
      </c>
      <c r="K224" t="n">
        <v>0.19</v>
      </c>
      <c r="L224" t="n">
        <v>0.8100000000000001</v>
      </c>
      <c r="M224" t="n">
        <v>0</v>
      </c>
    </row>
    <row r="225" spans="1:13">
      <c r="A225" s="1">
        <f>HYPERLINK("http://www.twitter.com/NathanBLawrence/status/996922640446128128", "996922640446128128")</f>
        <v/>
      </c>
      <c r="B225" s="2" t="n">
        <v>43237.05386574074</v>
      </c>
      <c r="C225" t="n">
        <v>2</v>
      </c>
      <c r="D225" t="n">
        <v>0</v>
      </c>
      <c r="E225" t="s">
        <v>236</v>
      </c>
      <c r="F225" t="s"/>
      <c r="G225" t="s"/>
      <c r="H225" t="s"/>
      <c r="I225" t="s"/>
      <c r="J225" t="n">
        <v>0</v>
      </c>
      <c r="K225" t="n">
        <v>0</v>
      </c>
      <c r="L225" t="n">
        <v>1</v>
      </c>
      <c r="M225" t="n">
        <v>0</v>
      </c>
    </row>
    <row r="226" spans="1:13">
      <c r="A226" s="1">
        <f>HYPERLINK("http://www.twitter.com/NathanBLawrence/status/996920955388776448", "996920955388776448")</f>
        <v/>
      </c>
      <c r="B226" s="2" t="n">
        <v>43237.04921296296</v>
      </c>
      <c r="C226" t="n">
        <v>0</v>
      </c>
      <c r="D226" t="n">
        <v>0</v>
      </c>
      <c r="E226" t="s">
        <v>237</v>
      </c>
      <c r="F226" t="s"/>
      <c r="G226" t="s"/>
      <c r="H226" t="s"/>
      <c r="I226" t="s"/>
      <c r="J226" t="n">
        <v>-0.296</v>
      </c>
      <c r="K226" t="n">
        <v>0.145</v>
      </c>
      <c r="L226" t="n">
        <v>0.855</v>
      </c>
      <c r="M226" t="n">
        <v>0</v>
      </c>
    </row>
    <row r="227" spans="1:13">
      <c r="A227" s="1">
        <f>HYPERLINK("http://www.twitter.com/NathanBLawrence/status/996920638425137152", "996920638425137152")</f>
        <v/>
      </c>
      <c r="B227" s="2" t="n">
        <v>43237.04833333333</v>
      </c>
      <c r="C227" t="n">
        <v>0</v>
      </c>
      <c r="D227" t="n">
        <v>0</v>
      </c>
      <c r="E227" t="s">
        <v>238</v>
      </c>
      <c r="F227" t="s"/>
      <c r="G227" t="s"/>
      <c r="H227" t="s"/>
      <c r="I227" t="s"/>
      <c r="J227" t="n">
        <v>-0.5266999999999999</v>
      </c>
      <c r="K227" t="n">
        <v>0.124</v>
      </c>
      <c r="L227" t="n">
        <v>0.876</v>
      </c>
      <c r="M227" t="n">
        <v>0</v>
      </c>
    </row>
    <row r="228" spans="1:13">
      <c r="A228" s="1">
        <f>HYPERLINK("http://www.twitter.com/NathanBLawrence/status/996919313016770561", "996919313016770561")</f>
        <v/>
      </c>
      <c r="B228" s="2" t="n">
        <v>43237.04467592593</v>
      </c>
      <c r="C228" t="n">
        <v>0</v>
      </c>
      <c r="D228" t="n">
        <v>0</v>
      </c>
      <c r="E228" t="s">
        <v>239</v>
      </c>
      <c r="F228" t="s"/>
      <c r="G228" t="s"/>
      <c r="H228" t="s"/>
      <c r="I228" t="s"/>
      <c r="J228" t="n">
        <v>-0.4559</v>
      </c>
      <c r="K228" t="n">
        <v>0.23</v>
      </c>
      <c r="L228" t="n">
        <v>0.77</v>
      </c>
      <c r="M228" t="n">
        <v>0</v>
      </c>
    </row>
    <row r="229" spans="1:13">
      <c r="A229" s="1">
        <f>HYPERLINK("http://www.twitter.com/NathanBLawrence/status/996916517852925952", "996916517852925952")</f>
        <v/>
      </c>
      <c r="B229" s="2" t="n">
        <v>43237.03696759259</v>
      </c>
      <c r="C229" t="n">
        <v>0</v>
      </c>
      <c r="D229" t="n">
        <v>0</v>
      </c>
      <c r="E229" t="s">
        <v>240</v>
      </c>
      <c r="F229" t="s"/>
      <c r="G229" t="s"/>
      <c r="H229" t="s"/>
      <c r="I229" t="s"/>
      <c r="J229" t="n">
        <v>0</v>
      </c>
      <c r="K229" t="n">
        <v>0</v>
      </c>
      <c r="L229" t="n">
        <v>1</v>
      </c>
      <c r="M229" t="n">
        <v>0</v>
      </c>
    </row>
    <row r="230" spans="1:13">
      <c r="A230" s="1">
        <f>HYPERLINK("http://www.twitter.com/NathanBLawrence/status/996915379388772353", "996915379388772353")</f>
        <v/>
      </c>
      <c r="B230" s="2" t="n">
        <v>43237.03381944444</v>
      </c>
      <c r="C230" t="n">
        <v>1</v>
      </c>
      <c r="D230" t="n">
        <v>0</v>
      </c>
      <c r="E230" t="s">
        <v>241</v>
      </c>
      <c r="F230" t="s"/>
      <c r="G230" t="s"/>
      <c r="H230" t="s"/>
      <c r="I230" t="s"/>
      <c r="J230" t="n">
        <v>0</v>
      </c>
      <c r="K230" t="n">
        <v>0</v>
      </c>
      <c r="L230" t="n">
        <v>1</v>
      </c>
      <c r="M230" t="n">
        <v>0</v>
      </c>
    </row>
    <row r="231" spans="1:13">
      <c r="A231" s="1">
        <f>HYPERLINK("http://www.twitter.com/NathanBLawrence/status/996914236298268674", "996914236298268674")</f>
        <v/>
      </c>
      <c r="B231" s="2" t="n">
        <v>43237.0306712963</v>
      </c>
      <c r="C231" t="n">
        <v>0</v>
      </c>
      <c r="D231" t="n">
        <v>1356</v>
      </c>
      <c r="E231" t="s">
        <v>242</v>
      </c>
      <c r="F231">
        <f>HYPERLINK("http://pbs.twimg.com/media/DdW0vzmU8AAJPkv.jpg", "http://pbs.twimg.com/media/DdW0vzmU8AAJPkv.jpg")</f>
        <v/>
      </c>
      <c r="G231" t="s"/>
      <c r="H231" t="s"/>
      <c r="I231" t="s"/>
      <c r="J231" t="n">
        <v>-0.2716</v>
      </c>
      <c r="K231" t="n">
        <v>0.091</v>
      </c>
      <c r="L231" t="n">
        <v>0.909</v>
      </c>
      <c r="M231" t="n">
        <v>0</v>
      </c>
    </row>
    <row r="232" spans="1:13">
      <c r="A232" s="1">
        <f>HYPERLINK("http://www.twitter.com/NathanBLawrence/status/996913976364716034", "996913976364716034")</f>
        <v/>
      </c>
      <c r="B232" s="2" t="n">
        <v>43237.02995370371</v>
      </c>
      <c r="C232" t="n">
        <v>0</v>
      </c>
      <c r="D232" t="n">
        <v>0</v>
      </c>
      <c r="E232" t="s">
        <v>243</v>
      </c>
      <c r="F232" t="s"/>
      <c r="G232" t="s"/>
      <c r="H232" t="s"/>
      <c r="I232" t="s"/>
      <c r="J232" t="n">
        <v>0.3182</v>
      </c>
      <c r="K232" t="n">
        <v>0</v>
      </c>
      <c r="L232" t="n">
        <v>0.465</v>
      </c>
      <c r="M232" t="n">
        <v>0.535</v>
      </c>
    </row>
    <row r="233" spans="1:13">
      <c r="A233" s="1">
        <f>HYPERLINK("http://www.twitter.com/NathanBLawrence/status/996910697631174658", "996910697631174658")</f>
        <v/>
      </c>
      <c r="B233" s="2" t="n">
        <v>43237.02090277777</v>
      </c>
      <c r="C233" t="n">
        <v>0</v>
      </c>
      <c r="D233" t="n">
        <v>1277</v>
      </c>
      <c r="E233" t="s">
        <v>244</v>
      </c>
      <c r="F233" t="s"/>
      <c r="G233" t="s"/>
      <c r="H233" t="s"/>
      <c r="I233" t="s"/>
      <c r="J233" t="n">
        <v>-0.296</v>
      </c>
      <c r="K233" t="n">
        <v>0.08400000000000001</v>
      </c>
      <c r="L233" t="n">
        <v>0.916</v>
      </c>
      <c r="M233" t="n">
        <v>0</v>
      </c>
    </row>
    <row r="234" spans="1:13">
      <c r="A234" s="1">
        <f>HYPERLINK("http://www.twitter.com/NathanBLawrence/status/996909781712596992", "996909781712596992")</f>
        <v/>
      </c>
      <c r="B234" s="2" t="n">
        <v>43237.01837962963</v>
      </c>
      <c r="C234" t="n">
        <v>0</v>
      </c>
      <c r="D234" t="n">
        <v>0</v>
      </c>
      <c r="E234" t="s">
        <v>245</v>
      </c>
      <c r="F234">
        <f>HYPERLINK("http://pbs.twimg.com/media/DdW8KB5V0AEyLil.jpg", "http://pbs.twimg.com/media/DdW8KB5V0AEyLil.jpg")</f>
        <v/>
      </c>
      <c r="G234" t="s"/>
      <c r="H234" t="s"/>
      <c r="I234" t="s"/>
      <c r="J234" t="n">
        <v>0</v>
      </c>
      <c r="K234" t="n">
        <v>0</v>
      </c>
      <c r="L234" t="n">
        <v>1</v>
      </c>
      <c r="M234" t="n">
        <v>0</v>
      </c>
    </row>
    <row r="235" spans="1:13">
      <c r="A235" s="1">
        <f>HYPERLINK("http://www.twitter.com/NathanBLawrence/status/996908226699497473", "996908226699497473")</f>
        <v/>
      </c>
      <c r="B235" s="2" t="n">
        <v>43237.01408564814</v>
      </c>
      <c r="C235" t="n">
        <v>12</v>
      </c>
      <c r="D235" t="n">
        <v>6</v>
      </c>
      <c r="E235" t="s">
        <v>246</v>
      </c>
      <c r="F235" t="s"/>
      <c r="G235" t="s"/>
      <c r="H235" t="s"/>
      <c r="I235" t="s"/>
      <c r="J235" t="n">
        <v>0</v>
      </c>
      <c r="K235" t="n">
        <v>0</v>
      </c>
      <c r="L235" t="n">
        <v>1</v>
      </c>
      <c r="M235" t="n">
        <v>0</v>
      </c>
    </row>
    <row r="236" spans="1:13">
      <c r="A236" s="1">
        <f>HYPERLINK("http://www.twitter.com/NathanBLawrence/status/996907831365439489", "996907831365439489")</f>
        <v/>
      </c>
      <c r="B236" s="2" t="n">
        <v>43237.01299768518</v>
      </c>
      <c r="C236" t="n">
        <v>0</v>
      </c>
      <c r="D236" t="n">
        <v>0</v>
      </c>
      <c r="E236" t="s">
        <v>247</v>
      </c>
      <c r="F236" t="s"/>
      <c r="G236" t="s"/>
      <c r="H236" t="s"/>
      <c r="I236" t="s"/>
      <c r="J236" t="n">
        <v>0</v>
      </c>
      <c r="K236" t="n">
        <v>0</v>
      </c>
      <c r="L236" t="n">
        <v>1</v>
      </c>
      <c r="M236" t="n">
        <v>0</v>
      </c>
    </row>
    <row r="237" spans="1:13">
      <c r="A237" s="1">
        <f>HYPERLINK("http://www.twitter.com/NathanBLawrence/status/996907740760084480", "996907740760084480")</f>
        <v/>
      </c>
      <c r="B237" s="2" t="n">
        <v>43237.01274305556</v>
      </c>
      <c r="C237" t="n">
        <v>1</v>
      </c>
      <c r="D237" t="n">
        <v>1</v>
      </c>
      <c r="E237" t="s">
        <v>248</v>
      </c>
      <c r="F237" t="s"/>
      <c r="G237" t="s"/>
      <c r="H237" t="s"/>
      <c r="I237" t="s"/>
      <c r="J237" t="n">
        <v>0</v>
      </c>
      <c r="K237" t="n">
        <v>0</v>
      </c>
      <c r="L237" t="n">
        <v>1</v>
      </c>
      <c r="M237" t="n">
        <v>0</v>
      </c>
    </row>
    <row r="238" spans="1:13">
      <c r="A238" s="1">
        <f>HYPERLINK("http://www.twitter.com/NathanBLawrence/status/996906374125715458", "996906374125715458")</f>
        <v/>
      </c>
      <c r="B238" s="2" t="n">
        <v>43237.00896990741</v>
      </c>
      <c r="C238" t="n">
        <v>2</v>
      </c>
      <c r="D238" t="n">
        <v>1</v>
      </c>
      <c r="E238" t="s">
        <v>249</v>
      </c>
      <c r="F238" t="s"/>
      <c r="G238" t="s"/>
      <c r="H238" t="s"/>
      <c r="I238" t="s"/>
      <c r="J238" t="n">
        <v>0</v>
      </c>
      <c r="K238" t="n">
        <v>0</v>
      </c>
      <c r="L238" t="n">
        <v>1</v>
      </c>
      <c r="M238" t="n">
        <v>0</v>
      </c>
    </row>
    <row r="239" spans="1:13">
      <c r="A239" s="1">
        <f>HYPERLINK("http://www.twitter.com/NathanBLawrence/status/996902730315829249", "996902730315829249")</f>
        <v/>
      </c>
      <c r="B239" s="2" t="n">
        <v>43236.99892361111</v>
      </c>
      <c r="C239" t="n">
        <v>4</v>
      </c>
      <c r="D239" t="n">
        <v>2</v>
      </c>
      <c r="E239" t="s">
        <v>250</v>
      </c>
      <c r="F239" t="s"/>
      <c r="G239" t="s"/>
      <c r="H239" t="s"/>
      <c r="I239" t="s"/>
      <c r="J239" t="n">
        <v>0.5106000000000001</v>
      </c>
      <c r="K239" t="n">
        <v>0</v>
      </c>
      <c r="L239" t="n">
        <v>0.891</v>
      </c>
      <c r="M239" t="n">
        <v>0.109</v>
      </c>
    </row>
    <row r="240" spans="1:13">
      <c r="A240" s="1">
        <f>HYPERLINK("http://www.twitter.com/NathanBLawrence/status/996900726134788096", "996900726134788096")</f>
        <v/>
      </c>
      <c r="B240" s="2" t="n">
        <v>43236.9933912037</v>
      </c>
      <c r="C240" t="n">
        <v>1</v>
      </c>
      <c r="D240" t="n">
        <v>0</v>
      </c>
      <c r="E240" t="s">
        <v>251</v>
      </c>
      <c r="F240" t="s"/>
      <c r="G240" t="s"/>
      <c r="H240" t="s"/>
      <c r="I240" t="s"/>
      <c r="J240" t="n">
        <v>0</v>
      </c>
      <c r="K240" t="n">
        <v>0</v>
      </c>
      <c r="L240" t="n">
        <v>1</v>
      </c>
      <c r="M240" t="n">
        <v>0</v>
      </c>
    </row>
    <row r="241" spans="1:13">
      <c r="A241" s="1">
        <f>HYPERLINK("http://www.twitter.com/NathanBLawrence/status/996900323104100353", "996900323104100353")</f>
        <v/>
      </c>
      <c r="B241" s="2" t="n">
        <v>43236.99228009259</v>
      </c>
      <c r="C241" t="n">
        <v>1</v>
      </c>
      <c r="D241" t="n">
        <v>0</v>
      </c>
      <c r="E241" t="s">
        <v>252</v>
      </c>
      <c r="F241" t="s"/>
      <c r="G241" t="s"/>
      <c r="H241" t="s"/>
      <c r="I241" t="s"/>
      <c r="J241" t="n">
        <v>0.6369</v>
      </c>
      <c r="K241" t="n">
        <v>0</v>
      </c>
      <c r="L241" t="n">
        <v>0.698</v>
      </c>
      <c r="M241" t="n">
        <v>0.302</v>
      </c>
    </row>
    <row r="242" spans="1:13">
      <c r="A242" s="1">
        <f>HYPERLINK("http://www.twitter.com/NathanBLawrence/status/996899799797411840", "996899799797411840")</f>
        <v/>
      </c>
      <c r="B242" s="2" t="n">
        <v>43236.99083333334</v>
      </c>
      <c r="C242" t="n">
        <v>3</v>
      </c>
      <c r="D242" t="n">
        <v>0</v>
      </c>
      <c r="E242" t="s">
        <v>253</v>
      </c>
      <c r="F242" t="s"/>
      <c r="G242" t="s"/>
      <c r="H242" t="s"/>
      <c r="I242" t="s"/>
      <c r="J242" t="n">
        <v>-0.765</v>
      </c>
      <c r="K242" t="n">
        <v>0.324</v>
      </c>
      <c r="L242" t="n">
        <v>0.525</v>
      </c>
      <c r="M242" t="n">
        <v>0.151</v>
      </c>
    </row>
    <row r="243" spans="1:13">
      <c r="A243" s="1">
        <f>HYPERLINK("http://www.twitter.com/NathanBLawrence/status/996899287350042624", "996899287350042624")</f>
        <v/>
      </c>
      <c r="B243" s="2" t="n">
        <v>43236.9894212963</v>
      </c>
      <c r="C243" t="n">
        <v>0</v>
      </c>
      <c r="D243" t="n">
        <v>0</v>
      </c>
      <c r="E243" t="s">
        <v>254</v>
      </c>
      <c r="F243" t="s"/>
      <c r="G243" t="s"/>
      <c r="H243" t="s"/>
      <c r="I243" t="s"/>
      <c r="J243" t="n">
        <v>-0.5859</v>
      </c>
      <c r="K243" t="n">
        <v>0.211</v>
      </c>
      <c r="L243" t="n">
        <v>0.679</v>
      </c>
      <c r="M243" t="n">
        <v>0.111</v>
      </c>
    </row>
    <row r="244" spans="1:13">
      <c r="A244" s="1">
        <f>HYPERLINK("http://www.twitter.com/NathanBLawrence/status/996897361266921473", "996897361266921473")</f>
        <v/>
      </c>
      <c r="B244" s="2" t="n">
        <v>43236.9841087963</v>
      </c>
      <c r="C244" t="n">
        <v>1</v>
      </c>
      <c r="D244" t="n">
        <v>0</v>
      </c>
      <c r="E244" t="s">
        <v>255</v>
      </c>
      <c r="F244" t="s"/>
      <c r="G244" t="s"/>
      <c r="H244" t="s"/>
      <c r="I244" t="s"/>
      <c r="J244" t="n">
        <v>0.5248</v>
      </c>
      <c r="K244" t="n">
        <v>0.058</v>
      </c>
      <c r="L244" t="n">
        <v>0.744</v>
      </c>
      <c r="M244" t="n">
        <v>0.198</v>
      </c>
    </row>
    <row r="245" spans="1:13">
      <c r="A245" s="1">
        <f>HYPERLINK("http://www.twitter.com/NathanBLawrence/status/996896962132750337", "996896962132750337")</f>
        <v/>
      </c>
      <c r="B245" s="2" t="n">
        <v>43236.98299768518</v>
      </c>
      <c r="C245" t="n">
        <v>1</v>
      </c>
      <c r="D245" t="n">
        <v>0</v>
      </c>
      <c r="E245" t="s">
        <v>256</v>
      </c>
      <c r="F245" t="s"/>
      <c r="G245" t="s"/>
      <c r="H245" t="s"/>
      <c r="I245" t="s"/>
      <c r="J245" t="n">
        <v>0.6776</v>
      </c>
      <c r="K245" t="n">
        <v>0.129</v>
      </c>
      <c r="L245" t="n">
        <v>0.675</v>
      </c>
      <c r="M245" t="n">
        <v>0.196</v>
      </c>
    </row>
    <row r="246" spans="1:13">
      <c r="A246" s="1">
        <f>HYPERLINK("http://www.twitter.com/NathanBLawrence/status/996896372690440192", "996896372690440192")</f>
        <v/>
      </c>
      <c r="B246" s="2" t="n">
        <v>43236.98137731481</v>
      </c>
      <c r="C246" t="n">
        <v>2</v>
      </c>
      <c r="D246" t="n">
        <v>0</v>
      </c>
      <c r="E246" t="s">
        <v>257</v>
      </c>
      <c r="F246">
        <f>HYPERLINK("http://pbs.twimg.com/media/DdWv73XVwAAKRK1.jpg", "http://pbs.twimg.com/media/DdWv73XVwAAKRK1.jpg")</f>
        <v/>
      </c>
      <c r="G246" t="s"/>
      <c r="H246" t="s"/>
      <c r="I246" t="s"/>
      <c r="J246" t="n">
        <v>0</v>
      </c>
      <c r="K246" t="n">
        <v>0</v>
      </c>
      <c r="L246" t="n">
        <v>1</v>
      </c>
      <c r="M246" t="n">
        <v>0</v>
      </c>
    </row>
    <row r="247" spans="1:13">
      <c r="A247" s="1">
        <f>HYPERLINK("http://www.twitter.com/NathanBLawrence/status/996877450297663488", "996877450297663488")</f>
        <v/>
      </c>
      <c r="B247" s="2" t="n">
        <v>43236.92915509259</v>
      </c>
      <c r="C247" t="n">
        <v>1</v>
      </c>
      <c r="D247" t="n">
        <v>0</v>
      </c>
      <c r="E247" t="s">
        <v>258</v>
      </c>
      <c r="F247" t="s"/>
      <c r="G247" t="s"/>
      <c r="H247" t="s"/>
      <c r="I247" t="s"/>
      <c r="J247" t="n">
        <v>-0.4995</v>
      </c>
      <c r="K247" t="n">
        <v>0.246</v>
      </c>
      <c r="L247" t="n">
        <v>0.586</v>
      </c>
      <c r="M247" t="n">
        <v>0.169</v>
      </c>
    </row>
    <row r="248" spans="1:13">
      <c r="A248" s="1">
        <f>HYPERLINK("http://www.twitter.com/NathanBLawrence/status/996877065814269953", "996877065814269953")</f>
        <v/>
      </c>
      <c r="B248" s="2" t="n">
        <v>43236.92810185185</v>
      </c>
      <c r="C248" t="n">
        <v>1</v>
      </c>
      <c r="D248" t="n">
        <v>0</v>
      </c>
      <c r="E248" t="s">
        <v>259</v>
      </c>
      <c r="F248" t="s"/>
      <c r="G248" t="s"/>
      <c r="H248" t="s"/>
      <c r="I248" t="s"/>
      <c r="J248" t="n">
        <v>-0.0772</v>
      </c>
      <c r="K248" t="n">
        <v>0.061</v>
      </c>
      <c r="L248" t="n">
        <v>0.9389999999999999</v>
      </c>
      <c r="M248" t="n">
        <v>0</v>
      </c>
    </row>
    <row r="249" spans="1:13">
      <c r="A249" s="1">
        <f>HYPERLINK("http://www.twitter.com/NathanBLawrence/status/996876886784520193", "996876886784520193")</f>
        <v/>
      </c>
      <c r="B249" s="2" t="n">
        <v>43236.92760416667</v>
      </c>
      <c r="C249" t="n">
        <v>0</v>
      </c>
      <c r="D249" t="n">
        <v>0</v>
      </c>
      <c r="E249" t="s">
        <v>260</v>
      </c>
      <c r="F249" t="s"/>
      <c r="G249" t="s"/>
      <c r="H249" t="s"/>
      <c r="I249" t="s"/>
      <c r="J249" t="n">
        <v>-0.3612</v>
      </c>
      <c r="K249" t="n">
        <v>0.219</v>
      </c>
      <c r="L249" t="n">
        <v>0.611</v>
      </c>
      <c r="M249" t="n">
        <v>0.17</v>
      </c>
    </row>
    <row r="250" spans="1:13">
      <c r="A250" s="1">
        <f>HYPERLINK("http://www.twitter.com/NathanBLawrence/status/996876676150767616", "996876676150767616")</f>
        <v/>
      </c>
      <c r="B250" s="2" t="n">
        <v>43236.92702546297</v>
      </c>
      <c r="C250" t="n">
        <v>0</v>
      </c>
      <c r="D250" t="n">
        <v>0</v>
      </c>
      <c r="E250" t="s">
        <v>261</v>
      </c>
      <c r="F250" t="s"/>
      <c r="G250" t="s"/>
      <c r="H250" t="s"/>
      <c r="I250" t="s"/>
      <c r="J250" t="n">
        <v>-0.3147</v>
      </c>
      <c r="K250" t="n">
        <v>0.095</v>
      </c>
      <c r="L250" t="n">
        <v>0.79</v>
      </c>
      <c r="M250" t="n">
        <v>0.115</v>
      </c>
    </row>
    <row r="251" spans="1:13">
      <c r="A251" s="1">
        <f>HYPERLINK("http://www.twitter.com/NathanBLawrence/status/996875559182401537", "996875559182401537")</f>
        <v/>
      </c>
      <c r="B251" s="2" t="n">
        <v>43236.92394675926</v>
      </c>
      <c r="C251" t="n">
        <v>3</v>
      </c>
      <c r="D251" t="n">
        <v>0</v>
      </c>
      <c r="E251" t="s">
        <v>262</v>
      </c>
      <c r="F251" t="s"/>
      <c r="G251" t="s"/>
      <c r="H251" t="s"/>
      <c r="I251" t="s"/>
      <c r="J251" t="n">
        <v>-0.8309</v>
      </c>
      <c r="K251" t="n">
        <v>0.234</v>
      </c>
      <c r="L251" t="n">
        <v>0.669</v>
      </c>
      <c r="M251" t="n">
        <v>0.097</v>
      </c>
    </row>
    <row r="252" spans="1:13">
      <c r="A252" s="1">
        <f>HYPERLINK("http://www.twitter.com/NathanBLawrence/status/996855741263876102", "996855741263876102")</f>
        <v/>
      </c>
      <c r="B252" s="2" t="n">
        <v>43236.86925925926</v>
      </c>
      <c r="C252" t="n">
        <v>0</v>
      </c>
      <c r="D252" t="n">
        <v>2907</v>
      </c>
      <c r="E252" t="s">
        <v>263</v>
      </c>
      <c r="F252" t="s"/>
      <c r="G252" t="s"/>
      <c r="H252" t="s"/>
      <c r="I252" t="s"/>
      <c r="J252" t="n">
        <v>0.4865</v>
      </c>
      <c r="K252" t="n">
        <v>0</v>
      </c>
      <c r="L252" t="n">
        <v>0.864</v>
      </c>
      <c r="M252" t="n">
        <v>0.136</v>
      </c>
    </row>
    <row r="253" spans="1:13">
      <c r="A253" s="1">
        <f>HYPERLINK("http://www.twitter.com/NathanBLawrence/status/996847499485859841", "996847499485859841")</f>
        <v/>
      </c>
      <c r="B253" s="2" t="n">
        <v>43236.8465162037</v>
      </c>
      <c r="C253" t="n">
        <v>1</v>
      </c>
      <c r="D253" t="n">
        <v>1</v>
      </c>
      <c r="E253" t="s">
        <v>264</v>
      </c>
      <c r="F253" t="s"/>
      <c r="G253" t="s"/>
      <c r="H253" t="s"/>
      <c r="I253" t="s"/>
      <c r="J253" t="n">
        <v>-0.1531</v>
      </c>
      <c r="K253" t="n">
        <v>0.211</v>
      </c>
      <c r="L253" t="n">
        <v>0.789</v>
      </c>
      <c r="M253" t="n">
        <v>0</v>
      </c>
    </row>
    <row r="254" spans="1:13">
      <c r="A254" s="1">
        <f>HYPERLINK("http://www.twitter.com/NathanBLawrence/status/996846911859683330", "996846911859683330")</f>
        <v/>
      </c>
      <c r="B254" s="2" t="n">
        <v>43236.84488425926</v>
      </c>
      <c r="C254" t="n">
        <v>0</v>
      </c>
      <c r="D254" t="n">
        <v>0</v>
      </c>
      <c r="E254" t="s">
        <v>265</v>
      </c>
      <c r="F254" t="s"/>
      <c r="G254" t="s"/>
      <c r="H254" t="s"/>
      <c r="I254" t="s"/>
      <c r="J254" t="n">
        <v>-0.2732</v>
      </c>
      <c r="K254" t="n">
        <v>0.11</v>
      </c>
      <c r="L254" t="n">
        <v>0.89</v>
      </c>
      <c r="M254" t="n">
        <v>0</v>
      </c>
    </row>
    <row r="255" spans="1:13">
      <c r="A255" s="1">
        <f>HYPERLINK("http://www.twitter.com/NathanBLawrence/status/996846518870204416", "996846518870204416")</f>
        <v/>
      </c>
      <c r="B255" s="2" t="n">
        <v>43236.84380787037</v>
      </c>
      <c r="C255" t="n">
        <v>2</v>
      </c>
      <c r="D255" t="n">
        <v>0</v>
      </c>
      <c r="E255" t="s">
        <v>266</v>
      </c>
      <c r="F255" t="s"/>
      <c r="G255" t="s"/>
      <c r="H255" t="s"/>
      <c r="I255" t="s"/>
      <c r="J255" t="n">
        <v>-0.5266999999999999</v>
      </c>
      <c r="K255" t="n">
        <v>0.263</v>
      </c>
      <c r="L255" t="n">
        <v>0.625</v>
      </c>
      <c r="M255" t="n">
        <v>0.112</v>
      </c>
    </row>
    <row r="256" spans="1:13">
      <c r="A256" s="1">
        <f>HYPERLINK("http://www.twitter.com/NathanBLawrence/status/996814497946980352", "996814497946980352")</f>
        <v/>
      </c>
      <c r="B256" s="2" t="n">
        <v>43236.75543981481</v>
      </c>
      <c r="C256" t="n">
        <v>0</v>
      </c>
      <c r="D256" t="n">
        <v>0</v>
      </c>
      <c r="E256" t="s">
        <v>267</v>
      </c>
      <c r="F256">
        <f>HYPERLINK("http://pbs.twimg.com/media/DdVlexMUwAADGF5.jpg", "http://pbs.twimg.com/media/DdVlexMUwAADGF5.jpg")</f>
        <v/>
      </c>
      <c r="G256" t="s"/>
      <c r="H256" t="s"/>
      <c r="I256" t="s"/>
      <c r="J256" t="n">
        <v>0.4199</v>
      </c>
      <c r="K256" t="n">
        <v>0</v>
      </c>
      <c r="L256" t="n">
        <v>0.883</v>
      </c>
      <c r="M256" t="n">
        <v>0.117</v>
      </c>
    </row>
    <row r="257" spans="1:13">
      <c r="A257" s="1">
        <f>HYPERLINK("http://www.twitter.com/NathanBLawrence/status/996814480368701441", "996814480368701441")</f>
        <v/>
      </c>
      <c r="B257" s="2" t="n">
        <v>43236.75539351852</v>
      </c>
      <c r="C257" t="n">
        <v>3</v>
      </c>
      <c r="D257" t="n">
        <v>0</v>
      </c>
      <c r="E257" t="s">
        <v>268</v>
      </c>
      <c r="F257">
        <f>HYPERLINK("http://pbs.twimg.com/media/DdVlewmUQAAE-yR.jpg", "http://pbs.twimg.com/media/DdVlewmUQAAE-yR.jpg")</f>
        <v/>
      </c>
      <c r="G257" t="s"/>
      <c r="H257" t="s"/>
      <c r="I257" t="s"/>
      <c r="J257" t="n">
        <v>-0.6351</v>
      </c>
      <c r="K257" t="n">
        <v>0.157</v>
      </c>
      <c r="L257" t="n">
        <v>0.786</v>
      </c>
      <c r="M257" t="n">
        <v>0.057</v>
      </c>
    </row>
    <row r="258" spans="1:13">
      <c r="A258" s="1">
        <f>HYPERLINK("http://www.twitter.com/NathanBLawrence/status/996814471342559233", "996814471342559233")</f>
        <v/>
      </c>
      <c r="B258" s="2" t="n">
        <v>43236.75537037037</v>
      </c>
      <c r="C258" t="n">
        <v>2</v>
      </c>
      <c r="D258" t="n">
        <v>0</v>
      </c>
      <c r="E258" t="s">
        <v>269</v>
      </c>
      <c r="F258" t="s"/>
      <c r="G258" t="s"/>
      <c r="H258" t="s"/>
      <c r="I258" t="s"/>
      <c r="J258" t="n">
        <v>0.2023</v>
      </c>
      <c r="K258" t="n">
        <v>0</v>
      </c>
      <c r="L258" t="n">
        <v>0.9419999999999999</v>
      </c>
      <c r="M258" t="n">
        <v>0.058</v>
      </c>
    </row>
    <row r="259" spans="1:13">
      <c r="A259" s="1">
        <f>HYPERLINK("http://www.twitter.com/NathanBLawrence/status/996808807610306561", "996808807610306561")</f>
        <v/>
      </c>
      <c r="B259" s="2" t="n">
        <v>43236.73974537037</v>
      </c>
      <c r="C259" t="n">
        <v>1</v>
      </c>
      <c r="D259" t="n">
        <v>1</v>
      </c>
      <c r="E259" t="s">
        <v>270</v>
      </c>
      <c r="F259" t="s"/>
      <c r="G259" t="s"/>
      <c r="H259" t="s"/>
      <c r="I259" t="s"/>
      <c r="J259" t="n">
        <v>0.5106000000000001</v>
      </c>
      <c r="K259" t="n">
        <v>0.076</v>
      </c>
      <c r="L259" t="n">
        <v>0.637</v>
      </c>
      <c r="M259" t="n">
        <v>0.287</v>
      </c>
    </row>
    <row r="260" spans="1:13">
      <c r="A260" s="1">
        <f>HYPERLINK("http://www.twitter.com/NathanBLawrence/status/996808426608001025", "996808426608001025")</f>
        <v/>
      </c>
      <c r="B260" s="2" t="n">
        <v>43236.73869212963</v>
      </c>
      <c r="C260" t="n">
        <v>2</v>
      </c>
      <c r="D260" t="n">
        <v>0</v>
      </c>
      <c r="E260" t="s">
        <v>271</v>
      </c>
      <c r="F260" t="s"/>
      <c r="G260" t="s"/>
      <c r="H260" t="s"/>
      <c r="I260" t="s"/>
      <c r="J260" t="n">
        <v>0</v>
      </c>
      <c r="K260" t="n">
        <v>0</v>
      </c>
      <c r="L260" t="n">
        <v>1</v>
      </c>
      <c r="M260" t="n">
        <v>0</v>
      </c>
    </row>
    <row r="261" spans="1:13">
      <c r="A261" s="1">
        <f>HYPERLINK("http://www.twitter.com/NathanBLawrence/status/996782107283415045", "996782107283415045")</f>
        <v/>
      </c>
      <c r="B261" s="2" t="n">
        <v>43236.66606481482</v>
      </c>
      <c r="C261" t="n">
        <v>2</v>
      </c>
      <c r="D261" t="n">
        <v>0</v>
      </c>
      <c r="E261" t="s">
        <v>272</v>
      </c>
      <c r="F261" t="s"/>
      <c r="G261" t="s"/>
      <c r="H261" t="s"/>
      <c r="I261" t="s"/>
      <c r="J261" t="n">
        <v>0.7088</v>
      </c>
      <c r="K261" t="n">
        <v>0</v>
      </c>
      <c r="L261" t="n">
        <v>0.772</v>
      </c>
      <c r="M261" t="n">
        <v>0.228</v>
      </c>
    </row>
    <row r="262" spans="1:13">
      <c r="A262" s="1">
        <f>HYPERLINK("http://www.twitter.com/NathanBLawrence/status/996757259354034176", "996757259354034176")</f>
        <v/>
      </c>
      <c r="B262" s="2" t="n">
        <v>43236.5975</v>
      </c>
      <c r="C262" t="n">
        <v>3</v>
      </c>
      <c r="D262" t="n">
        <v>0</v>
      </c>
      <c r="E262" t="s">
        <v>273</v>
      </c>
      <c r="F262" t="s"/>
      <c r="G262" t="s"/>
      <c r="H262" t="s"/>
      <c r="I262" t="s"/>
      <c r="J262" t="n">
        <v>0</v>
      </c>
      <c r="K262" t="n">
        <v>0</v>
      </c>
      <c r="L262" t="n">
        <v>1</v>
      </c>
      <c r="M262" t="n">
        <v>0</v>
      </c>
    </row>
    <row r="263" spans="1:13">
      <c r="A263" s="1">
        <f>HYPERLINK("http://www.twitter.com/NathanBLawrence/status/996756619122929664", "996756619122929664")</f>
        <v/>
      </c>
      <c r="B263" s="2" t="n">
        <v>43236.59572916666</v>
      </c>
      <c r="C263" t="n">
        <v>1</v>
      </c>
      <c r="D263" t="n">
        <v>0</v>
      </c>
      <c r="E263" t="s">
        <v>274</v>
      </c>
      <c r="F263" t="s"/>
      <c r="G263" t="s"/>
      <c r="H263" t="s"/>
      <c r="I263" t="s"/>
      <c r="J263" t="n">
        <v>0</v>
      </c>
      <c r="K263" t="n">
        <v>0</v>
      </c>
      <c r="L263" t="n">
        <v>1</v>
      </c>
      <c r="M263" t="n">
        <v>0</v>
      </c>
    </row>
    <row r="264" spans="1:13">
      <c r="A264" s="1">
        <f>HYPERLINK("http://www.twitter.com/NathanBLawrence/status/996739101180219392", "996739101180219392")</f>
        <v/>
      </c>
      <c r="B264" s="2" t="n">
        <v>43236.54738425926</v>
      </c>
      <c r="C264" t="n">
        <v>0</v>
      </c>
      <c r="D264" t="n">
        <v>0</v>
      </c>
      <c r="E264" t="s">
        <v>275</v>
      </c>
      <c r="F264" t="s"/>
      <c r="G264" t="s"/>
      <c r="H264" t="s"/>
      <c r="I264" t="s"/>
      <c r="J264" t="n">
        <v>0.3182</v>
      </c>
      <c r="K264" t="n">
        <v>0</v>
      </c>
      <c r="L264" t="n">
        <v>0.874</v>
      </c>
      <c r="M264" t="n">
        <v>0.126</v>
      </c>
    </row>
    <row r="265" spans="1:13">
      <c r="A265" s="1">
        <f>HYPERLINK("http://www.twitter.com/NathanBLawrence/status/996738827472564224", "996738827472564224")</f>
        <v/>
      </c>
      <c r="B265" s="2" t="n">
        <v>43236.54663194445</v>
      </c>
      <c r="C265" t="n">
        <v>5</v>
      </c>
      <c r="D265" t="n">
        <v>0</v>
      </c>
      <c r="E265" t="s">
        <v>276</v>
      </c>
      <c r="F265" t="s"/>
      <c r="G265" t="s"/>
      <c r="H265" t="s"/>
      <c r="I265" t="s"/>
      <c r="J265" t="n">
        <v>0</v>
      </c>
      <c r="K265" t="n">
        <v>0</v>
      </c>
      <c r="L265" t="n">
        <v>1</v>
      </c>
      <c r="M265" t="n">
        <v>0</v>
      </c>
    </row>
    <row r="266" spans="1:13">
      <c r="A266" s="1">
        <f>HYPERLINK("http://www.twitter.com/NathanBLawrence/status/996599310782550016", "996599310782550016")</f>
        <v/>
      </c>
      <c r="B266" s="2" t="n">
        <v>43236.16164351852</v>
      </c>
      <c r="C266" t="n">
        <v>1</v>
      </c>
      <c r="D266" t="n">
        <v>0</v>
      </c>
      <c r="E266" t="s">
        <v>277</v>
      </c>
      <c r="F266">
        <f>HYPERLINK("http://pbs.twimg.com/media/DdShyWlVwAAMYX_.jpg", "http://pbs.twimg.com/media/DdShyWlVwAAMYX_.jpg")</f>
        <v/>
      </c>
      <c r="G266" t="s"/>
      <c r="H266" t="s"/>
      <c r="I266" t="s"/>
      <c r="J266" t="n">
        <v>-0.128</v>
      </c>
      <c r="K266" t="n">
        <v>0.303</v>
      </c>
      <c r="L266" t="n">
        <v>0.449</v>
      </c>
      <c r="M266" t="n">
        <v>0.247</v>
      </c>
    </row>
    <row r="267" spans="1:13">
      <c r="A267" s="1">
        <f>HYPERLINK("http://www.twitter.com/NathanBLawrence/status/996599177906917377", "996599177906917377")</f>
        <v/>
      </c>
      <c r="B267" s="2" t="n">
        <v>43236.16127314815</v>
      </c>
      <c r="C267" t="n">
        <v>0</v>
      </c>
      <c r="D267" t="n">
        <v>116</v>
      </c>
      <c r="E267" t="s">
        <v>278</v>
      </c>
      <c r="F267" t="s"/>
      <c r="G267" t="s"/>
      <c r="H267" t="s"/>
      <c r="I267" t="s"/>
      <c r="J267" t="n">
        <v>-0.5849</v>
      </c>
      <c r="K267" t="n">
        <v>0.166</v>
      </c>
      <c r="L267" t="n">
        <v>0.834</v>
      </c>
      <c r="M267" t="n">
        <v>0</v>
      </c>
    </row>
    <row r="268" spans="1:13">
      <c r="A268" s="1">
        <f>HYPERLINK("http://www.twitter.com/NathanBLawrence/status/996598839665668097", "996598839665668097")</f>
        <v/>
      </c>
      <c r="B268" s="2" t="n">
        <v>43236.16033564815</v>
      </c>
      <c r="C268" t="n">
        <v>1</v>
      </c>
      <c r="D268" t="n">
        <v>0</v>
      </c>
      <c r="E268" t="s">
        <v>279</v>
      </c>
      <c r="F268">
        <f>HYPERLINK("http://pbs.twimg.com/media/DdShXHRVQAAlmMU.jpg", "http://pbs.twimg.com/media/DdShXHRVQAAlmMU.jpg")</f>
        <v/>
      </c>
      <c r="G268" t="s"/>
      <c r="H268" t="s"/>
      <c r="I268" t="s"/>
      <c r="J268" t="n">
        <v>0</v>
      </c>
      <c r="K268" t="n">
        <v>0</v>
      </c>
      <c r="L268" t="n">
        <v>1</v>
      </c>
      <c r="M268" t="n">
        <v>0</v>
      </c>
    </row>
    <row r="269" spans="1:13">
      <c r="A269" s="1">
        <f>HYPERLINK("http://www.twitter.com/NathanBLawrence/status/996598455932997632", "996598455932997632")</f>
        <v/>
      </c>
      <c r="B269" s="2" t="n">
        <v>43236.15928240741</v>
      </c>
      <c r="C269" t="n">
        <v>0</v>
      </c>
      <c r="D269" t="n">
        <v>84</v>
      </c>
      <c r="E269" t="s">
        <v>280</v>
      </c>
      <c r="F269" t="s"/>
      <c r="G269" t="s"/>
      <c r="H269" t="s"/>
      <c r="I269" t="s"/>
      <c r="J269" t="n">
        <v>-0.1486</v>
      </c>
      <c r="K269" t="n">
        <v>0.064</v>
      </c>
      <c r="L269" t="n">
        <v>0.9360000000000001</v>
      </c>
      <c r="M269" t="n">
        <v>0</v>
      </c>
    </row>
    <row r="270" spans="1:13">
      <c r="A270" s="1">
        <f>HYPERLINK("http://www.twitter.com/NathanBLawrence/status/996597573011083264", "996597573011083264")</f>
        <v/>
      </c>
      <c r="B270" s="2" t="n">
        <v>43236.15684027778</v>
      </c>
      <c r="C270" t="n">
        <v>5</v>
      </c>
      <c r="D270" t="n">
        <v>0</v>
      </c>
      <c r="E270" t="s">
        <v>281</v>
      </c>
      <c r="F270" t="s"/>
      <c r="G270" t="s"/>
      <c r="H270" t="s"/>
      <c r="I270" t="s"/>
      <c r="J270" t="n">
        <v>0.636</v>
      </c>
      <c r="K270" t="n">
        <v>0</v>
      </c>
      <c r="L270" t="n">
        <v>0.544</v>
      </c>
      <c r="M270" t="n">
        <v>0.456</v>
      </c>
    </row>
    <row r="271" spans="1:13">
      <c r="A271" s="1">
        <f>HYPERLINK("http://www.twitter.com/NathanBLawrence/status/996596658715717632", "996596658715717632")</f>
        <v/>
      </c>
      <c r="B271" s="2" t="n">
        <v>43236.15431712963</v>
      </c>
      <c r="C271" t="n">
        <v>2</v>
      </c>
      <c r="D271" t="n">
        <v>0</v>
      </c>
      <c r="E271" t="s">
        <v>282</v>
      </c>
      <c r="F271" t="s"/>
      <c r="G271" t="s"/>
      <c r="H271" t="s"/>
      <c r="I271" t="s"/>
      <c r="J271" t="n">
        <v>0</v>
      </c>
      <c r="K271" t="n">
        <v>0</v>
      </c>
      <c r="L271" t="n">
        <v>1</v>
      </c>
      <c r="M271" t="n">
        <v>0</v>
      </c>
    </row>
    <row r="272" spans="1:13">
      <c r="A272" s="1">
        <f>HYPERLINK("http://www.twitter.com/NathanBLawrence/status/996569261471608833", "996569261471608833")</f>
        <v/>
      </c>
      <c r="B272" s="2" t="n">
        <v>43236.07871527778</v>
      </c>
      <c r="C272" t="n">
        <v>3</v>
      </c>
      <c r="D272" t="n">
        <v>0</v>
      </c>
      <c r="E272" t="s">
        <v>283</v>
      </c>
      <c r="F272" t="s"/>
      <c r="G272" t="s"/>
      <c r="H272" t="s"/>
      <c r="I272" t="s"/>
      <c r="J272" t="n">
        <v>0</v>
      </c>
      <c r="K272" t="n">
        <v>0</v>
      </c>
      <c r="L272" t="n">
        <v>1</v>
      </c>
      <c r="M272" t="n">
        <v>0</v>
      </c>
    </row>
    <row r="273" spans="1:13">
      <c r="A273" s="1">
        <f>HYPERLINK("http://www.twitter.com/NathanBLawrence/status/996525396928679936", "996525396928679936")</f>
        <v/>
      </c>
      <c r="B273" s="2" t="n">
        <v>43235.95767361111</v>
      </c>
      <c r="C273" t="n">
        <v>0</v>
      </c>
      <c r="D273" t="n">
        <v>4190</v>
      </c>
      <c r="E273" t="s">
        <v>284</v>
      </c>
      <c r="F273" t="s"/>
      <c r="G273" t="s"/>
      <c r="H273" t="s"/>
      <c r="I273" t="s"/>
      <c r="J273" t="n">
        <v>-0.5423</v>
      </c>
      <c r="K273" t="n">
        <v>0.163</v>
      </c>
      <c r="L273" t="n">
        <v>0.837</v>
      </c>
      <c r="M273" t="n">
        <v>0</v>
      </c>
    </row>
    <row r="274" spans="1:13">
      <c r="A274" s="1">
        <f>HYPERLINK("http://www.twitter.com/NathanBLawrence/status/996525262782287872", "996525262782287872")</f>
        <v/>
      </c>
      <c r="B274" s="2" t="n">
        <v>43235.95730324074</v>
      </c>
      <c r="C274" t="n">
        <v>0</v>
      </c>
      <c r="D274" t="n">
        <v>452</v>
      </c>
      <c r="E274" t="s">
        <v>285</v>
      </c>
      <c r="F274" t="s"/>
      <c r="G274" t="s"/>
      <c r="H274" t="s"/>
      <c r="I274" t="s"/>
      <c r="J274" t="n">
        <v>0</v>
      </c>
      <c r="K274" t="n">
        <v>0</v>
      </c>
      <c r="L274" t="n">
        <v>1</v>
      </c>
      <c r="M274" t="n">
        <v>0</v>
      </c>
    </row>
    <row r="275" spans="1:13">
      <c r="A275" s="1">
        <f>HYPERLINK("http://www.twitter.com/NathanBLawrence/status/996524934699606016", "996524934699606016")</f>
        <v/>
      </c>
      <c r="B275" s="2" t="n">
        <v>43235.95640046296</v>
      </c>
      <c r="C275" t="n">
        <v>4</v>
      </c>
      <c r="D275" t="n">
        <v>1</v>
      </c>
      <c r="E275" t="s">
        <v>286</v>
      </c>
      <c r="F275" t="s"/>
      <c r="G275" t="s"/>
      <c r="H275" t="s"/>
      <c r="I275" t="s"/>
      <c r="J275" t="n">
        <v>0.0772</v>
      </c>
      <c r="K275" t="n">
        <v>0.178</v>
      </c>
      <c r="L275" t="n">
        <v>0.576</v>
      </c>
      <c r="M275" t="n">
        <v>0.246</v>
      </c>
    </row>
    <row r="276" spans="1:13">
      <c r="A276" s="1">
        <f>HYPERLINK("http://www.twitter.com/NathanBLawrence/status/996524580188708867", "996524580188708867")</f>
        <v/>
      </c>
      <c r="B276" s="2" t="n">
        <v>43235.95542824074</v>
      </c>
      <c r="C276" t="n">
        <v>1</v>
      </c>
      <c r="D276" t="n">
        <v>0</v>
      </c>
      <c r="E276" t="s">
        <v>287</v>
      </c>
      <c r="F276" t="s"/>
      <c r="G276" t="s"/>
      <c r="H276" t="s"/>
      <c r="I276" t="s"/>
      <c r="J276" t="n">
        <v>0</v>
      </c>
      <c r="K276" t="n">
        <v>0</v>
      </c>
      <c r="L276" t="n">
        <v>1</v>
      </c>
      <c r="M276" t="n">
        <v>0</v>
      </c>
    </row>
    <row r="277" spans="1:13">
      <c r="A277" s="1">
        <f>HYPERLINK("http://www.twitter.com/NathanBLawrence/status/996524236993941504", "996524236993941504")</f>
        <v/>
      </c>
      <c r="B277" s="2" t="n">
        <v>43235.95447916666</v>
      </c>
      <c r="C277" t="n">
        <v>0</v>
      </c>
      <c r="D277" t="n">
        <v>2</v>
      </c>
      <c r="E277" t="s">
        <v>288</v>
      </c>
      <c r="F277" t="s"/>
      <c r="G277" t="s"/>
      <c r="H277" t="s"/>
      <c r="I277" t="s"/>
      <c r="J277" t="n">
        <v>0</v>
      </c>
      <c r="K277" t="n">
        <v>0</v>
      </c>
      <c r="L277" t="n">
        <v>1</v>
      </c>
      <c r="M277" t="n">
        <v>0</v>
      </c>
    </row>
    <row r="278" spans="1:13">
      <c r="A278" s="1">
        <f>HYPERLINK("http://www.twitter.com/NathanBLawrence/status/996523940326584325", "996523940326584325")</f>
        <v/>
      </c>
      <c r="B278" s="2" t="n">
        <v>43235.95365740741</v>
      </c>
      <c r="C278" t="n">
        <v>0</v>
      </c>
      <c r="D278" t="n">
        <v>122</v>
      </c>
      <c r="E278" t="s">
        <v>289</v>
      </c>
      <c r="F278">
        <f>HYPERLINK("http://pbs.twimg.com/media/DdRFstFV0AAKf9P.jpg", "http://pbs.twimg.com/media/DdRFstFV0AAKf9P.jpg")</f>
        <v/>
      </c>
      <c r="G278" t="s"/>
      <c r="H278" t="s"/>
      <c r="I278" t="s"/>
      <c r="J278" t="n">
        <v>0.0772</v>
      </c>
      <c r="K278" t="n">
        <v>0.08599999999999999</v>
      </c>
      <c r="L278" t="n">
        <v>0.8169999999999999</v>
      </c>
      <c r="M278" t="n">
        <v>0.097</v>
      </c>
    </row>
    <row r="279" spans="1:13">
      <c r="A279" s="1">
        <f>HYPERLINK("http://www.twitter.com/NathanBLawrence/status/996504429657509888", "996504429657509888")</f>
        <v/>
      </c>
      <c r="B279" s="2" t="n">
        <v>43235.89981481482</v>
      </c>
      <c r="C279" t="n">
        <v>0</v>
      </c>
      <c r="D279" t="n">
        <v>15</v>
      </c>
      <c r="E279" t="s">
        <v>290</v>
      </c>
      <c r="F279" t="s"/>
      <c r="G279" t="s"/>
      <c r="H279" t="s"/>
      <c r="I279" t="s"/>
      <c r="J279" t="n">
        <v>0</v>
      </c>
      <c r="K279" t="n">
        <v>0</v>
      </c>
      <c r="L279" t="n">
        <v>1</v>
      </c>
      <c r="M279" t="n">
        <v>0</v>
      </c>
    </row>
    <row r="280" spans="1:13">
      <c r="A280" s="1">
        <f>HYPERLINK("http://www.twitter.com/NathanBLawrence/status/996503523071324160", "996503523071324160")</f>
        <v/>
      </c>
      <c r="B280" s="2" t="n">
        <v>43235.89731481481</v>
      </c>
      <c r="C280" t="n">
        <v>1</v>
      </c>
      <c r="D280" t="n">
        <v>1</v>
      </c>
      <c r="E280" t="s">
        <v>291</v>
      </c>
      <c r="F280" t="s"/>
      <c r="G280" t="s"/>
      <c r="H280" t="s"/>
      <c r="I280" t="s"/>
      <c r="J280" t="n">
        <v>0</v>
      </c>
      <c r="K280" t="n">
        <v>0</v>
      </c>
      <c r="L280" t="n">
        <v>1</v>
      </c>
      <c r="M280" t="n">
        <v>0</v>
      </c>
    </row>
    <row r="281" spans="1:13">
      <c r="A281" s="1">
        <f>HYPERLINK("http://www.twitter.com/NathanBLawrence/status/996502887499993088", "996502887499993088")</f>
        <v/>
      </c>
      <c r="B281" s="2" t="n">
        <v>43235.89556712963</v>
      </c>
      <c r="C281" t="n">
        <v>0</v>
      </c>
      <c r="D281" t="n">
        <v>3151</v>
      </c>
      <c r="E281" t="s">
        <v>292</v>
      </c>
      <c r="F281" t="s"/>
      <c r="G281" t="s"/>
      <c r="H281" t="s"/>
      <c r="I281" t="s"/>
      <c r="J281" t="n">
        <v>0.4939</v>
      </c>
      <c r="K281" t="n">
        <v>0</v>
      </c>
      <c r="L281" t="n">
        <v>0.862</v>
      </c>
      <c r="M281" t="n">
        <v>0.138</v>
      </c>
    </row>
    <row r="282" spans="1:13">
      <c r="A282" s="1">
        <f>HYPERLINK("http://www.twitter.com/NathanBLawrence/status/996501112407646208", "996501112407646208")</f>
        <v/>
      </c>
      <c r="B282" s="2" t="n">
        <v>43235.89065972222</v>
      </c>
      <c r="C282" t="n">
        <v>4</v>
      </c>
      <c r="D282" t="n">
        <v>0</v>
      </c>
      <c r="E282" t="s">
        <v>293</v>
      </c>
      <c r="F282" t="s"/>
      <c r="G282" t="s"/>
      <c r="H282" t="s"/>
      <c r="I282" t="s"/>
      <c r="J282" t="n">
        <v>0</v>
      </c>
      <c r="K282" t="n">
        <v>0</v>
      </c>
      <c r="L282" t="n">
        <v>1</v>
      </c>
      <c r="M282" t="n">
        <v>0</v>
      </c>
    </row>
    <row r="283" spans="1:13">
      <c r="A283" s="1">
        <f>HYPERLINK("http://www.twitter.com/NathanBLawrence/status/996500763881955334", "996500763881955334")</f>
        <v/>
      </c>
      <c r="B283" s="2" t="n">
        <v>43235.88969907408</v>
      </c>
      <c r="C283" t="n">
        <v>0</v>
      </c>
      <c r="D283" t="n">
        <v>3</v>
      </c>
      <c r="E283" t="s">
        <v>294</v>
      </c>
      <c r="F283" t="s"/>
      <c r="G283" t="s"/>
      <c r="H283" t="s"/>
      <c r="I283" t="s"/>
      <c r="J283" t="n">
        <v>-0.5859</v>
      </c>
      <c r="K283" t="n">
        <v>0.211</v>
      </c>
      <c r="L283" t="n">
        <v>0.789</v>
      </c>
      <c r="M283" t="n">
        <v>0</v>
      </c>
    </row>
    <row r="284" spans="1:13">
      <c r="A284" s="1">
        <f>HYPERLINK("http://www.twitter.com/NathanBLawrence/status/996500564195336192", "996500564195336192")</f>
        <v/>
      </c>
      <c r="B284" s="2" t="n">
        <v>43235.88915509259</v>
      </c>
      <c r="C284" t="n">
        <v>2</v>
      </c>
      <c r="D284" t="n">
        <v>1</v>
      </c>
      <c r="E284" t="s">
        <v>295</v>
      </c>
      <c r="F284" t="s"/>
      <c r="G284" t="s"/>
      <c r="H284" t="s"/>
      <c r="I284" t="s"/>
      <c r="J284" t="n">
        <v>-0.0408</v>
      </c>
      <c r="K284" t="n">
        <v>0.123</v>
      </c>
      <c r="L284" t="n">
        <v>0.763</v>
      </c>
      <c r="M284" t="n">
        <v>0.114</v>
      </c>
    </row>
    <row r="285" spans="1:13">
      <c r="A285" s="1">
        <f>HYPERLINK("http://www.twitter.com/NathanBLawrence/status/996465453181685761", "996465453181685761")</f>
        <v/>
      </c>
      <c r="B285" s="2" t="n">
        <v>43235.79226851852</v>
      </c>
      <c r="C285" t="n">
        <v>0</v>
      </c>
      <c r="D285" t="n">
        <v>0</v>
      </c>
      <c r="E285" t="s">
        <v>296</v>
      </c>
      <c r="F285" t="s"/>
      <c r="G285" t="s"/>
      <c r="H285" t="s"/>
      <c r="I285" t="s"/>
      <c r="J285" t="n">
        <v>0.8118</v>
      </c>
      <c r="K285" t="n">
        <v>0</v>
      </c>
      <c r="L285" t="n">
        <v>0.74</v>
      </c>
      <c r="M285" t="n">
        <v>0.26</v>
      </c>
    </row>
    <row r="286" spans="1:13">
      <c r="A286" s="1">
        <f>HYPERLINK("http://www.twitter.com/NathanBLawrence/status/996413703762440192", "996413703762440192")</f>
        <v/>
      </c>
      <c r="B286" s="2" t="n">
        <v>43235.64946759259</v>
      </c>
      <c r="C286" t="n">
        <v>1</v>
      </c>
      <c r="D286" t="n">
        <v>0</v>
      </c>
      <c r="E286" t="s">
        <v>297</v>
      </c>
      <c r="F286" t="s"/>
      <c r="G286" t="s"/>
      <c r="H286" t="s"/>
      <c r="I286" t="s"/>
      <c r="J286" t="n">
        <v>0</v>
      </c>
      <c r="K286" t="n">
        <v>0</v>
      </c>
      <c r="L286" t="n">
        <v>1</v>
      </c>
      <c r="M286" t="n">
        <v>0</v>
      </c>
    </row>
    <row r="287" spans="1:13">
      <c r="A287" s="1">
        <f>HYPERLINK("http://www.twitter.com/NathanBLawrence/status/996413251822018566", "996413251822018566")</f>
        <v/>
      </c>
      <c r="B287" s="2" t="n">
        <v>43235.64821759259</v>
      </c>
      <c r="C287" t="n">
        <v>0</v>
      </c>
      <c r="D287" t="n">
        <v>0</v>
      </c>
      <c r="E287" t="s">
        <v>298</v>
      </c>
      <c r="F287" t="s"/>
      <c r="G287" t="s"/>
      <c r="H287" t="s"/>
      <c r="I287" t="s"/>
      <c r="J287" t="n">
        <v>-0.008500000000000001</v>
      </c>
      <c r="K287" t="n">
        <v>0.08</v>
      </c>
      <c r="L287" t="n">
        <v>0.842</v>
      </c>
      <c r="M287" t="n">
        <v>0.079</v>
      </c>
    </row>
    <row r="288" spans="1:13">
      <c r="A288" s="1">
        <f>HYPERLINK("http://www.twitter.com/NathanBLawrence/status/996412517692989440", "996412517692989440")</f>
        <v/>
      </c>
      <c r="B288" s="2" t="n">
        <v>43235.64619212963</v>
      </c>
      <c r="C288" t="n">
        <v>0</v>
      </c>
      <c r="D288" t="n">
        <v>0</v>
      </c>
      <c r="E288" t="s">
        <v>299</v>
      </c>
      <c r="F288" t="s"/>
      <c r="G288" t="s"/>
      <c r="H288" t="s"/>
      <c r="I288" t="s"/>
      <c r="J288" t="n">
        <v>0.3313</v>
      </c>
      <c r="K288" t="n">
        <v>0.045</v>
      </c>
      <c r="L288" t="n">
        <v>0.829</v>
      </c>
      <c r="M288" t="n">
        <v>0.126</v>
      </c>
    </row>
    <row r="289" spans="1:13">
      <c r="A289" s="1">
        <f>HYPERLINK("http://www.twitter.com/NathanBLawrence/status/996411525756866560", "996411525756866560")</f>
        <v/>
      </c>
      <c r="B289" s="2" t="n">
        <v>43235.64344907407</v>
      </c>
      <c r="C289" t="n">
        <v>3</v>
      </c>
      <c r="D289" t="n">
        <v>2</v>
      </c>
      <c r="E289" t="s">
        <v>300</v>
      </c>
      <c r="F289" t="s"/>
      <c r="G289" t="s"/>
      <c r="H289" t="s"/>
      <c r="I289" t="s"/>
      <c r="J289" t="n">
        <v>-0.9547</v>
      </c>
      <c r="K289" t="n">
        <v>0.369</v>
      </c>
      <c r="L289" t="n">
        <v>0.604</v>
      </c>
      <c r="M289" t="n">
        <v>0.027</v>
      </c>
    </row>
    <row r="290" spans="1:13">
      <c r="A290" s="1">
        <f>HYPERLINK("http://www.twitter.com/NathanBLawrence/status/996407143090786304", "996407143090786304")</f>
        <v/>
      </c>
      <c r="B290" s="2" t="n">
        <v>43235.63135416667</v>
      </c>
      <c r="C290" t="n">
        <v>0</v>
      </c>
      <c r="D290" t="n">
        <v>14</v>
      </c>
      <c r="E290" t="s">
        <v>301</v>
      </c>
      <c r="F290">
        <f>HYPERLINK("http://pbs.twimg.com/media/DdPsE9kX4AANtB5.jpg", "http://pbs.twimg.com/media/DdPsE9kX4AANtB5.jpg")</f>
        <v/>
      </c>
      <c r="G290" t="s"/>
      <c r="H290" t="s"/>
      <c r="I290" t="s"/>
      <c r="J290" t="n">
        <v>-0.1027</v>
      </c>
      <c r="K290" t="n">
        <v>0.057</v>
      </c>
      <c r="L290" t="n">
        <v>0.9429999999999999</v>
      </c>
      <c r="M290" t="n">
        <v>0</v>
      </c>
    </row>
    <row r="291" spans="1:13">
      <c r="A291" s="1">
        <f>HYPERLINK("http://www.twitter.com/NathanBLawrence/status/996390625477124097", "996390625477124097")</f>
        <v/>
      </c>
      <c r="B291" s="2" t="n">
        <v>43235.58577546296</v>
      </c>
      <c r="C291" t="n">
        <v>2</v>
      </c>
      <c r="D291" t="n">
        <v>0</v>
      </c>
      <c r="E291" t="s">
        <v>302</v>
      </c>
      <c r="F291" t="s"/>
      <c r="G291" t="s"/>
      <c r="H291" t="s"/>
      <c r="I291" t="s"/>
      <c r="J291" t="n">
        <v>-0.6249</v>
      </c>
      <c r="K291" t="n">
        <v>0.272</v>
      </c>
      <c r="L291" t="n">
        <v>0.728</v>
      </c>
      <c r="M291" t="n">
        <v>0</v>
      </c>
    </row>
    <row r="292" spans="1:13">
      <c r="A292" s="1">
        <f>HYPERLINK("http://www.twitter.com/NathanBLawrence/status/996384275736989696", "996384275736989696")</f>
        <v/>
      </c>
      <c r="B292" s="2" t="n">
        <v>43235.56825231481</v>
      </c>
      <c r="C292" t="n">
        <v>1</v>
      </c>
      <c r="D292" t="n">
        <v>1</v>
      </c>
      <c r="E292" t="s">
        <v>303</v>
      </c>
      <c r="F292" t="s"/>
      <c r="G292" t="s"/>
      <c r="H292" t="s"/>
      <c r="I292" t="s"/>
      <c r="J292" t="n">
        <v>0</v>
      </c>
      <c r="K292" t="n">
        <v>0</v>
      </c>
      <c r="L292" t="n">
        <v>1</v>
      </c>
      <c r="M292" t="n">
        <v>0</v>
      </c>
    </row>
    <row r="293" spans="1:13">
      <c r="A293" s="1">
        <f>HYPERLINK("http://www.twitter.com/NathanBLawrence/status/996381987488268293", "996381987488268293")</f>
        <v/>
      </c>
      <c r="B293" s="2" t="n">
        <v>43235.56194444445</v>
      </c>
      <c r="C293" t="n">
        <v>2</v>
      </c>
      <c r="D293" t="n">
        <v>0</v>
      </c>
      <c r="E293" t="s">
        <v>304</v>
      </c>
      <c r="F293" t="s"/>
      <c r="G293" t="s"/>
      <c r="H293" t="s"/>
      <c r="I293" t="s"/>
      <c r="J293" t="n">
        <v>0</v>
      </c>
      <c r="K293" t="n">
        <v>0</v>
      </c>
      <c r="L293" t="n">
        <v>1</v>
      </c>
      <c r="M293" t="n">
        <v>0</v>
      </c>
    </row>
    <row r="294" spans="1:13">
      <c r="A294" s="1">
        <f>HYPERLINK("http://www.twitter.com/NathanBLawrence/status/996377029921705984", "996377029921705984")</f>
        <v/>
      </c>
      <c r="B294" s="2" t="n">
        <v>43235.54826388889</v>
      </c>
      <c r="C294" t="n">
        <v>0</v>
      </c>
      <c r="D294" t="n">
        <v>1273</v>
      </c>
      <c r="E294" t="s">
        <v>305</v>
      </c>
      <c r="F294">
        <f>HYPERLINK("http://pbs.twimg.com/media/DdPWITbX4AAPizr.jpg", "http://pbs.twimg.com/media/DdPWITbX4AAPizr.jpg")</f>
        <v/>
      </c>
      <c r="G294" t="s"/>
      <c r="H294" t="s"/>
      <c r="I294" t="s"/>
      <c r="J294" t="n">
        <v>-0.5622</v>
      </c>
      <c r="K294" t="n">
        <v>0.268</v>
      </c>
      <c r="L294" t="n">
        <v>0.59</v>
      </c>
      <c r="M294" t="n">
        <v>0.142</v>
      </c>
    </row>
    <row r="295" spans="1:13">
      <c r="A295" s="1">
        <f>HYPERLINK("http://www.twitter.com/NathanBLawrence/status/996376582502735872", "996376582502735872")</f>
        <v/>
      </c>
      <c r="B295" s="2" t="n">
        <v>43235.54702546296</v>
      </c>
      <c r="C295" t="n">
        <v>3</v>
      </c>
      <c r="D295" t="n">
        <v>0</v>
      </c>
      <c r="E295" t="s">
        <v>306</v>
      </c>
      <c r="F295" t="s"/>
      <c r="G295" t="s"/>
      <c r="H295" t="s"/>
      <c r="I295" t="s"/>
      <c r="J295" t="n">
        <v>0</v>
      </c>
      <c r="K295" t="n">
        <v>0</v>
      </c>
      <c r="L295" t="n">
        <v>1</v>
      </c>
      <c r="M295" t="n">
        <v>0</v>
      </c>
    </row>
    <row r="296" spans="1:13">
      <c r="A296" s="1">
        <f>HYPERLINK("http://www.twitter.com/NathanBLawrence/status/996376386989379585", "996376386989379585")</f>
        <v/>
      </c>
      <c r="B296" s="2" t="n">
        <v>43235.54649305555</v>
      </c>
      <c r="C296" t="n">
        <v>4</v>
      </c>
      <c r="D296" t="n">
        <v>0</v>
      </c>
      <c r="E296" t="s">
        <v>307</v>
      </c>
      <c r="F296">
        <f>HYPERLINK("http://pbs.twimg.com/media/DdPXCeWWkAELcFD.jpg", "http://pbs.twimg.com/media/DdPXCeWWkAELcFD.jpg")</f>
        <v/>
      </c>
      <c r="G296" t="s"/>
      <c r="H296" t="s"/>
      <c r="I296" t="s"/>
      <c r="J296" t="n">
        <v>-0.5122</v>
      </c>
      <c r="K296" t="n">
        <v>0.202</v>
      </c>
      <c r="L296" t="n">
        <v>0.798</v>
      </c>
      <c r="M296" t="n">
        <v>0</v>
      </c>
    </row>
    <row r="297" spans="1:13">
      <c r="A297" s="1">
        <f>HYPERLINK("http://www.twitter.com/NathanBLawrence/status/996376380710506497", "996376380710506497")</f>
        <v/>
      </c>
      <c r="B297" s="2" t="n">
        <v>43235.54646990741</v>
      </c>
      <c r="C297" t="n">
        <v>1</v>
      </c>
      <c r="D297" t="n">
        <v>0</v>
      </c>
      <c r="E297" t="s">
        <v>308</v>
      </c>
      <c r="F297">
        <f>HYPERLINK("http://pbs.twimg.com/media/DdPXAvPXUAAlO65.jpg", "http://pbs.twimg.com/media/DdPXAvPXUAAlO65.jpg")</f>
        <v/>
      </c>
      <c r="G297" t="s"/>
      <c r="H297" t="s"/>
      <c r="I297" t="s"/>
      <c r="J297" t="n">
        <v>-0.5719</v>
      </c>
      <c r="K297" t="n">
        <v>0.209</v>
      </c>
      <c r="L297" t="n">
        <v>0.791</v>
      </c>
      <c r="M297" t="n">
        <v>0</v>
      </c>
    </row>
    <row r="298" spans="1:13">
      <c r="A298" s="1">
        <f>HYPERLINK("http://www.twitter.com/NathanBLawrence/status/996374844928294912", "996374844928294912")</f>
        <v/>
      </c>
      <c r="B298" s="2" t="n">
        <v>43235.5422337963</v>
      </c>
      <c r="C298" t="n">
        <v>8</v>
      </c>
      <c r="D298" t="n">
        <v>5</v>
      </c>
      <c r="E298" t="s">
        <v>309</v>
      </c>
      <c r="F298">
        <f>HYPERLINK("http://pbs.twimg.com/media/DdPVjw3VwAE81zC.jpg", "http://pbs.twimg.com/media/DdPVjw3VwAE81zC.jpg")</f>
        <v/>
      </c>
      <c r="G298" t="s"/>
      <c r="H298" t="s"/>
      <c r="I298" t="s"/>
      <c r="J298" t="n">
        <v>0</v>
      </c>
      <c r="K298" t="n">
        <v>0</v>
      </c>
      <c r="L298" t="n">
        <v>1</v>
      </c>
      <c r="M298" t="n">
        <v>0</v>
      </c>
    </row>
    <row r="299" spans="1:13">
      <c r="A299" s="1">
        <f>HYPERLINK("http://www.twitter.com/NathanBLawrence/status/996374204466548738", "996374204466548738")</f>
        <v/>
      </c>
      <c r="B299" s="2" t="n">
        <v>43235.54046296296</v>
      </c>
      <c r="C299" t="n">
        <v>1</v>
      </c>
      <c r="D299" t="n">
        <v>0</v>
      </c>
      <c r="E299" t="s">
        <v>310</v>
      </c>
      <c r="F299">
        <f>HYPERLINK("http://pbs.twimg.com/media/DdPVDYNVwAAJZ0c.jpg", "http://pbs.twimg.com/media/DdPVDYNVwAAJZ0c.jpg")</f>
        <v/>
      </c>
      <c r="G299" t="s"/>
      <c r="H299" t="s"/>
      <c r="I299" t="s"/>
      <c r="J299" t="n">
        <v>0.4926</v>
      </c>
      <c r="K299" t="n">
        <v>0</v>
      </c>
      <c r="L299" t="n">
        <v>0.834</v>
      </c>
      <c r="M299" t="n">
        <v>0.166</v>
      </c>
    </row>
    <row r="300" spans="1:13">
      <c r="A300" s="1">
        <f>HYPERLINK("http://www.twitter.com/NathanBLawrence/status/996373466025807872", "996373466025807872")</f>
        <v/>
      </c>
      <c r="B300" s="2" t="n">
        <v>43235.53842592592</v>
      </c>
      <c r="C300" t="n">
        <v>2</v>
      </c>
      <c r="D300" t="n">
        <v>0</v>
      </c>
      <c r="E300" t="s">
        <v>311</v>
      </c>
      <c r="F300">
        <f>HYPERLINK("http://pbs.twimg.com/media/DdPUYNVVQAAbnVD.jpg", "http://pbs.twimg.com/media/DdPUYNVVQAAbnVD.jpg")</f>
        <v/>
      </c>
      <c r="G300" t="s"/>
      <c r="H300" t="s"/>
      <c r="I300" t="s"/>
      <c r="J300" t="n">
        <v>0</v>
      </c>
      <c r="K300" t="n">
        <v>0</v>
      </c>
      <c r="L300" t="n">
        <v>1</v>
      </c>
      <c r="M300" t="n">
        <v>0</v>
      </c>
    </row>
    <row r="301" spans="1:13">
      <c r="A301" s="1">
        <f>HYPERLINK("http://www.twitter.com/NathanBLawrence/status/996371274061504512", "996371274061504512")</f>
        <v/>
      </c>
      <c r="B301" s="2" t="n">
        <v>43235.53238425926</v>
      </c>
      <c r="C301" t="n">
        <v>2</v>
      </c>
      <c r="D301" t="n">
        <v>0</v>
      </c>
      <c r="E301" t="s">
        <v>312</v>
      </c>
      <c r="F301" t="s"/>
      <c r="G301" t="s"/>
      <c r="H301" t="s"/>
      <c r="I301" t="s"/>
      <c r="J301" t="n">
        <v>0</v>
      </c>
      <c r="K301" t="n">
        <v>0</v>
      </c>
      <c r="L301" t="n">
        <v>1</v>
      </c>
      <c r="M301" t="n">
        <v>0</v>
      </c>
    </row>
    <row r="302" spans="1:13">
      <c r="A302" s="1">
        <f>HYPERLINK("http://www.twitter.com/NathanBLawrence/status/996370241100959744", "996370241100959744")</f>
        <v/>
      </c>
      <c r="B302" s="2" t="n">
        <v>43235.52952546296</v>
      </c>
      <c r="C302" t="n">
        <v>0</v>
      </c>
      <c r="D302" t="n">
        <v>0</v>
      </c>
      <c r="E302" t="s">
        <v>313</v>
      </c>
      <c r="F302" t="s"/>
      <c r="G302" t="s"/>
      <c r="H302" t="s"/>
      <c r="I302" t="s"/>
      <c r="J302" t="n">
        <v>0.1511</v>
      </c>
      <c r="K302" t="n">
        <v>0</v>
      </c>
      <c r="L302" t="n">
        <v>0.758</v>
      </c>
      <c r="M302" t="n">
        <v>0.242</v>
      </c>
    </row>
    <row r="303" spans="1:13">
      <c r="A303" s="1">
        <f>HYPERLINK("http://www.twitter.com/NathanBLawrence/status/996367434977300481", "996367434977300481")</f>
        <v/>
      </c>
      <c r="B303" s="2" t="n">
        <v>43235.52178240741</v>
      </c>
      <c r="C303" t="n">
        <v>3</v>
      </c>
      <c r="D303" t="n">
        <v>0</v>
      </c>
      <c r="E303" t="s">
        <v>314</v>
      </c>
      <c r="F303">
        <f>HYPERLINK("http://pbs.twimg.com/media/DdPO5TxUwAEqAHp.jpg", "http://pbs.twimg.com/media/DdPO5TxUwAEqAHp.jpg")</f>
        <v/>
      </c>
      <c r="G303" t="s"/>
      <c r="H303" t="s"/>
      <c r="I303" t="s"/>
      <c r="J303" t="n">
        <v>0</v>
      </c>
      <c r="K303" t="n">
        <v>0</v>
      </c>
      <c r="L303" t="n">
        <v>1</v>
      </c>
      <c r="M303" t="n">
        <v>0</v>
      </c>
    </row>
    <row r="304" spans="1:13">
      <c r="A304" s="1">
        <f>HYPERLINK("http://www.twitter.com/NathanBLawrence/status/996347512503054341", "996347512503054341")</f>
        <v/>
      </c>
      <c r="B304" s="2" t="n">
        <v>43235.46680555555</v>
      </c>
      <c r="C304" t="n">
        <v>0</v>
      </c>
      <c r="D304" t="n">
        <v>4798</v>
      </c>
      <c r="E304" t="s">
        <v>315</v>
      </c>
      <c r="F304" t="s"/>
      <c r="G304" t="s"/>
      <c r="H304" t="s"/>
      <c r="I304" t="s"/>
      <c r="J304" t="n">
        <v>-0.4588</v>
      </c>
      <c r="K304" t="n">
        <v>0.12</v>
      </c>
      <c r="L304" t="n">
        <v>0.88</v>
      </c>
      <c r="M304" t="n">
        <v>0</v>
      </c>
    </row>
    <row r="305" spans="1:13">
      <c r="A305" s="1">
        <f>HYPERLINK("http://www.twitter.com/NathanBLawrence/status/996347048831090688", "996347048831090688")</f>
        <v/>
      </c>
      <c r="B305" s="2" t="n">
        <v>43235.4655324074</v>
      </c>
      <c r="C305" t="n">
        <v>0</v>
      </c>
      <c r="D305" t="n">
        <v>0</v>
      </c>
      <c r="E305" t="s">
        <v>316</v>
      </c>
      <c r="F305" t="s"/>
      <c r="G305" t="s"/>
      <c r="H305" t="s"/>
      <c r="I305" t="s"/>
      <c r="J305" t="n">
        <v>0</v>
      </c>
      <c r="K305" t="n">
        <v>0</v>
      </c>
      <c r="L305" t="n">
        <v>1</v>
      </c>
      <c r="M305" t="n">
        <v>0</v>
      </c>
    </row>
    <row r="306" spans="1:13">
      <c r="A306" s="1">
        <f>HYPERLINK("http://www.twitter.com/NathanBLawrence/status/996346454619901952", "996346454619901952")</f>
        <v/>
      </c>
      <c r="B306" s="2" t="n">
        <v>43235.46388888889</v>
      </c>
      <c r="C306" t="n">
        <v>2</v>
      </c>
      <c r="D306" t="n">
        <v>1</v>
      </c>
      <c r="E306" t="s">
        <v>317</v>
      </c>
      <c r="F306" t="s"/>
      <c r="G306" t="s"/>
      <c r="H306" t="s"/>
      <c r="I306" t="s"/>
      <c r="J306" t="n">
        <v>-0.5023</v>
      </c>
      <c r="K306" t="n">
        <v>0.153</v>
      </c>
      <c r="L306" t="n">
        <v>0.847</v>
      </c>
      <c r="M306" t="n">
        <v>0</v>
      </c>
    </row>
    <row r="307" spans="1:13">
      <c r="A307" s="1">
        <f>HYPERLINK("http://www.twitter.com/NathanBLawrence/status/996345790015647745", "996345790015647745")</f>
        <v/>
      </c>
      <c r="B307" s="2" t="n">
        <v>43235.46206018519</v>
      </c>
      <c r="C307" t="n">
        <v>0</v>
      </c>
      <c r="D307" t="n">
        <v>1</v>
      </c>
      <c r="E307" t="s">
        <v>318</v>
      </c>
      <c r="F307" t="s"/>
      <c r="G307" t="s"/>
      <c r="H307" t="s"/>
      <c r="I307" t="s"/>
      <c r="J307" t="n">
        <v>0</v>
      </c>
      <c r="K307" t="n">
        <v>0</v>
      </c>
      <c r="L307" t="n">
        <v>1</v>
      </c>
      <c r="M307" t="n">
        <v>0</v>
      </c>
    </row>
    <row r="308" spans="1:13">
      <c r="A308" s="1">
        <f>HYPERLINK("http://www.twitter.com/NathanBLawrence/status/996345530144968704", "996345530144968704")</f>
        <v/>
      </c>
      <c r="B308" s="2" t="n">
        <v>43235.46134259259</v>
      </c>
      <c r="C308" t="n">
        <v>4</v>
      </c>
      <c r="D308" t="n">
        <v>0</v>
      </c>
      <c r="E308" t="s">
        <v>319</v>
      </c>
      <c r="F308" t="s"/>
      <c r="G308" t="s"/>
      <c r="H308" t="s"/>
      <c r="I308" t="s"/>
      <c r="J308" t="n">
        <v>-0.6751</v>
      </c>
      <c r="K308" t="n">
        <v>0.115</v>
      </c>
      <c r="L308" t="n">
        <v>0.885</v>
      </c>
      <c r="M308" t="n">
        <v>0</v>
      </c>
    </row>
    <row r="309" spans="1:13">
      <c r="A309" s="1">
        <f>HYPERLINK("http://www.twitter.com/NathanBLawrence/status/996344344994025473", "996344344994025473")</f>
        <v/>
      </c>
      <c r="B309" s="2" t="n">
        <v>43235.45806712963</v>
      </c>
      <c r="C309" t="n">
        <v>1</v>
      </c>
      <c r="D309" t="n">
        <v>0</v>
      </c>
      <c r="E309" t="s">
        <v>320</v>
      </c>
      <c r="F309" t="s"/>
      <c r="G309" t="s"/>
      <c r="H309" t="s"/>
      <c r="I309" t="s"/>
      <c r="J309" t="n">
        <v>0.25</v>
      </c>
      <c r="K309" t="n">
        <v>0.241</v>
      </c>
      <c r="L309" t="n">
        <v>0.517</v>
      </c>
      <c r="M309" t="n">
        <v>0.241</v>
      </c>
    </row>
    <row r="310" spans="1:13">
      <c r="A310" s="1">
        <f>HYPERLINK("http://www.twitter.com/NathanBLawrence/status/996344084024446977", "996344084024446977")</f>
        <v/>
      </c>
      <c r="B310" s="2" t="n">
        <v>43235.45734953704</v>
      </c>
      <c r="C310" t="n">
        <v>0</v>
      </c>
      <c r="D310" t="n">
        <v>0</v>
      </c>
      <c r="E310" t="s">
        <v>321</v>
      </c>
      <c r="F310" t="s"/>
      <c r="G310" t="s"/>
      <c r="H310" t="s"/>
      <c r="I310" t="s"/>
      <c r="J310" t="n">
        <v>-0.765</v>
      </c>
      <c r="K310" t="n">
        <v>0.239</v>
      </c>
      <c r="L310" t="n">
        <v>0.761</v>
      </c>
      <c r="M310" t="n">
        <v>0</v>
      </c>
    </row>
    <row r="311" spans="1:13">
      <c r="A311" s="1">
        <f>HYPERLINK("http://www.twitter.com/NathanBLawrence/status/996343332459761666", "996343332459761666")</f>
        <v/>
      </c>
      <c r="B311" s="2" t="n">
        <v>43235.45527777778</v>
      </c>
      <c r="C311" t="n">
        <v>2</v>
      </c>
      <c r="D311" t="n">
        <v>1</v>
      </c>
      <c r="E311" t="s">
        <v>322</v>
      </c>
      <c r="F311" t="s"/>
      <c r="G311" t="s"/>
      <c r="H311" t="s"/>
      <c r="I311" t="s"/>
      <c r="J311" t="n">
        <v>0</v>
      </c>
      <c r="K311" t="n">
        <v>0</v>
      </c>
      <c r="L311" t="n">
        <v>1</v>
      </c>
      <c r="M311" t="n">
        <v>0</v>
      </c>
    </row>
    <row r="312" spans="1:13">
      <c r="A312" s="1">
        <f>HYPERLINK("http://www.twitter.com/NathanBLawrence/status/996341370578243586", "996341370578243586")</f>
        <v/>
      </c>
      <c r="B312" s="2" t="n">
        <v>43235.44986111111</v>
      </c>
      <c r="C312" t="n">
        <v>0</v>
      </c>
      <c r="D312" t="n">
        <v>6</v>
      </c>
      <c r="E312" t="s">
        <v>323</v>
      </c>
      <c r="F312">
        <f>HYPERLINK("http://pbs.twimg.com/media/DdNqwjgWAAAM_bw.jpg", "http://pbs.twimg.com/media/DdNqwjgWAAAM_bw.jpg")</f>
        <v/>
      </c>
      <c r="G312" t="s"/>
      <c r="H312" t="s"/>
      <c r="I312" t="s"/>
      <c r="J312" t="n">
        <v>0</v>
      </c>
      <c r="K312" t="n">
        <v>0</v>
      </c>
      <c r="L312" t="n">
        <v>1</v>
      </c>
      <c r="M312" t="n">
        <v>0</v>
      </c>
    </row>
    <row r="313" spans="1:13">
      <c r="A313" s="1">
        <f>HYPERLINK("http://www.twitter.com/NathanBLawrence/status/996212653885452289", "996212653885452289")</f>
        <v/>
      </c>
      <c r="B313" s="2" t="n">
        <v>43235.09467592592</v>
      </c>
      <c r="C313" t="n">
        <v>0</v>
      </c>
      <c r="D313" t="n">
        <v>0</v>
      </c>
      <c r="E313" t="s">
        <v>324</v>
      </c>
      <c r="F313" t="s"/>
      <c r="G313" t="s"/>
      <c r="H313" t="s"/>
      <c r="I313" t="s"/>
      <c r="J313" t="n">
        <v>-0.7717000000000001</v>
      </c>
      <c r="K313" t="n">
        <v>0.251</v>
      </c>
      <c r="L313" t="n">
        <v>0.749</v>
      </c>
      <c r="M313" t="n">
        <v>0</v>
      </c>
    </row>
    <row r="314" spans="1:13">
      <c r="A314" s="1">
        <f>HYPERLINK("http://www.twitter.com/NathanBLawrence/status/996211792882884608", "996211792882884608")</f>
        <v/>
      </c>
      <c r="B314" s="2" t="n">
        <v>43235.09229166667</v>
      </c>
      <c r="C314" t="n">
        <v>2</v>
      </c>
      <c r="D314" t="n">
        <v>1</v>
      </c>
      <c r="E314" t="s">
        <v>325</v>
      </c>
      <c r="F314" t="s"/>
      <c r="G314" t="s"/>
      <c r="H314" t="s"/>
      <c r="I314" t="s"/>
      <c r="J314" t="n">
        <v>0</v>
      </c>
      <c r="K314" t="n">
        <v>0</v>
      </c>
      <c r="L314" t="n">
        <v>1</v>
      </c>
      <c r="M314" t="n">
        <v>0</v>
      </c>
    </row>
    <row r="315" spans="1:13">
      <c r="A315" s="1">
        <f>HYPERLINK("http://www.twitter.com/NathanBLawrence/status/996211364099186689", "996211364099186689")</f>
        <v/>
      </c>
      <c r="B315" s="2" t="n">
        <v>43235.09111111111</v>
      </c>
      <c r="C315" t="n">
        <v>3</v>
      </c>
      <c r="D315" t="n">
        <v>1</v>
      </c>
      <c r="E315" t="s">
        <v>326</v>
      </c>
      <c r="F315" t="s"/>
      <c r="G315" t="s"/>
      <c r="H315" t="s"/>
      <c r="I315" t="s"/>
      <c r="J315" t="n">
        <v>0</v>
      </c>
      <c r="K315" t="n">
        <v>0</v>
      </c>
      <c r="L315" t="n">
        <v>1</v>
      </c>
      <c r="M315" t="n">
        <v>0</v>
      </c>
    </row>
    <row r="316" spans="1:13">
      <c r="A316" s="1">
        <f>HYPERLINK("http://www.twitter.com/NathanBLawrence/status/996210574194298880", "996210574194298880")</f>
        <v/>
      </c>
      <c r="B316" s="2" t="n">
        <v>43235.08893518519</v>
      </c>
      <c r="C316" t="n">
        <v>0</v>
      </c>
      <c r="D316" t="n">
        <v>3</v>
      </c>
      <c r="E316" t="s">
        <v>327</v>
      </c>
      <c r="F316" t="s"/>
      <c r="G316" t="s"/>
      <c r="H316" t="s"/>
      <c r="I316" t="s"/>
      <c r="J316" t="n">
        <v>0.5574</v>
      </c>
      <c r="K316" t="n">
        <v>0.095</v>
      </c>
      <c r="L316" t="n">
        <v>0.661</v>
      </c>
      <c r="M316" t="n">
        <v>0.244</v>
      </c>
    </row>
    <row r="317" spans="1:13">
      <c r="A317" s="1">
        <f>HYPERLINK("http://www.twitter.com/NathanBLawrence/status/996210275165589505", "996210275165589505")</f>
        <v/>
      </c>
      <c r="B317" s="2" t="n">
        <v>43235.08810185185</v>
      </c>
      <c r="C317" t="n">
        <v>2</v>
      </c>
      <c r="D317" t="n">
        <v>0</v>
      </c>
      <c r="E317" t="s">
        <v>328</v>
      </c>
      <c r="F317" t="s"/>
      <c r="G317" t="s"/>
      <c r="H317" t="s"/>
      <c r="I317" t="s"/>
      <c r="J317" t="n">
        <v>0.5242</v>
      </c>
      <c r="K317" t="n">
        <v>0</v>
      </c>
      <c r="L317" t="n">
        <v>0.542</v>
      </c>
      <c r="M317" t="n">
        <v>0.458</v>
      </c>
    </row>
    <row r="318" spans="1:13">
      <c r="A318" s="1">
        <f>HYPERLINK("http://www.twitter.com/NathanBLawrence/status/996210014921641984", "996210014921641984")</f>
        <v/>
      </c>
      <c r="B318" s="2" t="n">
        <v>43235.08738425926</v>
      </c>
      <c r="C318" t="n">
        <v>3</v>
      </c>
      <c r="D318" t="n">
        <v>0</v>
      </c>
      <c r="E318" t="s">
        <v>329</v>
      </c>
      <c r="F318" t="s"/>
      <c r="G318" t="s"/>
      <c r="H318" t="s"/>
      <c r="I318" t="s"/>
      <c r="J318" t="n">
        <v>0</v>
      </c>
      <c r="K318" t="n">
        <v>0</v>
      </c>
      <c r="L318" t="n">
        <v>1</v>
      </c>
      <c r="M318" t="n">
        <v>0</v>
      </c>
    </row>
    <row r="319" spans="1:13">
      <c r="A319" s="1">
        <f>HYPERLINK("http://www.twitter.com/NathanBLawrence/status/996209012311035905", "996209012311035905")</f>
        <v/>
      </c>
      <c r="B319" s="2" t="n">
        <v>43235.08461805555</v>
      </c>
      <c r="C319" t="n">
        <v>1</v>
      </c>
      <c r="D319" t="n">
        <v>0</v>
      </c>
      <c r="E319" t="s">
        <v>330</v>
      </c>
      <c r="F319" t="s"/>
      <c r="G319" t="s"/>
      <c r="H319" t="s"/>
      <c r="I319" t="s"/>
      <c r="J319" t="n">
        <v>0</v>
      </c>
      <c r="K319" t="n">
        <v>0</v>
      </c>
      <c r="L319" t="n">
        <v>1</v>
      </c>
      <c r="M319" t="n">
        <v>0</v>
      </c>
    </row>
    <row r="320" spans="1:13">
      <c r="A320" s="1">
        <f>HYPERLINK("http://www.twitter.com/NathanBLawrence/status/996208276382633984", "996208276382633984")</f>
        <v/>
      </c>
      <c r="B320" s="2" t="n">
        <v>43235.08259259259</v>
      </c>
      <c r="C320" t="n">
        <v>0</v>
      </c>
      <c r="D320" t="n">
        <v>3</v>
      </c>
      <c r="E320" t="s">
        <v>331</v>
      </c>
      <c r="F320">
        <f>HYPERLINK("http://pbs.twimg.com/media/DdKyOxLX4AA_1Bq.jpg", "http://pbs.twimg.com/media/DdKyOxLX4AA_1Bq.jpg")</f>
        <v/>
      </c>
      <c r="G320" t="s"/>
      <c r="H320" t="s"/>
      <c r="I320" t="s"/>
      <c r="J320" t="n">
        <v>0</v>
      </c>
      <c r="K320" t="n">
        <v>0</v>
      </c>
      <c r="L320" t="n">
        <v>1</v>
      </c>
      <c r="M320" t="n">
        <v>0</v>
      </c>
    </row>
    <row r="321" spans="1:13">
      <c r="A321" s="1">
        <f>HYPERLINK("http://www.twitter.com/NathanBLawrence/status/996207987999035393", "996207987999035393")</f>
        <v/>
      </c>
      <c r="B321" s="2" t="n">
        <v>43235.08179398148</v>
      </c>
      <c r="C321" t="n">
        <v>0</v>
      </c>
      <c r="D321" t="n">
        <v>13</v>
      </c>
      <c r="E321" t="s">
        <v>332</v>
      </c>
      <c r="F321" t="s"/>
      <c r="G321" t="s"/>
      <c r="H321" t="s"/>
      <c r="I321" t="s"/>
      <c r="J321" t="n">
        <v>-0.5859</v>
      </c>
      <c r="K321" t="n">
        <v>0.202</v>
      </c>
      <c r="L321" t="n">
        <v>0.798</v>
      </c>
      <c r="M321" t="n">
        <v>0</v>
      </c>
    </row>
    <row r="322" spans="1:13">
      <c r="A322" s="1">
        <f>HYPERLINK("http://www.twitter.com/NathanBLawrence/status/996207465372012544", "996207465372012544")</f>
        <v/>
      </c>
      <c r="B322" s="2" t="n">
        <v>43235.08035879629</v>
      </c>
      <c r="C322" t="n">
        <v>1</v>
      </c>
      <c r="D322" t="n">
        <v>0</v>
      </c>
      <c r="E322" t="s">
        <v>333</v>
      </c>
      <c r="F322" t="s"/>
      <c r="G322" t="s"/>
      <c r="H322" t="s"/>
      <c r="I322" t="s"/>
      <c r="J322" t="n">
        <v>-0.6229</v>
      </c>
      <c r="K322" t="n">
        <v>0.405</v>
      </c>
      <c r="L322" t="n">
        <v>0.595</v>
      </c>
      <c r="M322" t="n">
        <v>0</v>
      </c>
    </row>
    <row r="323" spans="1:13">
      <c r="A323" s="1">
        <f>HYPERLINK("http://www.twitter.com/NathanBLawrence/status/996207318076395520", "996207318076395520")</f>
        <v/>
      </c>
      <c r="B323" s="2" t="n">
        <v>43235.07994212963</v>
      </c>
      <c r="C323" t="n">
        <v>1</v>
      </c>
      <c r="D323" t="n">
        <v>0</v>
      </c>
      <c r="E323" t="s">
        <v>334</v>
      </c>
      <c r="F323" t="s"/>
      <c r="G323" t="s"/>
      <c r="H323" t="s"/>
      <c r="I323" t="s"/>
      <c r="J323" t="n">
        <v>0</v>
      </c>
      <c r="K323" t="n">
        <v>0</v>
      </c>
      <c r="L323" t="n">
        <v>1</v>
      </c>
      <c r="M323" t="n">
        <v>0</v>
      </c>
    </row>
    <row r="324" spans="1:13">
      <c r="A324" s="1">
        <f>HYPERLINK("http://www.twitter.com/NathanBLawrence/status/996207044955959296", "996207044955959296")</f>
        <v/>
      </c>
      <c r="B324" s="2" t="n">
        <v>43235.07918981482</v>
      </c>
      <c r="C324" t="n">
        <v>0</v>
      </c>
      <c r="D324" t="n">
        <v>0</v>
      </c>
      <c r="E324" t="s">
        <v>335</v>
      </c>
      <c r="F324" t="s"/>
      <c r="G324" t="s"/>
      <c r="H324" t="s"/>
      <c r="I324" t="s"/>
      <c r="J324" t="n">
        <v>0</v>
      </c>
      <c r="K324" t="n">
        <v>0</v>
      </c>
      <c r="L324" t="n">
        <v>1</v>
      </c>
      <c r="M324" t="n">
        <v>0</v>
      </c>
    </row>
    <row r="325" spans="1:13">
      <c r="A325" s="1">
        <f>HYPERLINK("http://www.twitter.com/NathanBLawrence/status/996206842765340672", "996206842765340672")</f>
        <v/>
      </c>
      <c r="B325" s="2" t="n">
        <v>43235.07863425926</v>
      </c>
      <c r="C325" t="n">
        <v>0</v>
      </c>
      <c r="D325" t="n">
        <v>3505</v>
      </c>
      <c r="E325" t="s">
        <v>336</v>
      </c>
      <c r="F325">
        <f>HYPERLINK("http://pbs.twimg.com/media/DdHIlFFV0AAY-Ok.jpg", "http://pbs.twimg.com/media/DdHIlFFV0AAY-Ok.jpg")</f>
        <v/>
      </c>
      <c r="G325" t="s"/>
      <c r="H325" t="s"/>
      <c r="I325" t="s"/>
      <c r="J325" t="n">
        <v>0</v>
      </c>
      <c r="K325" t="n">
        <v>0</v>
      </c>
      <c r="L325" t="n">
        <v>1</v>
      </c>
      <c r="M325" t="n">
        <v>0</v>
      </c>
    </row>
    <row r="326" spans="1:13">
      <c r="A326" s="1">
        <f>HYPERLINK("http://www.twitter.com/NathanBLawrence/status/996206497217568768", "996206497217568768")</f>
        <v/>
      </c>
      <c r="B326" s="2" t="n">
        <v>43235.07768518518</v>
      </c>
      <c r="C326" t="n">
        <v>2</v>
      </c>
      <c r="D326" t="n">
        <v>1</v>
      </c>
      <c r="E326" t="s">
        <v>337</v>
      </c>
      <c r="F326" t="s"/>
      <c r="G326" t="s"/>
      <c r="H326" t="s"/>
      <c r="I326" t="s"/>
      <c r="J326" t="n">
        <v>0</v>
      </c>
      <c r="K326" t="n">
        <v>0.131</v>
      </c>
      <c r="L326" t="n">
        <v>0.738</v>
      </c>
      <c r="M326" t="n">
        <v>0.131</v>
      </c>
    </row>
    <row r="327" spans="1:13">
      <c r="A327" s="1">
        <f>HYPERLINK("http://www.twitter.com/NathanBLawrence/status/996204960219062272", "996204960219062272")</f>
        <v/>
      </c>
      <c r="B327" s="2" t="n">
        <v>43235.0734375</v>
      </c>
      <c r="C327" t="n">
        <v>9</v>
      </c>
      <c r="D327" t="n">
        <v>3</v>
      </c>
      <c r="E327" t="s">
        <v>338</v>
      </c>
      <c r="F327" t="s"/>
      <c r="G327" t="s"/>
      <c r="H327" t="s"/>
      <c r="I327" t="s"/>
      <c r="J327" t="n">
        <v>0.3818</v>
      </c>
      <c r="K327" t="n">
        <v>0</v>
      </c>
      <c r="L327" t="n">
        <v>0.925</v>
      </c>
      <c r="M327" t="n">
        <v>0.075</v>
      </c>
    </row>
    <row r="328" spans="1:13">
      <c r="A328" s="1">
        <f>HYPERLINK("http://www.twitter.com/NathanBLawrence/status/996202727268118529", "996202727268118529")</f>
        <v/>
      </c>
      <c r="B328" s="2" t="n">
        <v>43235.06728009259</v>
      </c>
      <c r="C328" t="n">
        <v>0</v>
      </c>
      <c r="D328" t="n">
        <v>0</v>
      </c>
      <c r="E328" t="s">
        <v>339</v>
      </c>
      <c r="F328" t="s"/>
      <c r="G328" t="s"/>
      <c r="H328" t="s"/>
      <c r="I328" t="s"/>
      <c r="J328" t="n">
        <v>0.6652</v>
      </c>
      <c r="K328" t="n">
        <v>0</v>
      </c>
      <c r="L328" t="n">
        <v>0.643</v>
      </c>
      <c r="M328" t="n">
        <v>0.357</v>
      </c>
    </row>
    <row r="329" spans="1:13">
      <c r="A329" s="1">
        <f>HYPERLINK("http://www.twitter.com/NathanBLawrence/status/996202003465371651", "996202003465371651")</f>
        <v/>
      </c>
      <c r="B329" s="2" t="n">
        <v>43235.06527777778</v>
      </c>
      <c r="C329" t="n">
        <v>4</v>
      </c>
      <c r="D329" t="n">
        <v>2</v>
      </c>
      <c r="E329" t="s">
        <v>340</v>
      </c>
      <c r="F329" t="s"/>
      <c r="G329" t="s"/>
      <c r="H329" t="s"/>
      <c r="I329" t="s"/>
      <c r="J329" t="n">
        <v>0.25</v>
      </c>
      <c r="K329" t="n">
        <v>0.094</v>
      </c>
      <c r="L329" t="n">
        <v>0.769</v>
      </c>
      <c r="M329" t="n">
        <v>0.137</v>
      </c>
    </row>
    <row r="330" spans="1:13">
      <c r="A330" s="1">
        <f>HYPERLINK("http://www.twitter.com/NathanBLawrence/status/996201600661311488", "996201600661311488")</f>
        <v/>
      </c>
      <c r="B330" s="2" t="n">
        <v>43235.06416666666</v>
      </c>
      <c r="C330" t="n">
        <v>0</v>
      </c>
      <c r="D330" t="n">
        <v>14</v>
      </c>
      <c r="E330" t="s">
        <v>341</v>
      </c>
      <c r="F330" t="s"/>
      <c r="G330" t="s"/>
      <c r="H330" t="s"/>
      <c r="I330" t="s"/>
      <c r="J330" t="n">
        <v>0.1531</v>
      </c>
      <c r="K330" t="n">
        <v>0.137</v>
      </c>
      <c r="L330" t="n">
        <v>0.703</v>
      </c>
      <c r="M330" t="n">
        <v>0.16</v>
      </c>
    </row>
    <row r="331" spans="1:13">
      <c r="A331" s="1">
        <f>HYPERLINK("http://www.twitter.com/NathanBLawrence/status/996201039882833921", "996201039882833921")</f>
        <v/>
      </c>
      <c r="B331" s="2" t="n">
        <v>43235.06262731482</v>
      </c>
      <c r="C331" t="n">
        <v>2</v>
      </c>
      <c r="D331" t="n">
        <v>0</v>
      </c>
      <c r="E331" t="s">
        <v>342</v>
      </c>
      <c r="F331" t="s"/>
      <c r="G331" t="s"/>
      <c r="H331" t="s"/>
      <c r="I331" t="s"/>
      <c r="J331" t="n">
        <v>0.8908</v>
      </c>
      <c r="K331" t="n">
        <v>0</v>
      </c>
      <c r="L331" t="n">
        <v>0.586</v>
      </c>
      <c r="M331" t="n">
        <v>0.414</v>
      </c>
    </row>
    <row r="332" spans="1:13">
      <c r="A332" s="1">
        <f>HYPERLINK("http://www.twitter.com/NathanBLawrence/status/996200378751488001", "996200378751488001")</f>
        <v/>
      </c>
      <c r="B332" s="2" t="n">
        <v>43235.06079861111</v>
      </c>
      <c r="C332" t="n">
        <v>1</v>
      </c>
      <c r="D332" t="n">
        <v>0</v>
      </c>
      <c r="E332" t="s">
        <v>343</v>
      </c>
      <c r="F332" t="s"/>
      <c r="G332" t="s"/>
      <c r="H332" t="s"/>
      <c r="I332" t="s"/>
      <c r="J332" t="n">
        <v>-0.8555</v>
      </c>
      <c r="K332" t="n">
        <v>0.825</v>
      </c>
      <c r="L332" t="n">
        <v>0.175</v>
      </c>
      <c r="M332" t="n">
        <v>0</v>
      </c>
    </row>
    <row r="333" spans="1:13">
      <c r="A333" s="1">
        <f>HYPERLINK("http://www.twitter.com/NathanBLawrence/status/996200081056583680", "996200081056583680")</f>
        <v/>
      </c>
      <c r="B333" s="2" t="n">
        <v>43235.05997685185</v>
      </c>
      <c r="C333" t="n">
        <v>3</v>
      </c>
      <c r="D333" t="n">
        <v>0</v>
      </c>
      <c r="E333" t="s">
        <v>344</v>
      </c>
      <c r="F333" t="s"/>
      <c r="G333" t="s"/>
      <c r="H333" t="s"/>
      <c r="I333" t="s"/>
      <c r="J333" t="n">
        <v>0.855</v>
      </c>
      <c r="K333" t="n">
        <v>0</v>
      </c>
      <c r="L333" t="n">
        <v>0.374</v>
      </c>
      <c r="M333" t="n">
        <v>0.626</v>
      </c>
    </row>
    <row r="334" spans="1:13">
      <c r="A334" s="1">
        <f>HYPERLINK("http://www.twitter.com/NathanBLawrence/status/996199219357773824", "996199219357773824")</f>
        <v/>
      </c>
      <c r="B334" s="2" t="n">
        <v>43235.05760416666</v>
      </c>
      <c r="C334" t="n">
        <v>7</v>
      </c>
      <c r="D334" t="n">
        <v>4</v>
      </c>
      <c r="E334" t="s">
        <v>345</v>
      </c>
      <c r="F334" t="s"/>
      <c r="G334" t="s"/>
      <c r="H334" t="s"/>
      <c r="I334" t="s"/>
      <c r="J334" t="n">
        <v>-0.5859</v>
      </c>
      <c r="K334" t="n">
        <v>0.5590000000000001</v>
      </c>
      <c r="L334" t="n">
        <v>0.441</v>
      </c>
      <c r="M334" t="n">
        <v>0</v>
      </c>
    </row>
    <row r="335" spans="1:13">
      <c r="A335" s="1">
        <f>HYPERLINK("http://www.twitter.com/NathanBLawrence/status/996193903895334912", "996193903895334912")</f>
        <v/>
      </c>
      <c r="B335" s="2" t="n">
        <v>43235.04292824074</v>
      </c>
      <c r="C335" t="n">
        <v>5</v>
      </c>
      <c r="D335" t="n">
        <v>0</v>
      </c>
      <c r="E335" t="s">
        <v>346</v>
      </c>
      <c r="F335" t="s"/>
      <c r="G335" t="s"/>
      <c r="H335" t="s"/>
      <c r="I335" t="s"/>
      <c r="J335" t="n">
        <v>-0.6979</v>
      </c>
      <c r="K335" t="n">
        <v>0.292</v>
      </c>
      <c r="L335" t="n">
        <v>0.708</v>
      </c>
      <c r="M335" t="n">
        <v>0</v>
      </c>
    </row>
    <row r="336" spans="1:13">
      <c r="A336" s="1">
        <f>HYPERLINK("http://www.twitter.com/NathanBLawrence/status/996193592485007360", "996193592485007360")</f>
        <v/>
      </c>
      <c r="B336" s="2" t="n">
        <v>43235.04207175926</v>
      </c>
      <c r="C336" t="n">
        <v>2</v>
      </c>
      <c r="D336" t="n">
        <v>1</v>
      </c>
      <c r="E336" t="s">
        <v>347</v>
      </c>
      <c r="F336" t="s"/>
      <c r="G336" t="s"/>
      <c r="H336" t="s"/>
      <c r="I336" t="s"/>
      <c r="J336" t="n">
        <v>-0.4939</v>
      </c>
      <c r="K336" t="n">
        <v>0.158</v>
      </c>
      <c r="L336" t="n">
        <v>0.842</v>
      </c>
      <c r="M336" t="n">
        <v>0</v>
      </c>
    </row>
    <row r="337" spans="1:13">
      <c r="A337" s="1">
        <f>HYPERLINK("http://www.twitter.com/NathanBLawrence/status/996193445508198406", "996193445508198406")</f>
        <v/>
      </c>
      <c r="B337" s="2" t="n">
        <v>43235.04166666666</v>
      </c>
      <c r="C337" t="n">
        <v>2</v>
      </c>
      <c r="D337" t="n">
        <v>1</v>
      </c>
      <c r="E337" t="s">
        <v>348</v>
      </c>
      <c r="F337" t="s"/>
      <c r="G337" t="s"/>
      <c r="H337" t="s"/>
      <c r="I337" t="s"/>
      <c r="J337" t="n">
        <v>0</v>
      </c>
      <c r="K337" t="n">
        <v>0</v>
      </c>
      <c r="L337" t="n">
        <v>1</v>
      </c>
      <c r="M337" t="n">
        <v>0</v>
      </c>
    </row>
    <row r="338" spans="1:13">
      <c r="A338" s="1">
        <f>HYPERLINK("http://www.twitter.com/NathanBLawrence/status/996193015696896001", "996193015696896001")</f>
        <v/>
      </c>
      <c r="B338" s="2" t="n">
        <v>43235.04047453704</v>
      </c>
      <c r="C338" t="n">
        <v>3</v>
      </c>
      <c r="D338" t="n">
        <v>0</v>
      </c>
      <c r="E338" t="s">
        <v>349</v>
      </c>
      <c r="F338" t="s"/>
      <c r="G338" t="s"/>
      <c r="H338" t="s"/>
      <c r="I338" t="s"/>
      <c r="J338" t="n">
        <v>0.9137</v>
      </c>
      <c r="K338" t="n">
        <v>0</v>
      </c>
      <c r="L338" t="n">
        <v>0.545</v>
      </c>
      <c r="M338" t="n">
        <v>0.455</v>
      </c>
    </row>
    <row r="339" spans="1:13">
      <c r="A339" s="1">
        <f>HYPERLINK("http://www.twitter.com/NathanBLawrence/status/996192751397064705", "996192751397064705")</f>
        <v/>
      </c>
      <c r="B339" s="2" t="n">
        <v>43235.03974537037</v>
      </c>
      <c r="C339" t="n">
        <v>0</v>
      </c>
      <c r="D339" t="n">
        <v>23</v>
      </c>
      <c r="E339" t="s">
        <v>350</v>
      </c>
      <c r="F339">
        <f>HYPERLINK("http://pbs.twimg.com/media/DdMvXEtU8AAgf7a.jpg", "http://pbs.twimg.com/media/DdMvXEtU8AAgf7a.jpg")</f>
        <v/>
      </c>
      <c r="G339" t="s"/>
      <c r="H339" t="s"/>
      <c r="I339" t="s"/>
      <c r="J339" t="n">
        <v>-0.296</v>
      </c>
      <c r="K339" t="n">
        <v>0.104</v>
      </c>
      <c r="L339" t="n">
        <v>0.896</v>
      </c>
      <c r="M339" t="n">
        <v>0</v>
      </c>
    </row>
    <row r="340" spans="1:13">
      <c r="A340" s="1">
        <f>HYPERLINK("http://www.twitter.com/NathanBLawrence/status/996191620331646977", "996191620331646977")</f>
        <v/>
      </c>
      <c r="B340" s="2" t="n">
        <v>43235.03663194444</v>
      </c>
      <c r="C340" t="n">
        <v>0</v>
      </c>
      <c r="D340" t="n">
        <v>0</v>
      </c>
      <c r="E340" t="s">
        <v>351</v>
      </c>
      <c r="F340" t="s"/>
      <c r="G340" t="s"/>
      <c r="H340" t="s"/>
      <c r="I340" t="s"/>
      <c r="J340" t="n">
        <v>0</v>
      </c>
      <c r="K340" t="n">
        <v>0</v>
      </c>
      <c r="L340" t="n">
        <v>1</v>
      </c>
      <c r="M340" t="n">
        <v>0</v>
      </c>
    </row>
    <row r="341" spans="1:13">
      <c r="A341" s="1">
        <f>HYPERLINK("http://www.twitter.com/NathanBLawrence/status/996191359785631744", "996191359785631744")</f>
        <v/>
      </c>
      <c r="B341" s="2" t="n">
        <v>43235.03591435185</v>
      </c>
      <c r="C341" t="n">
        <v>1</v>
      </c>
      <c r="D341" t="n">
        <v>0</v>
      </c>
      <c r="E341" t="s">
        <v>352</v>
      </c>
      <c r="F341" t="s"/>
      <c r="G341" t="s"/>
      <c r="H341" t="s"/>
      <c r="I341" t="s"/>
      <c r="J341" t="n">
        <v>0</v>
      </c>
      <c r="K341" t="n">
        <v>0</v>
      </c>
      <c r="L341" t="n">
        <v>1</v>
      </c>
      <c r="M341" t="n">
        <v>0</v>
      </c>
    </row>
    <row r="342" spans="1:13">
      <c r="A342" s="1">
        <f>HYPERLINK("http://www.twitter.com/NathanBLawrence/status/996191132278296576", "996191132278296576")</f>
        <v/>
      </c>
      <c r="B342" s="2" t="n">
        <v>43235.03527777778</v>
      </c>
      <c r="C342" t="n">
        <v>0</v>
      </c>
      <c r="D342" t="n">
        <v>18</v>
      </c>
      <c r="E342" t="s">
        <v>353</v>
      </c>
      <c r="F342">
        <f>HYPERLINK("http://pbs.twimg.com/media/DdMOkaXWkAAAXgn.jpg", "http://pbs.twimg.com/media/DdMOkaXWkAAAXgn.jpg")</f>
        <v/>
      </c>
      <c r="G342">
        <f>HYPERLINK("http://pbs.twimg.com/media/DdMOk5wWkAE2Duq.jpg", "http://pbs.twimg.com/media/DdMOk5wWkAE2Duq.jpg")</f>
        <v/>
      </c>
      <c r="H342" t="s"/>
      <c r="I342" t="s"/>
      <c r="J342" t="n">
        <v>-0.3447</v>
      </c>
      <c r="K342" t="n">
        <v>0.153</v>
      </c>
      <c r="L342" t="n">
        <v>0.847</v>
      </c>
      <c r="M342" t="n">
        <v>0</v>
      </c>
    </row>
    <row r="343" spans="1:13">
      <c r="A343" s="1">
        <f>HYPERLINK("http://www.twitter.com/NathanBLawrence/status/996191058655694853", "996191058655694853")</f>
        <v/>
      </c>
      <c r="B343" s="2" t="n">
        <v>43235.03508101852</v>
      </c>
      <c r="C343" t="n">
        <v>2</v>
      </c>
      <c r="D343" t="n">
        <v>0</v>
      </c>
      <c r="E343" t="s">
        <v>354</v>
      </c>
      <c r="F343">
        <f>HYPERLINK("http://pbs.twimg.com/media/DdMue96V0AAYBdc.jpg", "http://pbs.twimg.com/media/DdMue96V0AAYBdc.jpg")</f>
        <v/>
      </c>
      <c r="G343" t="s"/>
      <c r="H343" t="s"/>
      <c r="I343" t="s"/>
      <c r="J343" t="n">
        <v>0.8591</v>
      </c>
      <c r="K343" t="n">
        <v>0</v>
      </c>
      <c r="L343" t="n">
        <v>0.596</v>
      </c>
      <c r="M343" t="n">
        <v>0.404</v>
      </c>
    </row>
    <row r="344" spans="1:13">
      <c r="A344" s="1">
        <f>HYPERLINK("http://www.twitter.com/NathanBLawrence/status/996186888347189248", "996186888347189248")</f>
        <v/>
      </c>
      <c r="B344" s="2" t="n">
        <v>43235.02357638889</v>
      </c>
      <c r="C344" t="n">
        <v>3</v>
      </c>
      <c r="D344" t="n">
        <v>1</v>
      </c>
      <c r="E344" t="s">
        <v>355</v>
      </c>
      <c r="F344" t="s"/>
      <c r="G344" t="s"/>
      <c r="H344" t="s"/>
      <c r="I344" t="s"/>
      <c r="J344" t="n">
        <v>0.4215</v>
      </c>
      <c r="K344" t="n">
        <v>0.078</v>
      </c>
      <c r="L344" t="n">
        <v>0.719</v>
      </c>
      <c r="M344" t="n">
        <v>0.203</v>
      </c>
    </row>
    <row r="345" spans="1:13">
      <c r="A345" s="1">
        <f>HYPERLINK("http://www.twitter.com/NathanBLawrence/status/996186224082739205", "996186224082739205")</f>
        <v/>
      </c>
      <c r="B345" s="2" t="n">
        <v>43235.02173611111</v>
      </c>
      <c r="C345" t="n">
        <v>4</v>
      </c>
      <c r="D345" t="n">
        <v>3</v>
      </c>
      <c r="E345" t="s">
        <v>356</v>
      </c>
      <c r="F345" t="s"/>
      <c r="G345" t="s"/>
      <c r="H345" t="s"/>
      <c r="I345" t="s"/>
      <c r="J345" t="n">
        <v>-0.5385</v>
      </c>
      <c r="K345" t="n">
        <v>0.227</v>
      </c>
      <c r="L345" t="n">
        <v>0.679</v>
      </c>
      <c r="M345" t="n">
        <v>0.094</v>
      </c>
    </row>
    <row r="346" spans="1:13">
      <c r="A346" s="1">
        <f>HYPERLINK("http://www.twitter.com/NathanBLawrence/status/996184883193090049", "996184883193090049")</f>
        <v/>
      </c>
      <c r="B346" s="2" t="n">
        <v>43235.01804398148</v>
      </c>
      <c r="C346" t="n">
        <v>0</v>
      </c>
      <c r="D346" t="n">
        <v>71</v>
      </c>
      <c r="E346" t="s">
        <v>357</v>
      </c>
      <c r="F346" t="s"/>
      <c r="G346" t="s"/>
      <c r="H346" t="s"/>
      <c r="I346" t="s"/>
      <c r="J346" t="n">
        <v>-0.5574</v>
      </c>
      <c r="K346" t="n">
        <v>0.295</v>
      </c>
      <c r="L346" t="n">
        <v>0.705</v>
      </c>
      <c r="M346" t="n">
        <v>0</v>
      </c>
    </row>
    <row r="347" spans="1:13">
      <c r="A347" s="1">
        <f>HYPERLINK("http://www.twitter.com/NathanBLawrence/status/996177086359490560", "996177086359490560")</f>
        <v/>
      </c>
      <c r="B347" s="2" t="n">
        <v>43234.99652777778</v>
      </c>
      <c r="C347" t="n">
        <v>0</v>
      </c>
      <c r="D347" t="n">
        <v>91</v>
      </c>
      <c r="E347" t="s">
        <v>358</v>
      </c>
      <c r="F347">
        <f>HYPERLINK("http://pbs.twimg.com/media/DcnwaQiVAAATU0X.jpg", "http://pbs.twimg.com/media/DcnwaQiVAAATU0X.jpg")</f>
        <v/>
      </c>
      <c r="G347" t="s"/>
      <c r="H347" t="s"/>
      <c r="I347" t="s"/>
      <c r="J347" t="n">
        <v>-0.4767</v>
      </c>
      <c r="K347" t="n">
        <v>0.129</v>
      </c>
      <c r="L347" t="n">
        <v>0.871</v>
      </c>
      <c r="M347" t="n">
        <v>0</v>
      </c>
    </row>
    <row r="348" spans="1:13">
      <c r="A348" s="1">
        <f>HYPERLINK("http://www.twitter.com/NathanBLawrence/status/996176882365329408", "996176882365329408")</f>
        <v/>
      </c>
      <c r="B348" s="2" t="n">
        <v>43234.99596064815</v>
      </c>
      <c r="C348" t="n">
        <v>0</v>
      </c>
      <c r="D348" t="n">
        <v>1426</v>
      </c>
      <c r="E348" t="s">
        <v>359</v>
      </c>
      <c r="F348" t="s"/>
      <c r="G348" t="s"/>
      <c r="H348" t="s"/>
      <c r="I348" t="s"/>
      <c r="J348" t="n">
        <v>-0.6666</v>
      </c>
      <c r="K348" t="n">
        <v>0.275</v>
      </c>
      <c r="L348" t="n">
        <v>0.5580000000000001</v>
      </c>
      <c r="M348" t="n">
        <v>0.167</v>
      </c>
    </row>
    <row r="349" spans="1:13">
      <c r="A349" s="1">
        <f>HYPERLINK("http://www.twitter.com/NathanBLawrence/status/996169656825196545", "996169656825196545")</f>
        <v/>
      </c>
      <c r="B349" s="2" t="n">
        <v>43234.97601851852</v>
      </c>
      <c r="C349" t="n">
        <v>3</v>
      </c>
      <c r="D349" t="n">
        <v>1</v>
      </c>
      <c r="E349" t="s">
        <v>360</v>
      </c>
      <c r="F349">
        <f>HYPERLINK("https://video.twimg.com/ext_tw_video/996169524289327104/pu/vid/1280x720/oulR1RfP9E7lvQT1.mp4?tag=3", "https://video.twimg.com/ext_tw_video/996169524289327104/pu/vid/1280x720/oulR1RfP9E7lvQT1.mp4?tag=3")</f>
        <v/>
      </c>
      <c r="G349" t="s"/>
      <c r="H349" t="s"/>
      <c r="I349" t="s"/>
      <c r="J349" t="n">
        <v>0</v>
      </c>
      <c r="K349" t="n">
        <v>0</v>
      </c>
      <c r="L349" t="n">
        <v>1</v>
      </c>
      <c r="M349" t="n">
        <v>0</v>
      </c>
    </row>
    <row r="350" spans="1:13">
      <c r="A350" s="1">
        <f>HYPERLINK("http://www.twitter.com/NathanBLawrence/status/996164927009251336", "996164927009251336")</f>
        <v/>
      </c>
      <c r="B350" s="2" t="n">
        <v>43234.96297453704</v>
      </c>
      <c r="C350" t="n">
        <v>0</v>
      </c>
      <c r="D350" t="n">
        <v>2</v>
      </c>
      <c r="E350" t="s">
        <v>361</v>
      </c>
      <c r="F350" t="s"/>
      <c r="G350" t="s"/>
      <c r="H350" t="s"/>
      <c r="I350" t="s"/>
      <c r="J350" t="n">
        <v>-0.8481</v>
      </c>
      <c r="K350" t="n">
        <v>0.312</v>
      </c>
      <c r="L350" t="n">
        <v>0.625</v>
      </c>
      <c r="M350" t="n">
        <v>0.062</v>
      </c>
    </row>
    <row r="351" spans="1:13">
      <c r="A351" s="1">
        <f>HYPERLINK("http://www.twitter.com/NathanBLawrence/status/996164453090648066", "996164453090648066")</f>
        <v/>
      </c>
      <c r="B351" s="2" t="n">
        <v>43234.96166666667</v>
      </c>
      <c r="C351" t="n">
        <v>1</v>
      </c>
      <c r="D351" t="n">
        <v>0</v>
      </c>
      <c r="E351" t="s">
        <v>362</v>
      </c>
      <c r="F351" t="s"/>
      <c r="G351" t="s"/>
      <c r="H351" t="s"/>
      <c r="I351" t="s"/>
      <c r="J351" t="n">
        <v>-0.6486</v>
      </c>
      <c r="K351" t="n">
        <v>0.125</v>
      </c>
      <c r="L351" t="n">
        <v>0.875</v>
      </c>
      <c r="M351" t="n">
        <v>0</v>
      </c>
    </row>
    <row r="352" spans="1:13">
      <c r="A352" s="1">
        <f>HYPERLINK("http://www.twitter.com/NathanBLawrence/status/996148987509002247", "996148987509002247")</f>
        <v/>
      </c>
      <c r="B352" s="2" t="n">
        <v>43234.91898148148</v>
      </c>
      <c r="C352" t="n">
        <v>0</v>
      </c>
      <c r="D352" t="n">
        <v>28</v>
      </c>
      <c r="E352" t="s">
        <v>363</v>
      </c>
      <c r="F352" t="s"/>
      <c r="G352" t="s"/>
      <c r="H352" t="s"/>
      <c r="I352" t="s"/>
      <c r="J352" t="n">
        <v>0</v>
      </c>
      <c r="K352" t="n">
        <v>0</v>
      </c>
      <c r="L352" t="n">
        <v>1</v>
      </c>
      <c r="M352" t="n">
        <v>0</v>
      </c>
    </row>
    <row r="353" spans="1:13">
      <c r="A353" s="1">
        <f>HYPERLINK("http://www.twitter.com/NathanBLawrence/status/996147447222108160", "996147447222108160")</f>
        <v/>
      </c>
      <c r="B353" s="2" t="n">
        <v>43234.91473379629</v>
      </c>
      <c r="C353" t="n">
        <v>2</v>
      </c>
      <c r="D353" t="n">
        <v>1</v>
      </c>
      <c r="E353" t="s">
        <v>364</v>
      </c>
      <c r="F353" t="s"/>
      <c r="G353" t="s"/>
      <c r="H353" t="s"/>
      <c r="I353" t="s"/>
      <c r="J353" t="n">
        <v>0</v>
      </c>
      <c r="K353" t="n">
        <v>0</v>
      </c>
      <c r="L353" t="n">
        <v>1</v>
      </c>
      <c r="M353" t="n">
        <v>0</v>
      </c>
    </row>
    <row r="354" spans="1:13">
      <c r="A354" s="1">
        <f>HYPERLINK("http://www.twitter.com/NathanBLawrence/status/996147025606533121", "996147025606533121")</f>
        <v/>
      </c>
      <c r="B354" s="2" t="n">
        <v>43234.91357638889</v>
      </c>
      <c r="C354" t="n">
        <v>0</v>
      </c>
      <c r="D354" t="n">
        <v>1062</v>
      </c>
      <c r="E354" t="s">
        <v>365</v>
      </c>
      <c r="F354">
        <f>HYPERLINK("http://pbs.twimg.com/media/DdK_rMEUQAA687c.jpg", "http://pbs.twimg.com/media/DdK_rMEUQAA687c.jpg")</f>
        <v/>
      </c>
      <c r="G354" t="s"/>
      <c r="H354" t="s"/>
      <c r="I354" t="s"/>
      <c r="J354" t="n">
        <v>0</v>
      </c>
      <c r="K354" t="n">
        <v>0</v>
      </c>
      <c r="L354" t="n">
        <v>1</v>
      </c>
      <c r="M354" t="n">
        <v>0</v>
      </c>
    </row>
    <row r="355" spans="1:13">
      <c r="A355" s="1">
        <f>HYPERLINK("http://www.twitter.com/NathanBLawrence/status/996121770108375042", "996121770108375042")</f>
        <v/>
      </c>
      <c r="B355" s="2" t="n">
        <v>43234.84387731482</v>
      </c>
      <c r="C355" t="n">
        <v>6</v>
      </c>
      <c r="D355" t="n">
        <v>1</v>
      </c>
      <c r="E355" t="s">
        <v>366</v>
      </c>
      <c r="F355">
        <f>HYPERLINK("http://pbs.twimg.com/media/DdLvdpdVwAA2Dw4.jpg", "http://pbs.twimg.com/media/DdLvdpdVwAA2Dw4.jpg")</f>
        <v/>
      </c>
      <c r="G355" t="s"/>
      <c r="H355" t="s"/>
      <c r="I355" t="s"/>
      <c r="J355" t="n">
        <v>0.6739000000000001</v>
      </c>
      <c r="K355" t="n">
        <v>0.079</v>
      </c>
      <c r="L355" t="n">
        <v>0.68</v>
      </c>
      <c r="M355" t="n">
        <v>0.241</v>
      </c>
    </row>
    <row r="356" spans="1:13">
      <c r="A356" s="1">
        <f>HYPERLINK("http://www.twitter.com/NathanBLawrence/status/996118679858368512", "996118679858368512")</f>
        <v/>
      </c>
      <c r="B356" s="2" t="n">
        <v>43234.83534722222</v>
      </c>
      <c r="C356" t="n">
        <v>0</v>
      </c>
      <c r="D356" t="n">
        <v>32</v>
      </c>
      <c r="E356" t="s">
        <v>367</v>
      </c>
      <c r="F356" t="s"/>
      <c r="G356" t="s"/>
      <c r="H356" t="s"/>
      <c r="I356" t="s"/>
      <c r="J356" t="n">
        <v>-0.4404</v>
      </c>
      <c r="K356" t="n">
        <v>0.112</v>
      </c>
      <c r="L356" t="n">
        <v>0.888</v>
      </c>
      <c r="M356" t="n">
        <v>0</v>
      </c>
    </row>
    <row r="357" spans="1:13">
      <c r="A357" s="1">
        <f>HYPERLINK("http://www.twitter.com/NathanBLawrence/status/996118453030391808", "996118453030391808")</f>
        <v/>
      </c>
      <c r="B357" s="2" t="n">
        <v>43234.83472222222</v>
      </c>
      <c r="C357" t="n">
        <v>0</v>
      </c>
      <c r="D357" t="n">
        <v>38</v>
      </c>
      <c r="E357" t="s">
        <v>368</v>
      </c>
      <c r="F357">
        <f>HYPERLINK("http://pbs.twimg.com/media/DdK-sXmVAAELFWL.jpg", "http://pbs.twimg.com/media/DdK-sXmVAAELFWL.jpg")</f>
        <v/>
      </c>
      <c r="G357">
        <f>HYPERLINK("http://pbs.twimg.com/media/DdK-s2JVMAENnQC.jpg", "http://pbs.twimg.com/media/DdK-s2JVMAENnQC.jpg")</f>
        <v/>
      </c>
      <c r="H357">
        <f>HYPERLINK("http://pbs.twimg.com/media/DdK-tgvU8AEFhAj.jpg", "http://pbs.twimg.com/media/DdK-tgvU8AEFhAj.jpg")</f>
        <v/>
      </c>
      <c r="I357" t="s"/>
      <c r="J357" t="n">
        <v>0</v>
      </c>
      <c r="K357" t="n">
        <v>0</v>
      </c>
      <c r="L357" t="n">
        <v>1</v>
      </c>
      <c r="M357" t="n">
        <v>0</v>
      </c>
    </row>
    <row r="358" spans="1:13">
      <c r="A358" s="1">
        <f>HYPERLINK("http://www.twitter.com/NathanBLawrence/status/996118375561596930", "996118375561596930")</f>
        <v/>
      </c>
      <c r="B358" s="2" t="n">
        <v>43234.83451388889</v>
      </c>
      <c r="C358" t="n">
        <v>0</v>
      </c>
      <c r="D358" t="n">
        <v>0</v>
      </c>
      <c r="E358" t="s">
        <v>369</v>
      </c>
      <c r="F358" t="s"/>
      <c r="G358" t="s"/>
      <c r="H358" t="s"/>
      <c r="I358" t="s"/>
      <c r="J358" t="n">
        <v>0</v>
      </c>
      <c r="K358" t="n">
        <v>0</v>
      </c>
      <c r="L358" t="n">
        <v>1</v>
      </c>
      <c r="M358" t="n">
        <v>0</v>
      </c>
    </row>
    <row r="359" spans="1:13">
      <c r="A359" s="1">
        <f>HYPERLINK("http://www.twitter.com/NathanBLawrence/status/996117917770108933", "996117917770108933")</f>
        <v/>
      </c>
      <c r="B359" s="2" t="n">
        <v>43234.83325231481</v>
      </c>
      <c r="C359" t="n">
        <v>3</v>
      </c>
      <c r="D359" t="n">
        <v>0</v>
      </c>
      <c r="E359" t="s">
        <v>370</v>
      </c>
      <c r="F359" t="s"/>
      <c r="G359" t="s"/>
      <c r="H359" t="s"/>
      <c r="I359" t="s"/>
      <c r="J359" t="n">
        <v>0.2905</v>
      </c>
      <c r="K359" t="n">
        <v>0.133</v>
      </c>
      <c r="L359" t="n">
        <v>0.646</v>
      </c>
      <c r="M359" t="n">
        <v>0.221</v>
      </c>
    </row>
    <row r="360" spans="1:13">
      <c r="A360" s="1">
        <f>HYPERLINK("http://www.twitter.com/NathanBLawrence/status/996114717591724039", "996114717591724039")</f>
        <v/>
      </c>
      <c r="B360" s="2" t="n">
        <v>43234.8244212963</v>
      </c>
      <c r="C360" t="n">
        <v>0</v>
      </c>
      <c r="D360" t="n">
        <v>0</v>
      </c>
      <c r="E360" t="s">
        <v>371</v>
      </c>
      <c r="F360" t="s"/>
      <c r="G360" t="s"/>
      <c r="H360" t="s"/>
      <c r="I360" t="s"/>
      <c r="J360" t="n">
        <v>-0.5255</v>
      </c>
      <c r="K360" t="n">
        <v>0.252</v>
      </c>
      <c r="L360" t="n">
        <v>0.657</v>
      </c>
      <c r="M360" t="n">
        <v>0.091</v>
      </c>
    </row>
    <row r="361" spans="1:13">
      <c r="A361" s="1">
        <f>HYPERLINK("http://www.twitter.com/NathanBLawrence/status/996114186097844224", "996114186097844224")</f>
        <v/>
      </c>
      <c r="B361" s="2" t="n">
        <v>43234.82295138889</v>
      </c>
      <c r="C361" t="n">
        <v>0</v>
      </c>
      <c r="D361" t="n">
        <v>0</v>
      </c>
      <c r="E361" t="s">
        <v>372</v>
      </c>
      <c r="F361" t="s"/>
      <c r="G361" t="s"/>
      <c r="H361" t="s"/>
      <c r="I361" t="s"/>
      <c r="J361" t="n">
        <v>0</v>
      </c>
      <c r="K361" t="n">
        <v>0</v>
      </c>
      <c r="L361" t="n">
        <v>1</v>
      </c>
      <c r="M361" t="n">
        <v>0</v>
      </c>
    </row>
    <row r="362" spans="1:13">
      <c r="A362" s="1">
        <f>HYPERLINK("http://www.twitter.com/NathanBLawrence/status/996109345774620675", "996109345774620675")</f>
        <v/>
      </c>
      <c r="B362" s="2" t="n">
        <v>43234.8095949074</v>
      </c>
      <c r="C362" t="n">
        <v>0</v>
      </c>
      <c r="D362" t="n">
        <v>0</v>
      </c>
      <c r="E362" t="s">
        <v>373</v>
      </c>
      <c r="F362" t="s"/>
      <c r="G362" t="s"/>
      <c r="H362" t="s"/>
      <c r="I362" t="s"/>
      <c r="J362" t="n">
        <v>-0.4767</v>
      </c>
      <c r="K362" t="n">
        <v>0.231</v>
      </c>
      <c r="L362" t="n">
        <v>0.68</v>
      </c>
      <c r="M362" t="n">
        <v>0.08799999999999999</v>
      </c>
    </row>
    <row r="363" spans="1:13">
      <c r="A363" s="1">
        <f>HYPERLINK("http://www.twitter.com/NathanBLawrence/status/996108609628069889", "996108609628069889")</f>
        <v/>
      </c>
      <c r="B363" s="2" t="n">
        <v>43234.80755787037</v>
      </c>
      <c r="C363" t="n">
        <v>2</v>
      </c>
      <c r="D363" t="n">
        <v>0</v>
      </c>
      <c r="E363" t="s">
        <v>374</v>
      </c>
      <c r="F363" t="s"/>
      <c r="G363" t="s"/>
      <c r="H363" t="s"/>
      <c r="I363" t="s"/>
      <c r="J363" t="n">
        <v>0.7896</v>
      </c>
      <c r="K363" t="n">
        <v>0</v>
      </c>
      <c r="L363" t="n">
        <v>0.696</v>
      </c>
      <c r="M363" t="n">
        <v>0.304</v>
      </c>
    </row>
    <row r="364" spans="1:13">
      <c r="A364" s="1">
        <f>HYPERLINK("http://www.twitter.com/NathanBLawrence/status/996091122752589825", "996091122752589825")</f>
        <v/>
      </c>
      <c r="B364" s="2" t="n">
        <v>43234.75930555556</v>
      </c>
      <c r="C364" t="n">
        <v>1</v>
      </c>
      <c r="D364" t="n">
        <v>0</v>
      </c>
      <c r="E364" t="s">
        <v>375</v>
      </c>
      <c r="F364" t="s"/>
      <c r="G364" t="s"/>
      <c r="H364" t="s"/>
      <c r="I364" t="s"/>
      <c r="J364" t="n">
        <v>-0.5574</v>
      </c>
      <c r="K364" t="n">
        <v>0.643</v>
      </c>
      <c r="L364" t="n">
        <v>0.357</v>
      </c>
      <c r="M364" t="n">
        <v>0</v>
      </c>
    </row>
    <row r="365" spans="1:13">
      <c r="A365" s="1">
        <f>HYPERLINK("http://www.twitter.com/NathanBLawrence/status/996090352862932992", "996090352862932992")</f>
        <v/>
      </c>
      <c r="B365" s="2" t="n">
        <v>43234.7571875</v>
      </c>
      <c r="C365" t="n">
        <v>0</v>
      </c>
      <c r="D365" t="n">
        <v>0</v>
      </c>
      <c r="E365" t="s">
        <v>376</v>
      </c>
      <c r="F365" t="s"/>
      <c r="G365" t="s"/>
      <c r="H365" t="s"/>
      <c r="I365" t="s"/>
      <c r="J365" t="n">
        <v>-0.5423</v>
      </c>
      <c r="K365" t="n">
        <v>0.412</v>
      </c>
      <c r="L365" t="n">
        <v>0.588</v>
      </c>
      <c r="M365" t="n">
        <v>0</v>
      </c>
    </row>
    <row r="366" spans="1:13">
      <c r="A366" s="1">
        <f>HYPERLINK("http://www.twitter.com/NathanBLawrence/status/996089971135188992", "996089971135188992")</f>
        <v/>
      </c>
      <c r="B366" s="2" t="n">
        <v>43234.75613425926</v>
      </c>
      <c r="C366" t="n">
        <v>6</v>
      </c>
      <c r="D366" t="n">
        <v>1</v>
      </c>
      <c r="E366" t="s">
        <v>377</v>
      </c>
      <c r="F366" t="s"/>
      <c r="G366" t="s"/>
      <c r="H366" t="s"/>
      <c r="I366" t="s"/>
      <c r="J366" t="n">
        <v>0.6114000000000001</v>
      </c>
      <c r="K366" t="n">
        <v>0.104</v>
      </c>
      <c r="L366" t="n">
        <v>0.668</v>
      </c>
      <c r="M366" t="n">
        <v>0.228</v>
      </c>
    </row>
    <row r="367" spans="1:13">
      <c r="A367" s="1">
        <f>HYPERLINK("http://www.twitter.com/NathanBLawrence/status/996089593719074816", "996089593719074816")</f>
        <v/>
      </c>
      <c r="B367" s="2" t="n">
        <v>43234.75509259259</v>
      </c>
      <c r="C367" t="n">
        <v>0</v>
      </c>
      <c r="D367" t="n">
        <v>0</v>
      </c>
      <c r="E367" t="s">
        <v>378</v>
      </c>
      <c r="F367" t="s"/>
      <c r="G367" t="s"/>
      <c r="H367" t="s"/>
      <c r="I367" t="s"/>
      <c r="J367" t="n">
        <v>0.7184</v>
      </c>
      <c r="K367" t="n">
        <v>0</v>
      </c>
      <c r="L367" t="n">
        <v>0.5</v>
      </c>
      <c r="M367" t="n">
        <v>0.5</v>
      </c>
    </row>
    <row r="368" spans="1:13">
      <c r="A368" s="1">
        <f>HYPERLINK("http://www.twitter.com/NathanBLawrence/status/996089012325617669", "996089012325617669")</f>
        <v/>
      </c>
      <c r="B368" s="2" t="n">
        <v>43234.7534837963</v>
      </c>
      <c r="C368" t="n">
        <v>1</v>
      </c>
      <c r="D368" t="n">
        <v>0</v>
      </c>
      <c r="E368" t="s">
        <v>379</v>
      </c>
      <c r="F368" t="s"/>
      <c r="G368" t="s"/>
      <c r="H368" t="s"/>
      <c r="I368" t="s"/>
      <c r="J368" t="n">
        <v>-0.2023</v>
      </c>
      <c r="K368" t="n">
        <v>0.289</v>
      </c>
      <c r="L368" t="n">
        <v>0.526</v>
      </c>
      <c r="M368" t="n">
        <v>0.184</v>
      </c>
    </row>
    <row r="369" spans="1:13">
      <c r="A369" s="1">
        <f>HYPERLINK("http://www.twitter.com/NathanBLawrence/status/996073340354822150", "996073340354822150")</f>
        <v/>
      </c>
      <c r="B369" s="2" t="n">
        <v>43234.71024305555</v>
      </c>
      <c r="C369" t="n">
        <v>0</v>
      </c>
      <c r="D369" t="n">
        <v>474</v>
      </c>
      <c r="E369" t="s">
        <v>380</v>
      </c>
      <c r="F369" t="s"/>
      <c r="G369" t="s"/>
      <c r="H369" t="s"/>
      <c r="I369" t="s"/>
      <c r="J369" t="n">
        <v>0</v>
      </c>
      <c r="K369" t="n">
        <v>0</v>
      </c>
      <c r="L369" t="n">
        <v>1</v>
      </c>
      <c r="M369" t="n">
        <v>0</v>
      </c>
    </row>
    <row r="370" spans="1:13">
      <c r="A370" s="1">
        <f>HYPERLINK("http://www.twitter.com/NathanBLawrence/status/996073246918348800", "996073246918348800")</f>
        <v/>
      </c>
      <c r="B370" s="2" t="n">
        <v>43234.70997685185</v>
      </c>
      <c r="C370" t="n">
        <v>5</v>
      </c>
      <c r="D370" t="n">
        <v>4</v>
      </c>
      <c r="E370" t="s">
        <v>381</v>
      </c>
      <c r="F370" t="s"/>
      <c r="G370" t="s"/>
      <c r="H370" t="s"/>
      <c r="I370" t="s"/>
      <c r="J370" t="n">
        <v>0.34</v>
      </c>
      <c r="K370" t="n">
        <v>0.079</v>
      </c>
      <c r="L370" t="n">
        <v>0.793</v>
      </c>
      <c r="M370" t="n">
        <v>0.128</v>
      </c>
    </row>
    <row r="371" spans="1:13">
      <c r="A371" s="1">
        <f>HYPERLINK("http://www.twitter.com/NathanBLawrence/status/996072372615700480", "996072372615700480")</f>
        <v/>
      </c>
      <c r="B371" s="2" t="n">
        <v>43234.70756944444</v>
      </c>
      <c r="C371" t="n">
        <v>0</v>
      </c>
      <c r="D371" t="n">
        <v>0</v>
      </c>
      <c r="E371" t="s">
        <v>382</v>
      </c>
      <c r="F371" t="s"/>
      <c r="G371" t="s"/>
      <c r="H371" t="s"/>
      <c r="I371" t="s"/>
      <c r="J371" t="n">
        <v>0</v>
      </c>
      <c r="K371" t="n">
        <v>0</v>
      </c>
      <c r="L371" t="n">
        <v>1</v>
      </c>
      <c r="M371" t="n">
        <v>0</v>
      </c>
    </row>
    <row r="372" spans="1:13">
      <c r="A372" s="1">
        <f>HYPERLINK("http://www.twitter.com/NathanBLawrence/status/996072045959090176", "996072045959090176")</f>
        <v/>
      </c>
      <c r="B372" s="2" t="n">
        <v>43234.70666666667</v>
      </c>
      <c r="C372" t="n">
        <v>0</v>
      </c>
      <c r="D372" t="n">
        <v>455</v>
      </c>
      <c r="E372" t="s">
        <v>383</v>
      </c>
      <c r="F372">
        <f>HYPERLINK("http://pbs.twimg.com/media/DdH3_p3U0AA3BbF.jpg", "http://pbs.twimg.com/media/DdH3_p3U0AA3BbF.jpg")</f>
        <v/>
      </c>
      <c r="G372" t="s"/>
      <c r="H372" t="s"/>
      <c r="I372" t="s"/>
      <c r="J372" t="n">
        <v>-0.5994</v>
      </c>
      <c r="K372" t="n">
        <v>0.182</v>
      </c>
      <c r="L372" t="n">
        <v>0.8179999999999999</v>
      </c>
      <c r="M372" t="n">
        <v>0</v>
      </c>
    </row>
    <row r="373" spans="1:13">
      <c r="A373" s="1">
        <f>HYPERLINK("http://www.twitter.com/NathanBLawrence/status/996071380809584641", "996071380809584641")</f>
        <v/>
      </c>
      <c r="B373" s="2" t="n">
        <v>43234.70482638889</v>
      </c>
      <c r="C373" t="n">
        <v>0</v>
      </c>
      <c r="D373" t="n">
        <v>1043</v>
      </c>
      <c r="E373" t="s">
        <v>384</v>
      </c>
      <c r="F373">
        <f>HYPERLINK("https://video.twimg.com/ext_tw_video/996025918341574656/pu/vid/720x720/0nP2cWtrUIrPJkyE.mp4?tag=3", "https://video.twimg.com/ext_tw_video/996025918341574656/pu/vid/720x720/0nP2cWtrUIrPJkyE.mp4?tag=3")</f>
        <v/>
      </c>
      <c r="G373" t="s"/>
      <c r="H373" t="s"/>
      <c r="I373" t="s"/>
      <c r="J373" t="n">
        <v>0.2023</v>
      </c>
      <c r="K373" t="n">
        <v>0</v>
      </c>
      <c r="L373" t="n">
        <v>0.924</v>
      </c>
      <c r="M373" t="n">
        <v>0.076</v>
      </c>
    </row>
    <row r="374" spans="1:13">
      <c r="A374" s="1">
        <f>HYPERLINK("http://www.twitter.com/NathanBLawrence/status/996070813559414786", "996070813559414786")</f>
        <v/>
      </c>
      <c r="B374" s="2" t="n">
        <v>43234.70326388889</v>
      </c>
      <c r="C374" t="n">
        <v>3</v>
      </c>
      <c r="D374" t="n">
        <v>0</v>
      </c>
      <c r="E374" t="s">
        <v>385</v>
      </c>
      <c r="F374" t="s"/>
      <c r="G374" t="s"/>
      <c r="H374" t="s"/>
      <c r="I374" t="s"/>
      <c r="J374" t="n">
        <v>0</v>
      </c>
      <c r="K374" t="n">
        <v>0</v>
      </c>
      <c r="L374" t="n">
        <v>1</v>
      </c>
      <c r="M374" t="n">
        <v>0</v>
      </c>
    </row>
    <row r="375" spans="1:13">
      <c r="A375" s="1">
        <f>HYPERLINK("http://www.twitter.com/NathanBLawrence/status/996070538253496320", "996070538253496320")</f>
        <v/>
      </c>
      <c r="B375" s="2" t="n">
        <v>43234.70251157408</v>
      </c>
      <c r="C375" t="n">
        <v>2</v>
      </c>
      <c r="D375" t="n">
        <v>2</v>
      </c>
      <c r="E375" t="s">
        <v>386</v>
      </c>
      <c r="F375" t="s"/>
      <c r="G375" t="s"/>
      <c r="H375" t="s"/>
      <c r="I375" t="s"/>
      <c r="J375" t="n">
        <v>0.8504</v>
      </c>
      <c r="K375" t="n">
        <v>0.048</v>
      </c>
      <c r="L375" t="n">
        <v>0.6899999999999999</v>
      </c>
      <c r="M375" t="n">
        <v>0.262</v>
      </c>
    </row>
    <row r="376" spans="1:13">
      <c r="A376" s="1">
        <f>HYPERLINK("http://www.twitter.com/NathanBLawrence/status/996028975297302528", "996028975297302528")</f>
        <v/>
      </c>
      <c r="B376" s="2" t="n">
        <v>43234.5878125</v>
      </c>
      <c r="C376" t="n">
        <v>0</v>
      </c>
      <c r="D376" t="n">
        <v>7058</v>
      </c>
      <c r="E376" t="s">
        <v>387</v>
      </c>
      <c r="F376">
        <f>HYPERLINK("http://pbs.twimg.com/media/DdFTc_NWAAAooRR.jpg", "http://pbs.twimg.com/media/DdFTc_NWAAAooRR.jpg")</f>
        <v/>
      </c>
      <c r="G376">
        <f>HYPERLINK("http://pbs.twimg.com/media/DdFTc_MXUAURKrw.jpg", "http://pbs.twimg.com/media/DdFTc_MXUAURKrw.jpg")</f>
        <v/>
      </c>
      <c r="H376">
        <f>HYPERLINK("http://pbs.twimg.com/media/DdFTc_eWkAcbuaO.jpg", "http://pbs.twimg.com/media/DdFTc_eWkAcbuaO.jpg")</f>
        <v/>
      </c>
      <c r="I376" t="s"/>
      <c r="J376" t="n">
        <v>0</v>
      </c>
      <c r="K376" t="n">
        <v>0</v>
      </c>
      <c r="L376" t="n">
        <v>1</v>
      </c>
      <c r="M376" t="n">
        <v>0</v>
      </c>
    </row>
    <row r="377" spans="1:13">
      <c r="A377" s="1">
        <f>HYPERLINK("http://www.twitter.com/NathanBLawrence/status/996028836751073280", "996028836751073280")</f>
        <v/>
      </c>
      <c r="B377" s="2" t="n">
        <v>43234.58743055556</v>
      </c>
      <c r="C377" t="n">
        <v>1</v>
      </c>
      <c r="D377" t="n">
        <v>0</v>
      </c>
      <c r="E377" t="s">
        <v>388</v>
      </c>
      <c r="F377" t="s"/>
      <c r="G377" t="s"/>
      <c r="H377" t="s"/>
      <c r="I377" t="s"/>
      <c r="J377" t="n">
        <v>-0.6841</v>
      </c>
      <c r="K377" t="n">
        <v>0.216</v>
      </c>
      <c r="L377" t="n">
        <v>0.646</v>
      </c>
      <c r="M377" t="n">
        <v>0.138</v>
      </c>
    </row>
    <row r="378" spans="1:13">
      <c r="A378" s="1">
        <f>HYPERLINK("http://www.twitter.com/NathanBLawrence/status/996027139634888704", "996027139634888704")</f>
        <v/>
      </c>
      <c r="B378" s="2" t="n">
        <v>43234.58275462963</v>
      </c>
      <c r="C378" t="n">
        <v>0</v>
      </c>
      <c r="D378" t="n">
        <v>797</v>
      </c>
      <c r="E378" t="s">
        <v>389</v>
      </c>
      <c r="F378" t="s"/>
      <c r="G378" t="s"/>
      <c r="H378" t="s"/>
      <c r="I378" t="s"/>
      <c r="J378" t="n">
        <v>0</v>
      </c>
      <c r="K378" t="n">
        <v>0</v>
      </c>
      <c r="L378" t="n">
        <v>1</v>
      </c>
      <c r="M378" t="n">
        <v>0</v>
      </c>
    </row>
    <row r="379" spans="1:13">
      <c r="A379" s="1">
        <f>HYPERLINK("http://www.twitter.com/NathanBLawrence/status/996026058246934530", "996026058246934530")</f>
        <v/>
      </c>
      <c r="B379" s="2" t="n">
        <v>43234.57976851852</v>
      </c>
      <c r="C379" t="n">
        <v>0</v>
      </c>
      <c r="D379" t="n">
        <v>13</v>
      </c>
      <c r="E379" t="s">
        <v>390</v>
      </c>
      <c r="F379">
        <f>HYPERLINK("http://pbs.twimg.com/media/DdFpF2IUQAIae2O.jpg", "http://pbs.twimg.com/media/DdFpF2IUQAIae2O.jpg")</f>
        <v/>
      </c>
      <c r="G379" t="s"/>
      <c r="H379" t="s"/>
      <c r="I379" t="s"/>
      <c r="J379" t="n">
        <v>0</v>
      </c>
      <c r="K379" t="n">
        <v>0</v>
      </c>
      <c r="L379" t="n">
        <v>1</v>
      </c>
      <c r="M379" t="n">
        <v>0</v>
      </c>
    </row>
    <row r="380" spans="1:13">
      <c r="A380" s="1">
        <f>HYPERLINK("http://www.twitter.com/NathanBLawrence/status/996025666830323712", "996025666830323712")</f>
        <v/>
      </c>
      <c r="B380" s="2" t="n">
        <v>43234.57868055555</v>
      </c>
      <c r="C380" t="n">
        <v>1</v>
      </c>
      <c r="D380" t="n">
        <v>0</v>
      </c>
      <c r="E380" t="s">
        <v>391</v>
      </c>
      <c r="F380" t="s"/>
      <c r="G380" t="s"/>
      <c r="H380" t="s"/>
      <c r="I380" t="s"/>
      <c r="J380" t="n">
        <v>0</v>
      </c>
      <c r="K380" t="n">
        <v>0</v>
      </c>
      <c r="L380" t="n">
        <v>1</v>
      </c>
      <c r="M380" t="n">
        <v>0</v>
      </c>
    </row>
    <row r="381" spans="1:13">
      <c r="A381" s="1">
        <f>HYPERLINK("http://www.twitter.com/NathanBLawrence/status/996025552740941824", "996025552740941824")</f>
        <v/>
      </c>
      <c r="B381" s="2" t="n">
        <v>43234.57836805555</v>
      </c>
      <c r="C381" t="n">
        <v>1</v>
      </c>
      <c r="D381" t="n">
        <v>1</v>
      </c>
      <c r="E381" t="s">
        <v>392</v>
      </c>
      <c r="F381" t="s"/>
      <c r="G381" t="s"/>
      <c r="H381" t="s"/>
      <c r="I381" t="s"/>
      <c r="J381" t="n">
        <v>0</v>
      </c>
      <c r="K381" t="n">
        <v>0</v>
      </c>
      <c r="L381" t="n">
        <v>1</v>
      </c>
      <c r="M381" t="n">
        <v>0</v>
      </c>
    </row>
    <row r="382" spans="1:13">
      <c r="A382" s="1">
        <f>HYPERLINK("http://www.twitter.com/NathanBLawrence/status/996025236884738048", "996025236884738048")</f>
        <v/>
      </c>
      <c r="B382" s="2" t="n">
        <v>43234.5775</v>
      </c>
      <c r="C382" t="n">
        <v>3</v>
      </c>
      <c r="D382" t="n">
        <v>2</v>
      </c>
      <c r="E382" t="s">
        <v>393</v>
      </c>
      <c r="F382" t="s"/>
      <c r="G382" t="s"/>
      <c r="H382" t="s"/>
      <c r="I382" t="s"/>
      <c r="J382" t="n">
        <v>0</v>
      </c>
      <c r="K382" t="n">
        <v>0</v>
      </c>
      <c r="L382" t="n">
        <v>1</v>
      </c>
      <c r="M382" t="n">
        <v>0</v>
      </c>
    </row>
    <row r="383" spans="1:13">
      <c r="A383" s="1">
        <f>HYPERLINK("http://www.twitter.com/NathanBLawrence/status/996023984759234562", "996023984759234562")</f>
        <v/>
      </c>
      <c r="B383" s="2" t="n">
        <v>43234.57403935185</v>
      </c>
      <c r="C383" t="n">
        <v>2</v>
      </c>
      <c r="D383" t="n">
        <v>2</v>
      </c>
      <c r="E383" t="s">
        <v>394</v>
      </c>
      <c r="F383" t="s"/>
      <c r="G383" t="s"/>
      <c r="H383" t="s"/>
      <c r="I383" t="s"/>
      <c r="J383" t="n">
        <v>0.6369</v>
      </c>
      <c r="K383" t="n">
        <v>0</v>
      </c>
      <c r="L383" t="n">
        <v>0.846</v>
      </c>
      <c r="M383" t="n">
        <v>0.154</v>
      </c>
    </row>
    <row r="384" spans="1:13">
      <c r="A384" s="1">
        <f>HYPERLINK("http://www.twitter.com/NathanBLawrence/status/996023052277346304", "996023052277346304")</f>
        <v/>
      </c>
      <c r="B384" s="2" t="n">
        <v>43234.57146990741</v>
      </c>
      <c r="C384" t="n">
        <v>0</v>
      </c>
      <c r="D384" t="n">
        <v>0</v>
      </c>
      <c r="E384" t="s">
        <v>395</v>
      </c>
      <c r="F384" t="s"/>
      <c r="G384" t="s"/>
      <c r="H384" t="s"/>
      <c r="I384" t="s"/>
      <c r="J384" t="n">
        <v>-0.9231</v>
      </c>
      <c r="K384" t="n">
        <v>0.388</v>
      </c>
      <c r="L384" t="n">
        <v>0.612</v>
      </c>
      <c r="M384" t="n">
        <v>0</v>
      </c>
    </row>
    <row r="385" spans="1:13">
      <c r="A385" s="1">
        <f>HYPERLINK("http://www.twitter.com/NathanBLawrence/status/996022472486113280", "996022472486113280")</f>
        <v/>
      </c>
      <c r="B385" s="2" t="n">
        <v>43234.56987268518</v>
      </c>
      <c r="C385" t="n">
        <v>0</v>
      </c>
      <c r="D385" t="n">
        <v>15</v>
      </c>
      <c r="E385" t="s">
        <v>396</v>
      </c>
      <c r="F385">
        <f>HYPERLINK("http://pbs.twimg.com/media/DdKKwCDW4AEa_tu.jpg", "http://pbs.twimg.com/media/DdKKwCDW4AEa_tu.jpg")</f>
        <v/>
      </c>
      <c r="G385" t="s"/>
      <c r="H385" t="s"/>
      <c r="I385" t="s"/>
      <c r="J385" t="n">
        <v>-0.2732</v>
      </c>
      <c r="K385" t="n">
        <v>0.095</v>
      </c>
      <c r="L385" t="n">
        <v>0.905</v>
      </c>
      <c r="M385" t="n">
        <v>0</v>
      </c>
    </row>
    <row r="386" spans="1:13">
      <c r="A386" s="1">
        <f>HYPERLINK("http://www.twitter.com/NathanBLawrence/status/996022425728028673", "996022425728028673")</f>
        <v/>
      </c>
      <c r="B386" s="2" t="n">
        <v>43234.56974537037</v>
      </c>
      <c r="C386" t="n">
        <v>1</v>
      </c>
      <c r="D386" t="n">
        <v>1</v>
      </c>
      <c r="E386" t="s">
        <v>397</v>
      </c>
      <c r="F386" t="s"/>
      <c r="G386" t="s"/>
      <c r="H386" t="s"/>
      <c r="I386" t="s"/>
      <c r="J386" t="n">
        <v>-0.3612</v>
      </c>
      <c r="K386" t="n">
        <v>0.185</v>
      </c>
      <c r="L386" t="n">
        <v>0.8149999999999999</v>
      </c>
      <c r="M386" t="n">
        <v>0</v>
      </c>
    </row>
    <row r="387" spans="1:13">
      <c r="A387" s="1">
        <f>HYPERLINK("http://www.twitter.com/NathanBLawrence/status/996021995337895938", "996021995337895938")</f>
        <v/>
      </c>
      <c r="B387" s="2" t="n">
        <v>43234.56855324074</v>
      </c>
      <c r="C387" t="n">
        <v>3</v>
      </c>
      <c r="D387" t="n">
        <v>0</v>
      </c>
      <c r="E387" t="s">
        <v>398</v>
      </c>
      <c r="F387" t="s"/>
      <c r="G387" t="s"/>
      <c r="H387" t="s"/>
      <c r="I387" t="s"/>
      <c r="J387" t="n">
        <v>0</v>
      </c>
      <c r="K387" t="n">
        <v>0</v>
      </c>
      <c r="L387" t="n">
        <v>1</v>
      </c>
      <c r="M387" t="n">
        <v>0</v>
      </c>
    </row>
    <row r="388" spans="1:13">
      <c r="A388" s="1">
        <f>HYPERLINK("http://www.twitter.com/NathanBLawrence/status/996021715263217666", "996021715263217666")</f>
        <v/>
      </c>
      <c r="B388" s="2" t="n">
        <v>43234.56777777777</v>
      </c>
      <c r="C388" t="n">
        <v>4</v>
      </c>
      <c r="D388" t="n">
        <v>0</v>
      </c>
      <c r="E388" t="s">
        <v>399</v>
      </c>
      <c r="F388" t="s"/>
      <c r="G388" t="s"/>
      <c r="H388" t="s"/>
      <c r="I388" t="s"/>
      <c r="J388" t="n">
        <v>0.34</v>
      </c>
      <c r="K388" t="n">
        <v>0</v>
      </c>
      <c r="L388" t="n">
        <v>0.893</v>
      </c>
      <c r="M388" t="n">
        <v>0.107</v>
      </c>
    </row>
    <row r="389" spans="1:13">
      <c r="A389" s="1">
        <f>HYPERLINK("http://www.twitter.com/NathanBLawrence/status/996006114247565312", "996006114247565312")</f>
        <v/>
      </c>
      <c r="B389" s="2" t="n">
        <v>43234.52473379629</v>
      </c>
      <c r="C389" t="n">
        <v>2</v>
      </c>
      <c r="D389" t="n">
        <v>0</v>
      </c>
      <c r="E389" t="s">
        <v>400</v>
      </c>
      <c r="F389" t="s"/>
      <c r="G389" t="s"/>
      <c r="H389" t="s"/>
      <c r="I389" t="s"/>
      <c r="J389" t="n">
        <v>0.5106000000000001</v>
      </c>
      <c r="K389" t="n">
        <v>0</v>
      </c>
      <c r="L389" t="n">
        <v>0.864</v>
      </c>
      <c r="M389" t="n">
        <v>0.136</v>
      </c>
    </row>
    <row r="390" spans="1:13">
      <c r="A390" s="1">
        <f>HYPERLINK("http://www.twitter.com/NathanBLawrence/status/995987524869918720", "995987524869918720")</f>
        <v/>
      </c>
      <c r="B390" s="2" t="n">
        <v>43234.4734375</v>
      </c>
      <c r="C390" t="n">
        <v>0</v>
      </c>
      <c r="D390" t="n">
        <v>2</v>
      </c>
      <c r="E390" t="s">
        <v>401</v>
      </c>
      <c r="F390" t="s"/>
      <c r="G390" t="s"/>
      <c r="H390" t="s"/>
      <c r="I390" t="s"/>
      <c r="J390" t="n">
        <v>0</v>
      </c>
      <c r="K390" t="n">
        <v>0</v>
      </c>
      <c r="L390" t="n">
        <v>1</v>
      </c>
      <c r="M390" t="n">
        <v>0</v>
      </c>
    </row>
    <row r="391" spans="1:13">
      <c r="A391" s="1">
        <f>HYPERLINK("http://www.twitter.com/NathanBLawrence/status/995850798302158848", "995850798302158848")</f>
        <v/>
      </c>
      <c r="B391" s="2" t="n">
        <v>43234.09613425926</v>
      </c>
      <c r="C391" t="n">
        <v>0</v>
      </c>
      <c r="D391" t="n">
        <v>2</v>
      </c>
      <c r="E391" t="s">
        <v>402</v>
      </c>
      <c r="F391" t="s"/>
      <c r="G391" t="s"/>
      <c r="H391" t="s"/>
      <c r="I391" t="s"/>
      <c r="J391" t="n">
        <v>-0.8221000000000001</v>
      </c>
      <c r="K391" t="n">
        <v>0.197</v>
      </c>
      <c r="L391" t="n">
        <v>0.803</v>
      </c>
      <c r="M391" t="n">
        <v>0</v>
      </c>
    </row>
    <row r="392" spans="1:13">
      <c r="A392" s="1">
        <f>HYPERLINK("http://www.twitter.com/NathanBLawrence/status/995818876997906432", "995818876997906432")</f>
        <v/>
      </c>
      <c r="B392" s="2" t="n">
        <v>43234.00805555555</v>
      </c>
      <c r="C392" t="n">
        <v>1</v>
      </c>
      <c r="D392" t="n">
        <v>0</v>
      </c>
      <c r="E392" t="s">
        <v>403</v>
      </c>
      <c r="F392" t="s"/>
      <c r="G392" t="s"/>
      <c r="H392" t="s"/>
      <c r="I392" t="s"/>
      <c r="J392" t="n">
        <v>0</v>
      </c>
      <c r="K392" t="n">
        <v>0</v>
      </c>
      <c r="L392" t="n">
        <v>1</v>
      </c>
      <c r="M392" t="n">
        <v>0</v>
      </c>
    </row>
    <row r="393" spans="1:13">
      <c r="A393" s="1">
        <f>HYPERLINK("http://www.twitter.com/NathanBLawrence/status/995818585854529536", "995818585854529536")</f>
        <v/>
      </c>
      <c r="B393" s="2" t="n">
        <v>43234.00724537037</v>
      </c>
      <c r="C393" t="n">
        <v>0</v>
      </c>
      <c r="D393" t="n">
        <v>19</v>
      </c>
      <c r="E393" t="s">
        <v>404</v>
      </c>
      <c r="F393" t="s"/>
      <c r="G393" t="s"/>
      <c r="H393" t="s"/>
      <c r="I393" t="s"/>
      <c r="J393" t="n">
        <v>0.7964</v>
      </c>
      <c r="K393" t="n">
        <v>0.074</v>
      </c>
      <c r="L393" t="n">
        <v>0.636</v>
      </c>
      <c r="M393" t="n">
        <v>0.29</v>
      </c>
    </row>
    <row r="394" spans="1:13">
      <c r="A394" s="1">
        <f>HYPERLINK("http://www.twitter.com/NathanBLawrence/status/995816098888126465", "995816098888126465")</f>
        <v/>
      </c>
      <c r="B394" s="2" t="n">
        <v>43234.00039351852</v>
      </c>
      <c r="C394" t="n">
        <v>0</v>
      </c>
      <c r="D394" t="n">
        <v>159</v>
      </c>
      <c r="E394" t="s">
        <v>405</v>
      </c>
      <c r="F394">
        <f>HYPERLINK("http://pbs.twimg.com/media/DdFUndlU8AIUY_w.jpg", "http://pbs.twimg.com/media/DdFUndlU8AIUY_w.jpg")</f>
        <v/>
      </c>
      <c r="G394" t="s"/>
      <c r="H394" t="s"/>
      <c r="I394" t="s"/>
      <c r="J394" t="n">
        <v>0.9468</v>
      </c>
      <c r="K394" t="n">
        <v>0</v>
      </c>
      <c r="L394" t="n">
        <v>0.494</v>
      </c>
      <c r="M394" t="n">
        <v>0.506</v>
      </c>
    </row>
    <row r="395" spans="1:13">
      <c r="A395" s="1">
        <f>HYPERLINK("http://www.twitter.com/NathanBLawrence/status/995815842507091969", "995815842507091969")</f>
        <v/>
      </c>
      <c r="B395" s="2" t="n">
        <v>43233.99967592592</v>
      </c>
      <c r="C395" t="n">
        <v>0</v>
      </c>
      <c r="D395" t="n">
        <v>65</v>
      </c>
      <c r="E395" t="s">
        <v>406</v>
      </c>
      <c r="F395" t="s"/>
      <c r="G395" t="s"/>
      <c r="H395" t="s"/>
      <c r="I395" t="s"/>
      <c r="J395" t="n">
        <v>-0.4019</v>
      </c>
      <c r="K395" t="n">
        <v>0.114</v>
      </c>
      <c r="L395" t="n">
        <v>0.886</v>
      </c>
      <c r="M395" t="n">
        <v>0</v>
      </c>
    </row>
    <row r="396" spans="1:13">
      <c r="A396" s="1">
        <f>HYPERLINK("http://www.twitter.com/NathanBLawrence/status/995815296169578496", "995815296169578496")</f>
        <v/>
      </c>
      <c r="B396" s="2" t="n">
        <v>43233.9981712963</v>
      </c>
      <c r="C396" t="n">
        <v>0</v>
      </c>
      <c r="D396" t="n">
        <v>335</v>
      </c>
      <c r="E396" t="s">
        <v>407</v>
      </c>
      <c r="F396" t="s"/>
      <c r="G396" t="s"/>
      <c r="H396" t="s"/>
      <c r="I396" t="s"/>
      <c r="J396" t="n">
        <v>0.3182</v>
      </c>
      <c r="K396" t="n">
        <v>0.077</v>
      </c>
      <c r="L396" t="n">
        <v>0.769</v>
      </c>
      <c r="M396" t="n">
        <v>0.154</v>
      </c>
    </row>
    <row r="397" spans="1:13">
      <c r="A397" s="1">
        <f>HYPERLINK("http://www.twitter.com/NathanBLawrence/status/995797469979119616", "995797469979119616")</f>
        <v/>
      </c>
      <c r="B397" s="2" t="n">
        <v>43233.94898148148</v>
      </c>
      <c r="C397" t="n">
        <v>4</v>
      </c>
      <c r="D397" t="n">
        <v>0</v>
      </c>
      <c r="E397" t="s">
        <v>408</v>
      </c>
      <c r="F397" t="s"/>
      <c r="G397" t="s"/>
      <c r="H397" t="s"/>
      <c r="I397" t="s"/>
      <c r="J397" t="n">
        <v>0.4404</v>
      </c>
      <c r="K397" t="n">
        <v>0</v>
      </c>
      <c r="L397" t="n">
        <v>0.919</v>
      </c>
      <c r="M397" t="n">
        <v>0.081</v>
      </c>
    </row>
    <row r="398" spans="1:13">
      <c r="A398" s="1">
        <f>HYPERLINK("http://www.twitter.com/NathanBLawrence/status/995796648923160577", "995796648923160577")</f>
        <v/>
      </c>
      <c r="B398" s="2" t="n">
        <v>43233.94671296296</v>
      </c>
      <c r="C398" t="n">
        <v>0</v>
      </c>
      <c r="D398" t="n">
        <v>3</v>
      </c>
      <c r="E398" t="s">
        <v>409</v>
      </c>
      <c r="F398" t="s"/>
      <c r="G398" t="s"/>
      <c r="H398" t="s"/>
      <c r="I398" t="s"/>
      <c r="J398" t="n">
        <v>0</v>
      </c>
      <c r="K398" t="n">
        <v>0</v>
      </c>
      <c r="L398" t="n">
        <v>1</v>
      </c>
      <c r="M398" t="n">
        <v>0</v>
      </c>
    </row>
    <row r="399" spans="1:13">
      <c r="A399" s="1">
        <f>HYPERLINK("http://www.twitter.com/NathanBLawrence/status/995772862228320262", "995772862228320262")</f>
        <v/>
      </c>
      <c r="B399" s="2" t="n">
        <v>43233.88107638889</v>
      </c>
      <c r="C399" t="n">
        <v>11</v>
      </c>
      <c r="D399" t="n">
        <v>0</v>
      </c>
      <c r="E399" t="s">
        <v>410</v>
      </c>
      <c r="F399">
        <f>HYPERLINK("http://pbs.twimg.com/media/DdGyCjgUwAA2ESy.jpg", "http://pbs.twimg.com/media/DdGyCjgUwAA2ESy.jpg")</f>
        <v/>
      </c>
      <c r="G399" t="s"/>
      <c r="H399" t="s"/>
      <c r="I399" t="s"/>
      <c r="J399" t="n">
        <v>-0.5562</v>
      </c>
      <c r="K399" t="n">
        <v>0.08799999999999999</v>
      </c>
      <c r="L399" t="n">
        <v>0.912</v>
      </c>
      <c r="M399" t="n">
        <v>0</v>
      </c>
    </row>
    <row r="400" spans="1:13">
      <c r="A400" s="1">
        <f>HYPERLINK("http://www.twitter.com/NathanBLawrence/status/995707635038150658", "995707635038150658")</f>
        <v/>
      </c>
      <c r="B400" s="2" t="n">
        <v>43233.70108796296</v>
      </c>
      <c r="C400" t="n">
        <v>0</v>
      </c>
      <c r="D400" t="n">
        <v>0</v>
      </c>
      <c r="E400" t="s">
        <v>411</v>
      </c>
      <c r="F400" t="s"/>
      <c r="G400" t="s"/>
      <c r="H400" t="s"/>
      <c r="I400" t="s"/>
      <c r="J400" t="n">
        <v>0.7027</v>
      </c>
      <c r="K400" t="n">
        <v>0</v>
      </c>
      <c r="L400" t="n">
        <v>0.592</v>
      </c>
      <c r="M400" t="n">
        <v>0.408</v>
      </c>
    </row>
    <row r="401" spans="1:13">
      <c r="A401" s="1">
        <f>HYPERLINK("http://www.twitter.com/NathanBLawrence/status/995706877886586880", "995706877886586880")</f>
        <v/>
      </c>
      <c r="B401" s="2" t="n">
        <v>43233.69899305556</v>
      </c>
      <c r="C401" t="n">
        <v>3</v>
      </c>
      <c r="D401" t="n">
        <v>0</v>
      </c>
      <c r="E401" t="s">
        <v>412</v>
      </c>
      <c r="F401" t="s"/>
      <c r="G401" t="s"/>
      <c r="H401" t="s"/>
      <c r="I401" t="s"/>
      <c r="J401" t="n">
        <v>0</v>
      </c>
      <c r="K401" t="n">
        <v>0</v>
      </c>
      <c r="L401" t="n">
        <v>1</v>
      </c>
      <c r="M401" t="n">
        <v>0</v>
      </c>
    </row>
    <row r="402" spans="1:13">
      <c r="A402" s="1">
        <f>HYPERLINK("http://www.twitter.com/NathanBLawrence/status/995690676275867648", "995690676275867648")</f>
        <v/>
      </c>
      <c r="B402" s="2" t="n">
        <v>43233.65428240741</v>
      </c>
      <c r="C402" t="n">
        <v>0</v>
      </c>
      <c r="D402" t="n">
        <v>0</v>
      </c>
      <c r="E402" t="s">
        <v>413</v>
      </c>
      <c r="F402" t="s"/>
      <c r="G402" t="s"/>
      <c r="H402" t="s"/>
      <c r="I402" t="s"/>
      <c r="J402" t="n">
        <v>0</v>
      </c>
      <c r="K402" t="n">
        <v>0</v>
      </c>
      <c r="L402" t="n">
        <v>1</v>
      </c>
      <c r="M402" t="n">
        <v>0</v>
      </c>
    </row>
    <row r="403" spans="1:13">
      <c r="A403" s="1">
        <f>HYPERLINK("http://www.twitter.com/NathanBLawrence/status/995690183201886208", "995690183201886208")</f>
        <v/>
      </c>
      <c r="B403" s="2" t="n">
        <v>43233.65292824074</v>
      </c>
      <c r="C403" t="n">
        <v>0</v>
      </c>
      <c r="D403" t="n">
        <v>0</v>
      </c>
      <c r="E403" t="s">
        <v>414</v>
      </c>
      <c r="F403">
        <f>HYPERLINK("http://pbs.twimg.com/media/DdFm8FzW0AIfcQI.jpg", "http://pbs.twimg.com/media/DdFm8FzW0AIfcQI.jpg")</f>
        <v/>
      </c>
      <c r="G403" t="s"/>
      <c r="H403" t="s"/>
      <c r="I403" t="s"/>
      <c r="J403" t="n">
        <v>0</v>
      </c>
      <c r="K403" t="n">
        <v>0</v>
      </c>
      <c r="L403" t="n">
        <v>1</v>
      </c>
      <c r="M403" t="n">
        <v>0</v>
      </c>
    </row>
    <row r="404" spans="1:13">
      <c r="A404" s="1">
        <f>HYPERLINK("http://www.twitter.com/NathanBLawrence/status/995682615339507714", "995682615339507714")</f>
        <v/>
      </c>
      <c r="B404" s="2" t="n">
        <v>43233.63204861111</v>
      </c>
      <c r="C404" t="n">
        <v>0</v>
      </c>
      <c r="D404" t="n">
        <v>0</v>
      </c>
      <c r="E404" t="s">
        <v>415</v>
      </c>
      <c r="F404">
        <f>HYPERLINK("https://video.twimg.com/ext_tw_video/995682558405787649/pu/vid/720x1280/HUEmT_9Xd7NZoxxH.mp4?tag=3", "https://video.twimg.com/ext_tw_video/995682558405787649/pu/vid/720x1280/HUEmT_9Xd7NZoxxH.mp4?tag=3")</f>
        <v/>
      </c>
      <c r="G404" t="s"/>
      <c r="H404" t="s"/>
      <c r="I404" t="s"/>
      <c r="J404" t="n">
        <v>0</v>
      </c>
      <c r="K404" t="n">
        <v>0</v>
      </c>
      <c r="L404" t="n">
        <v>1</v>
      </c>
      <c r="M404" t="n">
        <v>0</v>
      </c>
    </row>
    <row r="405" spans="1:13">
      <c r="A405" s="1">
        <f>HYPERLINK("http://www.twitter.com/NathanBLawrence/status/995682132239503360", "995682132239503360")</f>
        <v/>
      </c>
      <c r="B405" s="2" t="n">
        <v>43233.63070601852</v>
      </c>
      <c r="C405" t="n">
        <v>0</v>
      </c>
      <c r="D405" t="n">
        <v>0</v>
      </c>
      <c r="E405" t="s">
        <v>416</v>
      </c>
      <c r="F405" t="s"/>
      <c r="G405" t="s"/>
      <c r="H405" t="s"/>
      <c r="I405" t="s"/>
      <c r="J405" t="n">
        <v>0</v>
      </c>
      <c r="K405" t="n">
        <v>0</v>
      </c>
      <c r="L405" t="n">
        <v>1</v>
      </c>
      <c r="M405" t="n">
        <v>0</v>
      </c>
    </row>
    <row r="406" spans="1:13">
      <c r="A406" s="1">
        <f>HYPERLINK("http://www.twitter.com/NathanBLawrence/status/995675457394798593", "995675457394798593")</f>
        <v/>
      </c>
      <c r="B406" s="2" t="n">
        <v>43233.61229166666</v>
      </c>
      <c r="C406" t="n">
        <v>3</v>
      </c>
      <c r="D406" t="n">
        <v>0</v>
      </c>
      <c r="E406" t="s">
        <v>417</v>
      </c>
      <c r="F406" t="s"/>
      <c r="G406" t="s"/>
      <c r="H406" t="s"/>
      <c r="I406" t="s"/>
      <c r="J406" t="n">
        <v>0</v>
      </c>
      <c r="K406" t="n">
        <v>0</v>
      </c>
      <c r="L406" t="n">
        <v>1</v>
      </c>
      <c r="M406" t="n">
        <v>0</v>
      </c>
    </row>
    <row r="407" spans="1:13">
      <c r="A407" s="1">
        <f>HYPERLINK("http://www.twitter.com/NathanBLawrence/status/995668800237383680", "995668800237383680")</f>
        <v/>
      </c>
      <c r="B407" s="2" t="n">
        <v>43233.59392361111</v>
      </c>
      <c r="C407" t="n">
        <v>0</v>
      </c>
      <c r="D407" t="n">
        <v>0</v>
      </c>
      <c r="E407" t="s">
        <v>418</v>
      </c>
      <c r="F407" t="s"/>
      <c r="G407" t="s"/>
      <c r="H407" t="s"/>
      <c r="I407" t="s"/>
      <c r="J407" t="n">
        <v>0</v>
      </c>
      <c r="K407" t="n">
        <v>0</v>
      </c>
      <c r="L407" t="n">
        <v>1</v>
      </c>
      <c r="M407" t="n">
        <v>0</v>
      </c>
    </row>
    <row r="408" spans="1:13">
      <c r="A408" s="1">
        <f>HYPERLINK("http://www.twitter.com/NathanBLawrence/status/995668286946840576", "995668286946840576")</f>
        <v/>
      </c>
      <c r="B408" s="2" t="n">
        <v>43233.5925</v>
      </c>
      <c r="C408" t="n">
        <v>1</v>
      </c>
      <c r="D408" t="n">
        <v>0</v>
      </c>
      <c r="E408" t="s">
        <v>419</v>
      </c>
      <c r="F408" t="s"/>
      <c r="G408" t="s"/>
      <c r="H408" t="s"/>
      <c r="I408" t="s"/>
      <c r="J408" t="n">
        <v>0</v>
      </c>
      <c r="K408" t="n">
        <v>0</v>
      </c>
      <c r="L408" t="n">
        <v>1</v>
      </c>
      <c r="M408" t="n">
        <v>0</v>
      </c>
    </row>
    <row r="409" spans="1:13">
      <c r="A409" s="1">
        <f>HYPERLINK("http://www.twitter.com/NathanBLawrence/status/995664633712267265", "995664633712267265")</f>
        <v/>
      </c>
      <c r="B409" s="2" t="n">
        <v>43233.58241898148</v>
      </c>
      <c r="C409" t="n">
        <v>0</v>
      </c>
      <c r="D409" t="n">
        <v>237</v>
      </c>
      <c r="E409" t="s">
        <v>420</v>
      </c>
      <c r="F409">
        <f>HYPERLINK("http://pbs.twimg.com/media/DdFL-smX4AE2E-g.jpg", "http://pbs.twimg.com/media/DdFL-smX4AE2E-g.jpg")</f>
        <v/>
      </c>
      <c r="G409" t="s"/>
      <c r="H409" t="s"/>
      <c r="I409" t="s"/>
      <c r="J409" t="n">
        <v>0.9403</v>
      </c>
      <c r="K409" t="n">
        <v>0</v>
      </c>
      <c r="L409" t="n">
        <v>0.532</v>
      </c>
      <c r="M409" t="n">
        <v>0.468</v>
      </c>
    </row>
    <row r="410" spans="1:13">
      <c r="A410" s="1">
        <f>HYPERLINK("http://www.twitter.com/NathanBLawrence/status/995664323279286272", "995664323279286272")</f>
        <v/>
      </c>
      <c r="B410" s="2" t="n">
        <v>43233.5815625</v>
      </c>
      <c r="C410" t="n">
        <v>5</v>
      </c>
      <c r="D410" t="n">
        <v>0</v>
      </c>
      <c r="E410" t="s">
        <v>421</v>
      </c>
      <c r="F410">
        <f>HYPERLINK("http://pbs.twimg.com/media/DdFPa1-VQAAPp1q.jpg", "http://pbs.twimg.com/media/DdFPa1-VQAAPp1q.jpg")</f>
        <v/>
      </c>
      <c r="G410" t="s"/>
      <c r="H410" t="s"/>
      <c r="I410" t="s"/>
      <c r="J410" t="n">
        <v>0</v>
      </c>
      <c r="K410" t="n">
        <v>0</v>
      </c>
      <c r="L410" t="n">
        <v>1</v>
      </c>
      <c r="M410" t="n">
        <v>0</v>
      </c>
    </row>
    <row r="411" spans="1:13">
      <c r="A411" s="1">
        <f>HYPERLINK("http://www.twitter.com/NathanBLawrence/status/995663648860377088", "995663648860377088")</f>
        <v/>
      </c>
      <c r="B411" s="2" t="n">
        <v>43233.57971064815</v>
      </c>
      <c r="C411" t="n">
        <v>1</v>
      </c>
      <c r="D411" t="n">
        <v>0</v>
      </c>
      <c r="E411" t="s">
        <v>422</v>
      </c>
      <c r="F411" t="s"/>
      <c r="G411" t="s"/>
      <c r="H411" t="s"/>
      <c r="I411" t="s"/>
      <c r="J411" t="n">
        <v>0.8070000000000001</v>
      </c>
      <c r="K411" t="n">
        <v>0</v>
      </c>
      <c r="L411" t="n">
        <v>0.601</v>
      </c>
      <c r="M411" t="n">
        <v>0.399</v>
      </c>
    </row>
    <row r="412" spans="1:13">
      <c r="A412" s="1">
        <f>HYPERLINK("http://www.twitter.com/NathanBLawrence/status/995662198847561729", "995662198847561729")</f>
        <v/>
      </c>
      <c r="B412" s="2" t="n">
        <v>43233.57570601852</v>
      </c>
      <c r="C412" t="n">
        <v>0</v>
      </c>
      <c r="D412" t="n">
        <v>0</v>
      </c>
      <c r="E412" t="s">
        <v>423</v>
      </c>
      <c r="F412" t="s"/>
      <c r="G412" t="s"/>
      <c r="H412" t="s"/>
      <c r="I412" t="s"/>
      <c r="J412" t="n">
        <v>0.7518</v>
      </c>
      <c r="K412" t="n">
        <v>0</v>
      </c>
      <c r="L412" t="n">
        <v>0.789</v>
      </c>
      <c r="M412" t="n">
        <v>0.211</v>
      </c>
    </row>
    <row r="413" spans="1:13">
      <c r="A413" s="1">
        <f>HYPERLINK("http://www.twitter.com/NathanBLawrence/status/995661719816081409", "995661719816081409")</f>
        <v/>
      </c>
      <c r="B413" s="2" t="n">
        <v>43233.57438657407</v>
      </c>
      <c r="C413" t="n">
        <v>0</v>
      </c>
      <c r="D413" t="n">
        <v>1</v>
      </c>
      <c r="E413" t="s">
        <v>424</v>
      </c>
      <c r="F413" t="s"/>
      <c r="G413" t="s"/>
      <c r="H413" t="s"/>
      <c r="I413" t="s"/>
      <c r="J413" t="n">
        <v>-0.1779</v>
      </c>
      <c r="K413" t="n">
        <v>0.046</v>
      </c>
      <c r="L413" t="n">
        <v>0.954</v>
      </c>
      <c r="M413" t="n">
        <v>0</v>
      </c>
    </row>
    <row r="414" spans="1:13">
      <c r="A414" s="1">
        <f>HYPERLINK("http://www.twitter.com/NathanBLawrence/status/995660597407690754", "995660597407690754")</f>
        <v/>
      </c>
      <c r="B414" s="2" t="n">
        <v>43233.57128472222</v>
      </c>
      <c r="C414" t="n">
        <v>1</v>
      </c>
      <c r="D414" t="n">
        <v>0</v>
      </c>
      <c r="E414" t="s">
        <v>425</v>
      </c>
      <c r="F414" t="s"/>
      <c r="G414" t="s"/>
      <c r="H414" t="s"/>
      <c r="I414" t="s"/>
      <c r="J414" t="n">
        <v>0</v>
      </c>
      <c r="K414" t="n">
        <v>0</v>
      </c>
      <c r="L414" t="n">
        <v>1</v>
      </c>
      <c r="M414" t="n">
        <v>0</v>
      </c>
    </row>
    <row r="415" spans="1:13">
      <c r="A415" s="1">
        <f>HYPERLINK("http://www.twitter.com/NathanBLawrence/status/995525798072340480", "995525798072340480")</f>
        <v/>
      </c>
      <c r="B415" s="2" t="n">
        <v>43233.19930555556</v>
      </c>
      <c r="C415" t="n">
        <v>0</v>
      </c>
      <c r="D415" t="n">
        <v>12</v>
      </c>
      <c r="E415" t="s">
        <v>426</v>
      </c>
      <c r="F415">
        <f>HYPERLINK("http://pbs.twimg.com/media/Dc2NpIEV0AAsbZy.jpg", "http://pbs.twimg.com/media/Dc2NpIEV0AAsbZy.jpg")</f>
        <v/>
      </c>
      <c r="G415" t="s"/>
      <c r="H415" t="s"/>
      <c r="I415" t="s"/>
      <c r="J415" t="n">
        <v>0</v>
      </c>
      <c r="K415" t="n">
        <v>0</v>
      </c>
      <c r="L415" t="n">
        <v>1</v>
      </c>
      <c r="M415" t="n">
        <v>0</v>
      </c>
    </row>
    <row r="416" spans="1:13">
      <c r="A416" s="1">
        <f>HYPERLINK("http://www.twitter.com/NathanBLawrence/status/995525678048202752", "995525678048202752")</f>
        <v/>
      </c>
      <c r="B416" s="2" t="n">
        <v>43233.19898148148</v>
      </c>
      <c r="C416" t="n">
        <v>11</v>
      </c>
      <c r="D416" t="n">
        <v>3</v>
      </c>
      <c r="E416" t="s">
        <v>427</v>
      </c>
      <c r="F416" t="s"/>
      <c r="G416" t="s"/>
      <c r="H416" t="s"/>
      <c r="I416" t="s"/>
      <c r="J416" t="n">
        <v>0</v>
      </c>
      <c r="K416" t="n">
        <v>0</v>
      </c>
      <c r="L416" t="n">
        <v>1</v>
      </c>
      <c r="M416" t="n">
        <v>0</v>
      </c>
    </row>
    <row r="417" spans="1:13">
      <c r="A417" s="1">
        <f>HYPERLINK("http://www.twitter.com/NathanBLawrence/status/995522322386903041", "995522322386903041")</f>
        <v/>
      </c>
      <c r="B417" s="2" t="n">
        <v>43233.18972222223</v>
      </c>
      <c r="C417" t="n">
        <v>0</v>
      </c>
      <c r="D417" t="n">
        <v>2</v>
      </c>
      <c r="E417" t="s">
        <v>428</v>
      </c>
      <c r="F417" t="s"/>
      <c r="G417" t="s"/>
      <c r="H417" t="s"/>
      <c r="I417" t="s"/>
      <c r="J417" t="n">
        <v>0</v>
      </c>
      <c r="K417" t="n">
        <v>0</v>
      </c>
      <c r="L417" t="n">
        <v>1</v>
      </c>
      <c r="M417" t="n">
        <v>0</v>
      </c>
    </row>
    <row r="418" spans="1:13">
      <c r="A418" s="1">
        <f>HYPERLINK("http://www.twitter.com/NathanBLawrence/status/995517902638997504", "995517902638997504")</f>
        <v/>
      </c>
      <c r="B418" s="2" t="n">
        <v>43233.17752314815</v>
      </c>
      <c r="C418" t="n">
        <v>0</v>
      </c>
      <c r="D418" t="n">
        <v>340</v>
      </c>
      <c r="E418" t="s">
        <v>429</v>
      </c>
      <c r="F418" t="s"/>
      <c r="G418" t="s"/>
      <c r="H418" t="s"/>
      <c r="I418" t="s"/>
      <c r="J418" t="n">
        <v>-0.8663</v>
      </c>
      <c r="K418" t="n">
        <v>0.393</v>
      </c>
      <c r="L418" t="n">
        <v>0.607</v>
      </c>
      <c r="M418" t="n">
        <v>0</v>
      </c>
    </row>
    <row r="419" spans="1:13">
      <c r="A419" s="1">
        <f>HYPERLINK("http://www.twitter.com/NathanBLawrence/status/995517281655558144", "995517281655558144")</f>
        <v/>
      </c>
      <c r="B419" s="2" t="n">
        <v>43233.17581018519</v>
      </c>
      <c r="C419" t="n">
        <v>8</v>
      </c>
      <c r="D419" t="n">
        <v>4</v>
      </c>
      <c r="E419" t="s">
        <v>430</v>
      </c>
      <c r="F419" t="s"/>
      <c r="G419" t="s"/>
      <c r="H419" t="s"/>
      <c r="I419" t="s"/>
      <c r="J419" t="n">
        <v>0.3612</v>
      </c>
      <c r="K419" t="n">
        <v>0</v>
      </c>
      <c r="L419" t="n">
        <v>0.828</v>
      </c>
      <c r="M419" t="n">
        <v>0.172</v>
      </c>
    </row>
    <row r="420" spans="1:13">
      <c r="A420" s="1">
        <f>HYPERLINK("http://www.twitter.com/NathanBLawrence/status/995456189679984641", "995456189679984641")</f>
        <v/>
      </c>
      <c r="B420" s="2" t="n">
        <v>43233.00722222222</v>
      </c>
      <c r="C420" t="n">
        <v>1</v>
      </c>
      <c r="D420" t="n">
        <v>0</v>
      </c>
      <c r="E420" t="s">
        <v>431</v>
      </c>
      <c r="F420" t="s"/>
      <c r="G420" t="s"/>
      <c r="H420" t="s"/>
      <c r="I420" t="s"/>
      <c r="J420" t="n">
        <v>0.2406</v>
      </c>
      <c r="K420" t="n">
        <v>0.219</v>
      </c>
      <c r="L420" t="n">
        <v>0.497</v>
      </c>
      <c r="M420" t="n">
        <v>0.284</v>
      </c>
    </row>
    <row r="421" spans="1:13">
      <c r="A421" s="1">
        <f>HYPERLINK("http://www.twitter.com/NathanBLawrence/status/995447770000646146", "995447770000646146")</f>
        <v/>
      </c>
      <c r="B421" s="2" t="n">
        <v>43232.98399305555</v>
      </c>
      <c r="C421" t="n">
        <v>1</v>
      </c>
      <c r="D421" t="n">
        <v>0</v>
      </c>
      <c r="E421" t="s">
        <v>432</v>
      </c>
      <c r="F421" t="s"/>
      <c r="G421" t="s"/>
      <c r="H421" t="s"/>
      <c r="I421" t="s"/>
      <c r="J421" t="n">
        <v>0</v>
      </c>
      <c r="K421" t="n">
        <v>0</v>
      </c>
      <c r="L421" t="n">
        <v>1</v>
      </c>
      <c r="M421" t="n">
        <v>0</v>
      </c>
    </row>
    <row r="422" spans="1:13">
      <c r="A422" s="1">
        <f>HYPERLINK("http://www.twitter.com/NathanBLawrence/status/995447483173167105", "995447483173167105")</f>
        <v/>
      </c>
      <c r="B422" s="2" t="n">
        <v>43232.98320601852</v>
      </c>
      <c r="C422" t="n">
        <v>1</v>
      </c>
      <c r="D422" t="n">
        <v>0</v>
      </c>
      <c r="E422" t="s">
        <v>433</v>
      </c>
      <c r="F422" t="s"/>
      <c r="G422" t="s"/>
      <c r="H422" t="s"/>
      <c r="I422" t="s"/>
      <c r="J422" t="n">
        <v>0.4574</v>
      </c>
      <c r="K422" t="n">
        <v>0</v>
      </c>
      <c r="L422" t="n">
        <v>0.401</v>
      </c>
      <c r="M422" t="n">
        <v>0.599</v>
      </c>
    </row>
    <row r="423" spans="1:13">
      <c r="A423" s="1">
        <f>HYPERLINK("http://www.twitter.com/NathanBLawrence/status/995447333511925761", "995447333511925761")</f>
        <v/>
      </c>
      <c r="B423" s="2" t="n">
        <v>43232.98278935185</v>
      </c>
      <c r="C423" t="n">
        <v>3</v>
      </c>
      <c r="D423" t="n">
        <v>0</v>
      </c>
      <c r="E423" t="s">
        <v>434</v>
      </c>
      <c r="F423" t="s"/>
      <c r="G423" t="s"/>
      <c r="H423" t="s"/>
      <c r="I423" t="s"/>
      <c r="J423" t="n">
        <v>0.5411</v>
      </c>
      <c r="K423" t="n">
        <v>0</v>
      </c>
      <c r="L423" t="n">
        <v>0.534</v>
      </c>
      <c r="M423" t="n">
        <v>0.466</v>
      </c>
    </row>
    <row r="424" spans="1:13">
      <c r="A424" s="1">
        <f>HYPERLINK("http://www.twitter.com/NathanBLawrence/status/995436935916195840", "995436935916195840")</f>
        <v/>
      </c>
      <c r="B424" s="2" t="n">
        <v>43232.95409722222</v>
      </c>
      <c r="C424" t="n">
        <v>2</v>
      </c>
      <c r="D424" t="n">
        <v>0</v>
      </c>
      <c r="E424" t="s">
        <v>435</v>
      </c>
      <c r="F424">
        <f>HYPERLINK("http://pbs.twimg.com/media/DdCAl2uUwAAf-Dn.jpg", "http://pbs.twimg.com/media/DdCAl2uUwAAf-Dn.jpg")</f>
        <v/>
      </c>
      <c r="G424" t="s"/>
      <c r="H424" t="s"/>
      <c r="I424" t="s"/>
      <c r="J424" t="n">
        <v>0</v>
      </c>
      <c r="K424" t="n">
        <v>0</v>
      </c>
      <c r="L424" t="n">
        <v>1</v>
      </c>
      <c r="M424" t="n">
        <v>0</v>
      </c>
    </row>
    <row r="425" spans="1:13">
      <c r="A425" s="1">
        <f>HYPERLINK("http://www.twitter.com/NathanBLawrence/status/995435948426047488", "995435948426047488")</f>
        <v/>
      </c>
      <c r="B425" s="2" t="n">
        <v>43232.95137731481</v>
      </c>
      <c r="C425" t="n">
        <v>0</v>
      </c>
      <c r="D425" t="n">
        <v>0</v>
      </c>
      <c r="E425" t="s">
        <v>436</v>
      </c>
      <c r="F425" t="s"/>
      <c r="G425" t="s"/>
      <c r="H425" t="s"/>
      <c r="I425" t="s"/>
      <c r="J425" t="n">
        <v>0</v>
      </c>
      <c r="K425" t="n">
        <v>0</v>
      </c>
      <c r="L425" t="n">
        <v>1</v>
      </c>
      <c r="M425" t="n">
        <v>0</v>
      </c>
    </row>
    <row r="426" spans="1:13">
      <c r="A426" s="1">
        <f>HYPERLINK("http://www.twitter.com/NathanBLawrence/status/995435037410643968", "995435037410643968")</f>
        <v/>
      </c>
      <c r="B426" s="2" t="n">
        <v>43232.94885416667</v>
      </c>
      <c r="C426" t="n">
        <v>5</v>
      </c>
      <c r="D426" t="n">
        <v>0</v>
      </c>
      <c r="E426" t="s">
        <v>437</v>
      </c>
      <c r="F426">
        <f>HYPERLINK("http://pbs.twimg.com/media/DdB-3frVwAAGNpf.jpg", "http://pbs.twimg.com/media/DdB-3frVwAAGNpf.jpg")</f>
        <v/>
      </c>
      <c r="G426" t="s"/>
      <c r="H426" t="s"/>
      <c r="I426" t="s"/>
      <c r="J426" t="n">
        <v>-0.5266999999999999</v>
      </c>
      <c r="K426" t="n">
        <v>0.15</v>
      </c>
      <c r="L426" t="n">
        <v>0.85</v>
      </c>
      <c r="M426" t="n">
        <v>0</v>
      </c>
    </row>
    <row r="427" spans="1:13">
      <c r="A427" s="1">
        <f>HYPERLINK("http://www.twitter.com/NathanBLawrence/status/995432607298019328", "995432607298019328")</f>
        <v/>
      </c>
      <c r="B427" s="2" t="n">
        <v>43232.94215277778</v>
      </c>
      <c r="C427" t="n">
        <v>3</v>
      </c>
      <c r="D427" t="n">
        <v>0</v>
      </c>
      <c r="E427" t="s">
        <v>438</v>
      </c>
      <c r="F427" t="s"/>
      <c r="G427" t="s"/>
      <c r="H427" t="s"/>
      <c r="I427" t="s"/>
      <c r="J427" t="n">
        <v>0</v>
      </c>
      <c r="K427" t="n">
        <v>0</v>
      </c>
      <c r="L427" t="n">
        <v>1</v>
      </c>
      <c r="M427" t="n">
        <v>0</v>
      </c>
    </row>
    <row r="428" spans="1:13">
      <c r="A428" s="1">
        <f>HYPERLINK("http://www.twitter.com/NathanBLawrence/status/995391687898861569", "995391687898861569")</f>
        <v/>
      </c>
      <c r="B428" s="2" t="n">
        <v>43232.82923611111</v>
      </c>
      <c r="C428" t="n">
        <v>0</v>
      </c>
      <c r="D428" t="n">
        <v>74</v>
      </c>
      <c r="E428" t="s">
        <v>439</v>
      </c>
      <c r="F428" t="s"/>
      <c r="G428" t="s"/>
      <c r="H428" t="s"/>
      <c r="I428" t="s"/>
      <c r="J428" t="n">
        <v>0.5266999999999999</v>
      </c>
      <c r="K428" t="n">
        <v>0</v>
      </c>
      <c r="L428" t="n">
        <v>0.779</v>
      </c>
      <c r="M428" t="n">
        <v>0.221</v>
      </c>
    </row>
    <row r="429" spans="1:13">
      <c r="A429" s="1">
        <f>HYPERLINK("http://www.twitter.com/NathanBLawrence/status/995391225040719872", "995391225040719872")</f>
        <v/>
      </c>
      <c r="B429" s="2" t="n">
        <v>43232.82796296296</v>
      </c>
      <c r="C429" t="n">
        <v>7</v>
      </c>
      <c r="D429" t="n">
        <v>1</v>
      </c>
      <c r="E429" t="s">
        <v>440</v>
      </c>
      <c r="F429" t="s"/>
      <c r="G429" t="s"/>
      <c r="H429" t="s"/>
      <c r="I429" t="s"/>
      <c r="J429" t="n">
        <v>0.3559</v>
      </c>
      <c r="K429" t="n">
        <v>0.08</v>
      </c>
      <c r="L429" t="n">
        <v>0.8159999999999999</v>
      </c>
      <c r="M429" t="n">
        <v>0.104</v>
      </c>
    </row>
    <row r="430" spans="1:13">
      <c r="A430" s="1">
        <f>HYPERLINK("http://www.twitter.com/NathanBLawrence/status/995390481726164993", "995390481726164993")</f>
        <v/>
      </c>
      <c r="B430" s="2" t="n">
        <v>43232.82590277777</v>
      </c>
      <c r="C430" t="n">
        <v>5</v>
      </c>
      <c r="D430" t="n">
        <v>1</v>
      </c>
      <c r="E430" t="s">
        <v>441</v>
      </c>
      <c r="F430" t="s"/>
      <c r="G430" t="s"/>
      <c r="H430" t="s"/>
      <c r="I430" t="s"/>
      <c r="J430" t="n">
        <v>-0.1691</v>
      </c>
      <c r="K430" t="n">
        <v>0.135</v>
      </c>
      <c r="L430" t="n">
        <v>0.718</v>
      </c>
      <c r="M430" t="n">
        <v>0.146</v>
      </c>
    </row>
    <row r="431" spans="1:13">
      <c r="A431" s="1">
        <f>HYPERLINK("http://www.twitter.com/NathanBLawrence/status/995388089811001345", "995388089811001345")</f>
        <v/>
      </c>
      <c r="B431" s="2" t="n">
        <v>43232.81930555555</v>
      </c>
      <c r="C431" t="n">
        <v>12</v>
      </c>
      <c r="D431" t="n">
        <v>1</v>
      </c>
      <c r="E431" t="s">
        <v>442</v>
      </c>
      <c r="F431" t="s"/>
      <c r="G431" t="s"/>
      <c r="H431" t="s"/>
      <c r="I431" t="s"/>
      <c r="J431" t="n">
        <v>0.6872</v>
      </c>
      <c r="K431" t="n">
        <v>0</v>
      </c>
      <c r="L431" t="n">
        <v>0.873</v>
      </c>
      <c r="M431" t="n">
        <v>0.127</v>
      </c>
    </row>
    <row r="432" spans="1:13">
      <c r="A432" s="1">
        <f>HYPERLINK("http://www.twitter.com/NathanBLawrence/status/995386734874644480", "995386734874644480")</f>
        <v/>
      </c>
      <c r="B432" s="2" t="n">
        <v>43232.81556712963</v>
      </c>
      <c r="C432" t="n">
        <v>3</v>
      </c>
      <c r="D432" t="n">
        <v>0</v>
      </c>
      <c r="E432" t="s">
        <v>443</v>
      </c>
      <c r="F432" t="s"/>
      <c r="G432" t="s"/>
      <c r="H432" t="s"/>
      <c r="I432" t="s"/>
      <c r="J432" t="n">
        <v>0.6476</v>
      </c>
      <c r="K432" t="n">
        <v>0</v>
      </c>
      <c r="L432" t="n">
        <v>0.843</v>
      </c>
      <c r="M432" t="n">
        <v>0.157</v>
      </c>
    </row>
    <row r="433" spans="1:13">
      <c r="A433" s="1">
        <f>HYPERLINK("http://www.twitter.com/NathanBLawrence/status/995386592096342017", "995386592096342017")</f>
        <v/>
      </c>
      <c r="B433" s="2" t="n">
        <v>43232.81517361111</v>
      </c>
      <c r="C433" t="n">
        <v>4</v>
      </c>
      <c r="D433" t="n">
        <v>0</v>
      </c>
      <c r="E433" t="s">
        <v>444</v>
      </c>
      <c r="F433" t="s"/>
      <c r="G433" t="s"/>
      <c r="H433" t="s"/>
      <c r="I433" t="s"/>
      <c r="J433" t="n">
        <v>0.6597</v>
      </c>
      <c r="K433" t="n">
        <v>0</v>
      </c>
      <c r="L433" t="n">
        <v>0.876</v>
      </c>
      <c r="M433" t="n">
        <v>0.124</v>
      </c>
    </row>
    <row r="434" spans="1:13">
      <c r="A434" s="1">
        <f>HYPERLINK("http://www.twitter.com/NathanBLawrence/status/995384788931502081", "995384788931502081")</f>
        <v/>
      </c>
      <c r="B434" s="2" t="n">
        <v>43232.81019675926</v>
      </c>
      <c r="C434" t="n">
        <v>5</v>
      </c>
      <c r="D434" t="n">
        <v>4</v>
      </c>
      <c r="E434" t="s">
        <v>445</v>
      </c>
      <c r="F434" t="s"/>
      <c r="G434" t="s"/>
      <c r="H434" t="s"/>
      <c r="I434" t="s"/>
      <c r="J434" t="n">
        <v>0.3612</v>
      </c>
      <c r="K434" t="n">
        <v>0</v>
      </c>
      <c r="L434" t="n">
        <v>0.615</v>
      </c>
      <c r="M434" t="n">
        <v>0.385</v>
      </c>
    </row>
    <row r="435" spans="1:13">
      <c r="A435" s="1">
        <f>HYPERLINK("http://www.twitter.com/NathanBLawrence/status/995384002096877569", "995384002096877569")</f>
        <v/>
      </c>
      <c r="B435" s="2" t="n">
        <v>43232.80803240741</v>
      </c>
      <c r="C435" t="n">
        <v>0</v>
      </c>
      <c r="D435" t="n">
        <v>4</v>
      </c>
      <c r="E435" t="s">
        <v>446</v>
      </c>
      <c r="F435">
        <f>HYPERLINK("http://pbs.twimg.com/media/DdAz3xhU0AY6v3U.jpg", "http://pbs.twimg.com/media/DdAz3xhU0AY6v3U.jpg")</f>
        <v/>
      </c>
      <c r="G435" t="s"/>
      <c r="H435" t="s"/>
      <c r="I435" t="s"/>
      <c r="J435" t="n">
        <v>0.743</v>
      </c>
      <c r="K435" t="n">
        <v>0</v>
      </c>
      <c r="L435" t="n">
        <v>0.769</v>
      </c>
      <c r="M435" t="n">
        <v>0.231</v>
      </c>
    </row>
    <row r="436" spans="1:13">
      <c r="A436" s="1">
        <f>HYPERLINK("http://www.twitter.com/NathanBLawrence/status/995375296886050816", "995375296886050816")</f>
        <v/>
      </c>
      <c r="B436" s="2" t="n">
        <v>43232.78400462963</v>
      </c>
      <c r="C436" t="n">
        <v>3</v>
      </c>
      <c r="D436" t="n">
        <v>1</v>
      </c>
      <c r="E436" t="s">
        <v>447</v>
      </c>
      <c r="F436" t="s"/>
      <c r="G436" t="s"/>
      <c r="H436" t="s"/>
      <c r="I436" t="s"/>
      <c r="J436" t="n">
        <v>0</v>
      </c>
      <c r="K436" t="n">
        <v>0</v>
      </c>
      <c r="L436" t="n">
        <v>1</v>
      </c>
      <c r="M436" t="n">
        <v>0</v>
      </c>
    </row>
    <row r="437" spans="1:13">
      <c r="A437" s="1">
        <f>HYPERLINK("http://www.twitter.com/NathanBLawrence/status/995362967779758080", "995362967779758080")</f>
        <v/>
      </c>
      <c r="B437" s="2" t="n">
        <v>43232.74998842592</v>
      </c>
      <c r="C437" t="n">
        <v>1</v>
      </c>
      <c r="D437" t="n">
        <v>0</v>
      </c>
      <c r="E437" t="s">
        <v>448</v>
      </c>
      <c r="F437" t="s"/>
      <c r="G437" t="s"/>
      <c r="H437" t="s"/>
      <c r="I437" t="s"/>
      <c r="J437" t="n">
        <v>0.6468</v>
      </c>
      <c r="K437" t="n">
        <v>0</v>
      </c>
      <c r="L437" t="n">
        <v>0.778</v>
      </c>
      <c r="M437" t="n">
        <v>0.222</v>
      </c>
    </row>
    <row r="438" spans="1:13">
      <c r="A438" s="1">
        <f>HYPERLINK("http://www.twitter.com/NathanBLawrence/status/995362090444644354", "995362090444644354")</f>
        <v/>
      </c>
      <c r="B438" s="2" t="n">
        <v>43232.74755787037</v>
      </c>
      <c r="C438" t="n">
        <v>0</v>
      </c>
      <c r="D438" t="n">
        <v>0</v>
      </c>
      <c r="E438" t="s">
        <v>449</v>
      </c>
      <c r="F438" t="s"/>
      <c r="G438" t="s"/>
      <c r="H438" t="s"/>
      <c r="I438" t="s"/>
      <c r="J438" t="n">
        <v>-0.296</v>
      </c>
      <c r="K438" t="n">
        <v>0.306</v>
      </c>
      <c r="L438" t="n">
        <v>0.694</v>
      </c>
      <c r="M438" t="n">
        <v>0</v>
      </c>
    </row>
    <row r="439" spans="1:13">
      <c r="A439" s="1">
        <f>HYPERLINK("http://www.twitter.com/NathanBLawrence/status/995337327705772033", "995337327705772033")</f>
        <v/>
      </c>
      <c r="B439" s="2" t="n">
        <v>43232.67923611111</v>
      </c>
      <c r="C439" t="n">
        <v>0</v>
      </c>
      <c r="D439" t="n">
        <v>0</v>
      </c>
      <c r="E439" t="s">
        <v>450</v>
      </c>
      <c r="F439" t="s"/>
      <c r="G439" t="s"/>
      <c r="H439" t="s"/>
      <c r="I439" t="s"/>
      <c r="J439" t="n">
        <v>0.6597</v>
      </c>
      <c r="K439" t="n">
        <v>0.03</v>
      </c>
      <c r="L439" t="n">
        <v>0.8179999999999999</v>
      </c>
      <c r="M439" t="n">
        <v>0.152</v>
      </c>
    </row>
    <row r="440" spans="1:13">
      <c r="A440" s="1">
        <f>HYPERLINK("http://www.twitter.com/NathanBLawrence/status/995336601134948353", "995336601134948353")</f>
        <v/>
      </c>
      <c r="B440" s="2" t="n">
        <v>43232.67722222222</v>
      </c>
      <c r="C440" t="n">
        <v>0</v>
      </c>
      <c r="D440" t="n">
        <v>0</v>
      </c>
      <c r="E440" t="s">
        <v>451</v>
      </c>
      <c r="F440" t="s"/>
      <c r="G440" t="s"/>
      <c r="H440" t="s"/>
      <c r="I440" t="s"/>
      <c r="J440" t="n">
        <v>0.4754</v>
      </c>
      <c r="K440" t="n">
        <v>0</v>
      </c>
      <c r="L440" t="n">
        <v>0.838</v>
      </c>
      <c r="M440" t="n">
        <v>0.162</v>
      </c>
    </row>
    <row r="441" spans="1:13">
      <c r="A441" s="1">
        <f>HYPERLINK("http://www.twitter.com/NathanBLawrence/status/995336214826844161", "995336214826844161")</f>
        <v/>
      </c>
      <c r="B441" s="2" t="n">
        <v>43232.6761574074</v>
      </c>
      <c r="C441" t="n">
        <v>0</v>
      </c>
      <c r="D441" t="n">
        <v>0</v>
      </c>
      <c r="E441" t="s">
        <v>452</v>
      </c>
      <c r="F441" t="s"/>
      <c r="G441" t="s"/>
      <c r="H441" t="s"/>
      <c r="I441" t="s"/>
      <c r="J441" t="n">
        <v>-0.7504999999999999</v>
      </c>
      <c r="K441" t="n">
        <v>0.215</v>
      </c>
      <c r="L441" t="n">
        <v>0.6820000000000001</v>
      </c>
      <c r="M441" t="n">
        <v>0.103</v>
      </c>
    </row>
    <row r="442" spans="1:13">
      <c r="A442" s="1">
        <f>HYPERLINK("http://www.twitter.com/NathanBLawrence/status/995331191002853377", "995331191002853377")</f>
        <v/>
      </c>
      <c r="B442" s="2" t="n">
        <v>43232.66229166667</v>
      </c>
      <c r="C442" t="n">
        <v>4</v>
      </c>
      <c r="D442" t="n">
        <v>0</v>
      </c>
      <c r="E442" t="s">
        <v>453</v>
      </c>
      <c r="F442" t="s"/>
      <c r="G442" t="s"/>
      <c r="H442" t="s"/>
      <c r="I442" t="s"/>
      <c r="J442" t="n">
        <v>0.507</v>
      </c>
      <c r="K442" t="n">
        <v>0.089</v>
      </c>
      <c r="L442" t="n">
        <v>0.769</v>
      </c>
      <c r="M442" t="n">
        <v>0.142</v>
      </c>
    </row>
    <row r="443" spans="1:13">
      <c r="A443" s="1">
        <f>HYPERLINK("http://www.twitter.com/NathanBLawrence/status/995314828406411267", "995314828406411267")</f>
        <v/>
      </c>
      <c r="B443" s="2" t="n">
        <v>43232.6171412037</v>
      </c>
      <c r="C443" t="n">
        <v>0</v>
      </c>
      <c r="D443" t="n">
        <v>1</v>
      </c>
      <c r="E443" t="s">
        <v>454</v>
      </c>
      <c r="F443" t="s"/>
      <c r="G443" t="s"/>
      <c r="H443" t="s"/>
      <c r="I443" t="s"/>
      <c r="J443" t="n">
        <v>0</v>
      </c>
      <c r="K443" t="n">
        <v>0</v>
      </c>
      <c r="L443" t="n">
        <v>1</v>
      </c>
      <c r="M443" t="n">
        <v>0</v>
      </c>
    </row>
    <row r="444" spans="1:13">
      <c r="A444" s="1">
        <f>HYPERLINK("http://www.twitter.com/NathanBLawrence/status/995314761452740611", "995314761452740611")</f>
        <v/>
      </c>
      <c r="B444" s="2" t="n">
        <v>43232.61695601852</v>
      </c>
      <c r="C444" t="n">
        <v>4</v>
      </c>
      <c r="D444" t="n">
        <v>1</v>
      </c>
      <c r="E444" t="s">
        <v>455</v>
      </c>
      <c r="F444" t="s"/>
      <c r="G444" t="s"/>
      <c r="H444" t="s"/>
      <c r="I444" t="s"/>
      <c r="J444" t="n">
        <v>-0.1759</v>
      </c>
      <c r="K444" t="n">
        <v>0.101</v>
      </c>
      <c r="L444" t="n">
        <v>0.899</v>
      </c>
      <c r="M444" t="n">
        <v>0</v>
      </c>
    </row>
    <row r="445" spans="1:13">
      <c r="A445" s="1">
        <f>HYPERLINK("http://www.twitter.com/NathanBLawrence/status/995313073706733568", "995313073706733568")</f>
        <v/>
      </c>
      <c r="B445" s="2" t="n">
        <v>43232.61230324074</v>
      </c>
      <c r="C445" t="n">
        <v>7</v>
      </c>
      <c r="D445" t="n">
        <v>1</v>
      </c>
      <c r="E445" t="s">
        <v>456</v>
      </c>
      <c r="F445" t="s"/>
      <c r="G445" t="s"/>
      <c r="H445" t="s"/>
      <c r="I445" t="s"/>
      <c r="J445" t="n">
        <v>0.8772</v>
      </c>
      <c r="K445" t="n">
        <v>0</v>
      </c>
      <c r="L445" t="n">
        <v>0.728</v>
      </c>
      <c r="M445" t="n">
        <v>0.272</v>
      </c>
    </row>
    <row r="446" spans="1:13">
      <c r="A446" s="1">
        <f>HYPERLINK("http://www.twitter.com/NathanBLawrence/status/995310633863311360", "995310633863311360")</f>
        <v/>
      </c>
      <c r="B446" s="2" t="n">
        <v>43232.60556712963</v>
      </c>
      <c r="C446" t="n">
        <v>0</v>
      </c>
      <c r="D446" t="n">
        <v>5374</v>
      </c>
      <c r="E446" t="s">
        <v>457</v>
      </c>
      <c r="F446" t="s"/>
      <c r="G446" t="s"/>
      <c r="H446" t="s"/>
      <c r="I446" t="s"/>
      <c r="J446" t="n">
        <v>0.5994</v>
      </c>
      <c r="K446" t="n">
        <v>0</v>
      </c>
      <c r="L446" t="n">
        <v>0.804</v>
      </c>
      <c r="M446" t="n">
        <v>0.196</v>
      </c>
    </row>
    <row r="447" spans="1:13">
      <c r="A447" s="1">
        <f>HYPERLINK("http://www.twitter.com/NathanBLawrence/status/995309827181117441", "995309827181117441")</f>
        <v/>
      </c>
      <c r="B447" s="2" t="n">
        <v>43232.60334490741</v>
      </c>
      <c r="C447" t="n">
        <v>8</v>
      </c>
      <c r="D447" t="n">
        <v>4</v>
      </c>
      <c r="E447" t="s">
        <v>458</v>
      </c>
      <c r="F447" t="s"/>
      <c r="G447" t="s"/>
      <c r="H447" t="s"/>
      <c r="I447" t="s"/>
      <c r="J447" t="n">
        <v>-0.7579</v>
      </c>
      <c r="K447" t="n">
        <v>0.247</v>
      </c>
      <c r="L447" t="n">
        <v>0.6909999999999999</v>
      </c>
      <c r="M447" t="n">
        <v>0.062</v>
      </c>
    </row>
    <row r="448" spans="1:13">
      <c r="A448" s="1">
        <f>HYPERLINK("http://www.twitter.com/NathanBLawrence/status/995156226181926912", "995156226181926912")</f>
        <v/>
      </c>
      <c r="B448" s="2" t="n">
        <v>43232.17949074074</v>
      </c>
      <c r="C448" t="n">
        <v>0</v>
      </c>
      <c r="D448" t="n">
        <v>5</v>
      </c>
      <c r="E448" t="s">
        <v>459</v>
      </c>
      <c r="F448" t="s"/>
      <c r="G448" t="s"/>
      <c r="H448" t="s"/>
      <c r="I448" t="s"/>
      <c r="J448" t="n">
        <v>-0.5266999999999999</v>
      </c>
      <c r="K448" t="n">
        <v>0.18</v>
      </c>
      <c r="L448" t="n">
        <v>0.82</v>
      </c>
      <c r="M448" t="n">
        <v>0</v>
      </c>
    </row>
    <row r="449" spans="1:13">
      <c r="A449" s="1">
        <f>HYPERLINK("http://www.twitter.com/NathanBLawrence/status/995155266118221824", "995155266118221824")</f>
        <v/>
      </c>
      <c r="B449" s="2" t="n">
        <v>43232.17684027777</v>
      </c>
      <c r="C449" t="n">
        <v>0</v>
      </c>
      <c r="D449" t="n">
        <v>4</v>
      </c>
      <c r="E449" t="s">
        <v>460</v>
      </c>
      <c r="F449">
        <f>HYPERLINK("http://pbs.twimg.com/media/Dc9fmVZVQAEqY-g.jpg", "http://pbs.twimg.com/media/Dc9fmVZVQAEqY-g.jpg")</f>
        <v/>
      </c>
      <c r="G449" t="s"/>
      <c r="H449" t="s"/>
      <c r="I449" t="s"/>
      <c r="J449" t="n">
        <v>0</v>
      </c>
      <c r="K449" t="n">
        <v>0</v>
      </c>
      <c r="L449" t="n">
        <v>1</v>
      </c>
      <c r="M449" t="n">
        <v>0</v>
      </c>
    </row>
    <row r="450" spans="1:13">
      <c r="A450" s="1">
        <f>HYPERLINK("http://www.twitter.com/NathanBLawrence/status/995155077391413248", "995155077391413248")</f>
        <v/>
      </c>
      <c r="B450" s="2" t="n">
        <v>43232.17631944444</v>
      </c>
      <c r="C450" t="n">
        <v>5</v>
      </c>
      <c r="D450" t="n">
        <v>0</v>
      </c>
      <c r="E450" t="s">
        <v>461</v>
      </c>
      <c r="F450" t="s"/>
      <c r="G450" t="s"/>
      <c r="H450" t="s"/>
      <c r="I450" t="s"/>
      <c r="J450" t="n">
        <v>0</v>
      </c>
      <c r="K450" t="n">
        <v>0</v>
      </c>
      <c r="L450" t="n">
        <v>1</v>
      </c>
      <c r="M450" t="n">
        <v>0</v>
      </c>
    </row>
    <row r="451" spans="1:13">
      <c r="A451" s="1">
        <f>HYPERLINK("http://www.twitter.com/NathanBLawrence/status/995147513534599168", "995147513534599168")</f>
        <v/>
      </c>
      <c r="B451" s="2" t="n">
        <v>43232.15543981481</v>
      </c>
      <c r="C451" t="n">
        <v>0</v>
      </c>
      <c r="D451" t="n">
        <v>6</v>
      </c>
      <c r="E451" t="s">
        <v>462</v>
      </c>
      <c r="F451" t="s"/>
      <c r="G451" t="s"/>
      <c r="H451" t="s"/>
      <c r="I451" t="s"/>
      <c r="J451" t="n">
        <v>0</v>
      </c>
      <c r="K451" t="n">
        <v>0</v>
      </c>
      <c r="L451" t="n">
        <v>1</v>
      </c>
      <c r="M451" t="n">
        <v>0</v>
      </c>
    </row>
    <row r="452" spans="1:13">
      <c r="A452" s="1">
        <f>HYPERLINK("http://www.twitter.com/NathanBLawrence/status/995060427334868992", "995060427334868992")</f>
        <v/>
      </c>
      <c r="B452" s="2" t="n">
        <v>43231.91512731482</v>
      </c>
      <c r="C452" t="n">
        <v>1</v>
      </c>
      <c r="D452" t="n">
        <v>0</v>
      </c>
      <c r="E452" t="s">
        <v>463</v>
      </c>
      <c r="F452" t="s"/>
      <c r="G452" t="s"/>
      <c r="H452" t="s"/>
      <c r="I452" t="s"/>
      <c r="J452" t="n">
        <v>0</v>
      </c>
      <c r="K452" t="n">
        <v>0</v>
      </c>
      <c r="L452" t="n">
        <v>1</v>
      </c>
      <c r="M452" t="n">
        <v>0</v>
      </c>
    </row>
    <row r="453" spans="1:13">
      <c r="A453" s="1">
        <f>HYPERLINK("http://www.twitter.com/NathanBLawrence/status/995023237938663424", "995023237938663424")</f>
        <v/>
      </c>
      <c r="B453" s="2" t="n">
        <v>43231.81251157408</v>
      </c>
      <c r="C453" t="n">
        <v>0</v>
      </c>
      <c r="D453" t="n">
        <v>21</v>
      </c>
      <c r="E453" t="s">
        <v>464</v>
      </c>
      <c r="F453">
        <f>HYPERLINK("http://pbs.twimg.com/media/Dc7T4_GU8AESeT-.jpg", "http://pbs.twimg.com/media/Dc7T4_GU8AESeT-.jpg")</f>
        <v/>
      </c>
      <c r="G453" t="s"/>
      <c r="H453" t="s"/>
      <c r="I453" t="s"/>
      <c r="J453" t="n">
        <v>0</v>
      </c>
      <c r="K453" t="n">
        <v>0</v>
      </c>
      <c r="L453" t="n">
        <v>1</v>
      </c>
      <c r="M453" t="n">
        <v>0</v>
      </c>
    </row>
    <row r="454" spans="1:13">
      <c r="A454" s="1">
        <f>HYPERLINK("http://www.twitter.com/NathanBLawrence/status/994966001853911041", "994966001853911041")</f>
        <v/>
      </c>
      <c r="B454" s="2" t="n">
        <v>43231.65457175926</v>
      </c>
      <c r="C454" t="n">
        <v>2</v>
      </c>
      <c r="D454" t="n">
        <v>0</v>
      </c>
      <c r="E454" t="s">
        <v>465</v>
      </c>
      <c r="F454">
        <f>HYPERLINK("http://pbs.twimg.com/media/Dc7UTeBVAAAHAih.jpg", "http://pbs.twimg.com/media/Dc7UTeBVAAAHAih.jpg")</f>
        <v/>
      </c>
      <c r="G454" t="s"/>
      <c r="H454" t="s"/>
      <c r="I454" t="s"/>
      <c r="J454" t="n">
        <v>-0.5994</v>
      </c>
      <c r="K454" t="n">
        <v>0.149</v>
      </c>
      <c r="L454" t="n">
        <v>0.851</v>
      </c>
      <c r="M454" t="n">
        <v>0</v>
      </c>
    </row>
    <row r="455" spans="1:13">
      <c r="A455" s="1">
        <f>HYPERLINK("http://www.twitter.com/NathanBLawrence/status/994960033174650880", "994960033174650880")</f>
        <v/>
      </c>
      <c r="B455" s="2" t="n">
        <v>43231.63810185185</v>
      </c>
      <c r="C455" t="n">
        <v>0</v>
      </c>
      <c r="D455" t="n">
        <v>8</v>
      </c>
      <c r="E455" t="s">
        <v>466</v>
      </c>
      <c r="F455" t="s"/>
      <c r="G455" t="s"/>
      <c r="H455" t="s"/>
      <c r="I455" t="s"/>
      <c r="J455" t="n">
        <v>-0.7096</v>
      </c>
      <c r="K455" t="n">
        <v>0.247</v>
      </c>
      <c r="L455" t="n">
        <v>0.695</v>
      </c>
      <c r="M455" t="n">
        <v>0.058</v>
      </c>
    </row>
    <row r="456" spans="1:13">
      <c r="A456" s="1">
        <f>HYPERLINK("http://www.twitter.com/NathanBLawrence/status/994959654462611457", "994959654462611457")</f>
        <v/>
      </c>
      <c r="B456" s="2" t="n">
        <v>43231.63704861111</v>
      </c>
      <c r="C456" t="n">
        <v>1</v>
      </c>
      <c r="D456" t="n">
        <v>0</v>
      </c>
      <c r="E456" t="s">
        <v>467</v>
      </c>
      <c r="F456" t="s"/>
      <c r="G456" t="s"/>
      <c r="H456" t="s"/>
      <c r="I456" t="s"/>
      <c r="J456" t="n">
        <v>0</v>
      </c>
      <c r="K456" t="n">
        <v>0</v>
      </c>
      <c r="L456" t="n">
        <v>1</v>
      </c>
      <c r="M456" t="n">
        <v>0</v>
      </c>
    </row>
    <row r="457" spans="1:13">
      <c r="A457" s="1">
        <f>HYPERLINK("http://www.twitter.com/NathanBLawrence/status/994957780741222400", "994957780741222400")</f>
        <v/>
      </c>
      <c r="B457" s="2" t="n">
        <v>43231.63188657408</v>
      </c>
      <c r="C457" t="n">
        <v>1</v>
      </c>
      <c r="D457" t="n">
        <v>0</v>
      </c>
      <c r="E457" t="s">
        <v>468</v>
      </c>
      <c r="F457" t="s"/>
      <c r="G457" t="s"/>
      <c r="H457" t="s"/>
      <c r="I457" t="s"/>
      <c r="J457" t="n">
        <v>0.9312</v>
      </c>
      <c r="K457" t="n">
        <v>0</v>
      </c>
      <c r="L457" t="n">
        <v>0.608</v>
      </c>
      <c r="M457" t="n">
        <v>0.392</v>
      </c>
    </row>
    <row r="458" spans="1:13">
      <c r="A458" s="1">
        <f>HYPERLINK("http://www.twitter.com/NathanBLawrence/status/994956531551653888", "994956531551653888")</f>
        <v/>
      </c>
      <c r="B458" s="2" t="n">
        <v>43231.6284375</v>
      </c>
      <c r="C458" t="n">
        <v>0</v>
      </c>
      <c r="D458" t="n">
        <v>0</v>
      </c>
      <c r="E458" t="s">
        <v>469</v>
      </c>
      <c r="F458" t="s"/>
      <c r="G458" t="s"/>
      <c r="H458" t="s"/>
      <c r="I458" t="s"/>
      <c r="J458" t="n">
        <v>0</v>
      </c>
      <c r="K458" t="n">
        <v>0</v>
      </c>
      <c r="L458" t="n">
        <v>1</v>
      </c>
      <c r="M458" t="n">
        <v>0</v>
      </c>
    </row>
    <row r="459" spans="1:13">
      <c r="A459" s="1">
        <f>HYPERLINK("http://www.twitter.com/NathanBLawrence/status/994956423967789056", "994956423967789056")</f>
        <v/>
      </c>
      <c r="B459" s="2" t="n">
        <v>43231.62813657407</v>
      </c>
      <c r="C459" t="n">
        <v>1</v>
      </c>
      <c r="D459" t="n">
        <v>0</v>
      </c>
      <c r="E459" t="s">
        <v>470</v>
      </c>
      <c r="F459" t="s"/>
      <c r="G459" t="s"/>
      <c r="H459" t="s"/>
      <c r="I459" t="s"/>
      <c r="J459" t="n">
        <v>0</v>
      </c>
      <c r="K459" t="n">
        <v>0</v>
      </c>
      <c r="L459" t="n">
        <v>1</v>
      </c>
      <c r="M459" t="n">
        <v>0</v>
      </c>
    </row>
    <row r="460" spans="1:13">
      <c r="A460" s="1">
        <f>HYPERLINK("http://www.twitter.com/NathanBLawrence/status/994956016390410242", "994956016390410242")</f>
        <v/>
      </c>
      <c r="B460" s="2" t="n">
        <v>43231.62701388889</v>
      </c>
      <c r="C460" t="n">
        <v>0</v>
      </c>
      <c r="D460" t="n">
        <v>10</v>
      </c>
      <c r="E460" t="s">
        <v>471</v>
      </c>
      <c r="F460" t="s"/>
      <c r="G460" t="s"/>
      <c r="H460" t="s"/>
      <c r="I460" t="s"/>
      <c r="J460" t="n">
        <v>0.4588</v>
      </c>
      <c r="K460" t="n">
        <v>0</v>
      </c>
      <c r="L460" t="n">
        <v>0.88</v>
      </c>
      <c r="M460" t="n">
        <v>0.12</v>
      </c>
    </row>
    <row r="461" spans="1:13">
      <c r="A461" s="1">
        <f>HYPERLINK("http://www.twitter.com/NathanBLawrence/status/994955978004103168", "994955978004103168")</f>
        <v/>
      </c>
      <c r="B461" s="2" t="n">
        <v>43231.62690972222</v>
      </c>
      <c r="C461" t="n">
        <v>1</v>
      </c>
      <c r="D461" t="n">
        <v>0</v>
      </c>
      <c r="E461" t="s">
        <v>472</v>
      </c>
      <c r="F461" t="s"/>
      <c r="G461" t="s"/>
      <c r="H461" t="s"/>
      <c r="I461" t="s"/>
      <c r="J461" t="n">
        <v>-0.4648</v>
      </c>
      <c r="K461" t="n">
        <v>0.431</v>
      </c>
      <c r="L461" t="n">
        <v>0.569</v>
      </c>
      <c r="M461" t="n">
        <v>0</v>
      </c>
    </row>
    <row r="462" spans="1:13">
      <c r="A462" s="1">
        <f>HYPERLINK("http://www.twitter.com/NathanBLawrence/status/994955756578508800", "994955756578508800")</f>
        <v/>
      </c>
      <c r="B462" s="2" t="n">
        <v>43231.62629629629</v>
      </c>
      <c r="C462" t="n">
        <v>2</v>
      </c>
      <c r="D462" t="n">
        <v>0</v>
      </c>
      <c r="E462" t="s">
        <v>473</v>
      </c>
      <c r="F462" t="s"/>
      <c r="G462" t="s"/>
      <c r="H462" t="s"/>
      <c r="I462" t="s"/>
      <c r="J462" t="n">
        <v>0.2714</v>
      </c>
      <c r="K462" t="n">
        <v>0.233</v>
      </c>
      <c r="L462" t="n">
        <v>0.451</v>
      </c>
      <c r="M462" t="n">
        <v>0.315</v>
      </c>
    </row>
    <row r="463" spans="1:13">
      <c r="A463" s="1">
        <f>HYPERLINK("http://www.twitter.com/NathanBLawrence/status/994953866012758016", "994953866012758016")</f>
        <v/>
      </c>
      <c r="B463" s="2" t="n">
        <v>43231.62107638889</v>
      </c>
      <c r="C463" t="n">
        <v>4</v>
      </c>
      <c r="D463" t="n">
        <v>2</v>
      </c>
      <c r="E463" t="s">
        <v>474</v>
      </c>
      <c r="F463" t="s"/>
      <c r="G463" t="s"/>
      <c r="H463" t="s"/>
      <c r="I463" t="s"/>
      <c r="J463" t="n">
        <v>0</v>
      </c>
      <c r="K463" t="n">
        <v>0</v>
      </c>
      <c r="L463" t="n">
        <v>1</v>
      </c>
      <c r="M463" t="n">
        <v>0</v>
      </c>
    </row>
    <row r="464" spans="1:13">
      <c r="A464" s="1">
        <f>HYPERLINK("http://www.twitter.com/NathanBLawrence/status/994953167510163456", "994953167510163456")</f>
        <v/>
      </c>
      <c r="B464" s="2" t="n">
        <v>43231.61915509259</v>
      </c>
      <c r="C464" t="n">
        <v>6</v>
      </c>
      <c r="D464" t="n">
        <v>5</v>
      </c>
      <c r="E464" t="s">
        <v>475</v>
      </c>
      <c r="F464" t="s"/>
      <c r="G464" t="s"/>
      <c r="H464" t="s"/>
      <c r="I464" t="s"/>
      <c r="J464" t="n">
        <v>-0.7003</v>
      </c>
      <c r="K464" t="n">
        <v>0.158</v>
      </c>
      <c r="L464" t="n">
        <v>0.842</v>
      </c>
      <c r="M464" t="n">
        <v>0</v>
      </c>
    </row>
    <row r="465" spans="1:13">
      <c r="A465" s="1">
        <f>HYPERLINK("http://www.twitter.com/NathanBLawrence/status/994948585853681664", "994948585853681664")</f>
        <v/>
      </c>
      <c r="B465" s="2" t="n">
        <v>43231.60650462963</v>
      </c>
      <c r="C465" t="n">
        <v>5</v>
      </c>
      <c r="D465" t="n">
        <v>0</v>
      </c>
      <c r="E465" t="s">
        <v>476</v>
      </c>
      <c r="F465">
        <f>HYPERLINK("http://pbs.twimg.com/media/Dc7EdSZU8AAX9v5.jpg", "http://pbs.twimg.com/media/Dc7EdSZU8AAX9v5.jpg")</f>
        <v/>
      </c>
      <c r="G465" t="s"/>
      <c r="H465" t="s"/>
      <c r="I465" t="s"/>
      <c r="J465" t="n">
        <v>0.2244</v>
      </c>
      <c r="K465" t="n">
        <v>0.095</v>
      </c>
      <c r="L465" t="n">
        <v>0.77</v>
      </c>
      <c r="M465" t="n">
        <v>0.135</v>
      </c>
    </row>
    <row r="466" spans="1:13">
      <c r="A466" s="1">
        <f>HYPERLINK("http://www.twitter.com/NathanBLawrence/status/994947965981806592", "994947965981806592")</f>
        <v/>
      </c>
      <c r="B466" s="2" t="n">
        <v>43231.60479166666</v>
      </c>
      <c r="C466" t="n">
        <v>0</v>
      </c>
      <c r="D466" t="n">
        <v>0</v>
      </c>
      <c r="E466" t="s">
        <v>477</v>
      </c>
      <c r="F466" t="s"/>
      <c r="G466" t="s"/>
      <c r="H466" t="s"/>
      <c r="I466" t="s"/>
      <c r="J466" t="n">
        <v>0.4574</v>
      </c>
      <c r="K466" t="n">
        <v>0</v>
      </c>
      <c r="L466" t="n">
        <v>0.786</v>
      </c>
      <c r="M466" t="n">
        <v>0.214</v>
      </c>
    </row>
    <row r="467" spans="1:13">
      <c r="A467" s="1">
        <f>HYPERLINK("http://www.twitter.com/NathanBLawrence/status/994947733768298498", "994947733768298498")</f>
        <v/>
      </c>
      <c r="B467" s="2" t="n">
        <v>43231.60415509259</v>
      </c>
      <c r="C467" t="n">
        <v>2</v>
      </c>
      <c r="D467" t="n">
        <v>0</v>
      </c>
      <c r="E467" t="s">
        <v>478</v>
      </c>
      <c r="F467" t="s"/>
      <c r="G467" t="s"/>
      <c r="H467" t="s"/>
      <c r="I467" t="s"/>
      <c r="J467" t="n">
        <v>0.3786</v>
      </c>
      <c r="K467" t="n">
        <v>0.105</v>
      </c>
      <c r="L467" t="n">
        <v>0.726</v>
      </c>
      <c r="M467" t="n">
        <v>0.169</v>
      </c>
    </row>
    <row r="468" spans="1:13">
      <c r="A468" s="1">
        <f>HYPERLINK("http://www.twitter.com/NathanBLawrence/status/994931283716386816", "994931283716386816")</f>
        <v/>
      </c>
      <c r="B468" s="2" t="n">
        <v>43231.55876157407</v>
      </c>
      <c r="C468" t="n">
        <v>0</v>
      </c>
      <c r="D468" t="n">
        <v>0</v>
      </c>
      <c r="E468" t="s">
        <v>479</v>
      </c>
      <c r="F468" t="s"/>
      <c r="G468" t="s"/>
      <c r="H468" t="s"/>
      <c r="I468" t="s"/>
      <c r="J468" t="n">
        <v>0.7964</v>
      </c>
      <c r="K468" t="n">
        <v>0</v>
      </c>
      <c r="L468" t="n">
        <v>0.53</v>
      </c>
      <c r="M468" t="n">
        <v>0.47</v>
      </c>
    </row>
    <row r="469" spans="1:13">
      <c r="A469" s="1">
        <f>HYPERLINK("http://www.twitter.com/NathanBLawrence/status/994931020913930241", "994931020913930241")</f>
        <v/>
      </c>
      <c r="B469" s="2" t="n">
        <v>43231.55803240741</v>
      </c>
      <c r="C469" t="n">
        <v>0</v>
      </c>
      <c r="D469" t="n">
        <v>709</v>
      </c>
      <c r="E469" t="s">
        <v>480</v>
      </c>
      <c r="F469" t="s"/>
      <c r="G469" t="s"/>
      <c r="H469" t="s"/>
      <c r="I469" t="s"/>
      <c r="J469" t="n">
        <v>-0.8658</v>
      </c>
      <c r="K469" t="n">
        <v>0.409</v>
      </c>
      <c r="L469" t="n">
        <v>0.591</v>
      </c>
      <c r="M469" t="n">
        <v>0</v>
      </c>
    </row>
    <row r="470" spans="1:13">
      <c r="A470" s="1">
        <f>HYPERLINK("http://www.twitter.com/NathanBLawrence/status/994930798829719552", "994930798829719552")</f>
        <v/>
      </c>
      <c r="B470" s="2" t="n">
        <v>43231.55743055556</v>
      </c>
      <c r="C470" t="n">
        <v>0</v>
      </c>
      <c r="D470" t="n">
        <v>4</v>
      </c>
      <c r="E470" t="s">
        <v>481</v>
      </c>
      <c r="F470" t="s"/>
      <c r="G470" t="s"/>
      <c r="H470" t="s"/>
      <c r="I470" t="s"/>
      <c r="J470" t="n">
        <v>-0.7906</v>
      </c>
      <c r="K470" t="n">
        <v>0.269</v>
      </c>
      <c r="L470" t="n">
        <v>0.731</v>
      </c>
      <c r="M470" t="n">
        <v>0</v>
      </c>
    </row>
    <row r="471" spans="1:13">
      <c r="A471" s="1">
        <f>HYPERLINK("http://www.twitter.com/NathanBLawrence/status/994923937762037761", "994923937762037761")</f>
        <v/>
      </c>
      <c r="B471" s="2" t="n">
        <v>43231.53849537037</v>
      </c>
      <c r="C471" t="n">
        <v>3</v>
      </c>
      <c r="D471" t="n">
        <v>1</v>
      </c>
      <c r="E471" t="s">
        <v>482</v>
      </c>
      <c r="F471" t="s"/>
      <c r="G471" t="s"/>
      <c r="H471" t="s"/>
      <c r="I471" t="s"/>
      <c r="J471" t="n">
        <v>0</v>
      </c>
      <c r="K471" t="n">
        <v>0</v>
      </c>
      <c r="L471" t="n">
        <v>1</v>
      </c>
      <c r="M471" t="n">
        <v>0</v>
      </c>
    </row>
    <row r="472" spans="1:13">
      <c r="A472" s="1">
        <f>HYPERLINK("http://www.twitter.com/NathanBLawrence/status/994910881136959488", "994910881136959488")</f>
        <v/>
      </c>
      <c r="B472" s="2" t="n">
        <v>43231.50246527778</v>
      </c>
      <c r="C472" t="n">
        <v>1</v>
      </c>
      <c r="D472" t="n">
        <v>0</v>
      </c>
      <c r="E472" t="s">
        <v>483</v>
      </c>
      <c r="F472" t="s"/>
      <c r="G472" t="s"/>
      <c r="H472" t="s"/>
      <c r="I472" t="s"/>
      <c r="J472" t="n">
        <v>0</v>
      </c>
      <c r="K472" t="n">
        <v>0</v>
      </c>
      <c r="L472" t="n">
        <v>1</v>
      </c>
      <c r="M472" t="n">
        <v>0</v>
      </c>
    </row>
    <row r="473" spans="1:13">
      <c r="A473" s="1">
        <f>HYPERLINK("http://www.twitter.com/NathanBLawrence/status/994909322080673792", "994909322080673792")</f>
        <v/>
      </c>
      <c r="B473" s="2" t="n">
        <v>43231.49815972222</v>
      </c>
      <c r="C473" t="n">
        <v>6</v>
      </c>
      <c r="D473" t="n">
        <v>1</v>
      </c>
      <c r="E473" t="s">
        <v>484</v>
      </c>
      <c r="F473">
        <f>HYPERLINK("http://pbs.twimg.com/media/Dc6gwEaXkAI-NPg.jpg", "http://pbs.twimg.com/media/Dc6gwEaXkAI-NPg.jpg")</f>
        <v/>
      </c>
      <c r="G473" t="s"/>
      <c r="H473" t="s"/>
      <c r="I473" t="s"/>
      <c r="J473" t="n">
        <v>0.1441</v>
      </c>
      <c r="K473" t="n">
        <v>0.094</v>
      </c>
      <c r="L473" t="n">
        <v>0.791</v>
      </c>
      <c r="M473" t="n">
        <v>0.115</v>
      </c>
    </row>
    <row r="474" spans="1:13">
      <c r="A474" s="1">
        <f>HYPERLINK("http://www.twitter.com/NathanBLawrence/status/994898383830691840", "994898383830691840")</f>
        <v/>
      </c>
      <c r="B474" s="2" t="n">
        <v>43231.46797453704</v>
      </c>
      <c r="C474" t="n">
        <v>4</v>
      </c>
      <c r="D474" t="n">
        <v>4</v>
      </c>
      <c r="E474" t="s">
        <v>485</v>
      </c>
      <c r="F474" t="s"/>
      <c r="G474" t="s"/>
      <c r="H474" t="s"/>
      <c r="I474" t="s"/>
      <c r="J474" t="n">
        <v>0.4824</v>
      </c>
      <c r="K474" t="n">
        <v>0</v>
      </c>
      <c r="L474" t="n">
        <v>0.844</v>
      </c>
      <c r="M474" t="n">
        <v>0.156</v>
      </c>
    </row>
    <row r="475" spans="1:13">
      <c r="A475" s="1">
        <f>HYPERLINK("http://www.twitter.com/NathanBLawrence/status/994895554911129600", "994895554911129600")</f>
        <v/>
      </c>
      <c r="B475" s="2" t="n">
        <v>43231.46017361111</v>
      </c>
      <c r="C475" t="n">
        <v>0</v>
      </c>
      <c r="D475" t="n">
        <v>0</v>
      </c>
      <c r="E475" t="s">
        <v>486</v>
      </c>
      <c r="F475" t="s"/>
      <c r="G475" t="s"/>
      <c r="H475" t="s"/>
      <c r="I475" t="s"/>
      <c r="J475" t="n">
        <v>0</v>
      </c>
      <c r="K475" t="n">
        <v>0</v>
      </c>
      <c r="L475" t="n">
        <v>1</v>
      </c>
      <c r="M475" t="n">
        <v>0</v>
      </c>
    </row>
    <row r="476" spans="1:13">
      <c r="A476" s="1">
        <f>HYPERLINK("http://www.twitter.com/NathanBLawrence/status/994895101674606593", "994895101674606593")</f>
        <v/>
      </c>
      <c r="B476" s="2" t="n">
        <v>43231.45892361111</v>
      </c>
      <c r="C476" t="n">
        <v>0</v>
      </c>
      <c r="D476" t="n">
        <v>4010</v>
      </c>
      <c r="E476" t="s">
        <v>487</v>
      </c>
      <c r="F476">
        <f>HYPERLINK("https://video.twimg.com/ext_tw_video/994613670574370816/pu/vid/1280x720/27sZq4KPsKxFjj9U.mp4?tag=3", "https://video.twimg.com/ext_tw_video/994613670574370816/pu/vid/1280x720/27sZq4KPsKxFjj9U.mp4?tag=3")</f>
        <v/>
      </c>
      <c r="G476" t="s"/>
      <c r="H476" t="s"/>
      <c r="I476" t="s"/>
      <c r="J476" t="n">
        <v>-0.6352</v>
      </c>
      <c r="K476" t="n">
        <v>0.173</v>
      </c>
      <c r="L476" t="n">
        <v>0.827</v>
      </c>
      <c r="M476" t="n">
        <v>0</v>
      </c>
    </row>
    <row r="477" spans="1:13">
      <c r="A477" s="1">
        <f>HYPERLINK("http://www.twitter.com/NathanBLawrence/status/994894678888800258", "994894678888800258")</f>
        <v/>
      </c>
      <c r="B477" s="2" t="n">
        <v>43231.45775462963</v>
      </c>
      <c r="C477" t="n">
        <v>1</v>
      </c>
      <c r="D477" t="n">
        <v>0</v>
      </c>
      <c r="E477" t="s">
        <v>488</v>
      </c>
      <c r="F477" t="s"/>
      <c r="G477" t="s"/>
      <c r="H477" t="s"/>
      <c r="I477" t="s"/>
      <c r="J477" t="n">
        <v>0</v>
      </c>
      <c r="K477" t="n">
        <v>0</v>
      </c>
      <c r="L477" t="n">
        <v>1</v>
      </c>
      <c r="M477" t="n">
        <v>0</v>
      </c>
    </row>
    <row r="478" spans="1:13">
      <c r="A478" s="1">
        <f>HYPERLINK("http://www.twitter.com/NathanBLawrence/status/994894180567715840", "994894180567715840")</f>
        <v/>
      </c>
      <c r="B478" s="2" t="n">
        <v>43231.45637731482</v>
      </c>
      <c r="C478" t="n">
        <v>0</v>
      </c>
      <c r="D478" t="n">
        <v>6</v>
      </c>
      <c r="E478" t="s">
        <v>489</v>
      </c>
      <c r="F478" t="s"/>
      <c r="G478" t="s"/>
      <c r="H478" t="s"/>
      <c r="I478" t="s"/>
      <c r="J478" t="n">
        <v>-0.2263</v>
      </c>
      <c r="K478" t="n">
        <v>0.128</v>
      </c>
      <c r="L478" t="n">
        <v>0.782</v>
      </c>
      <c r="M478" t="n">
        <v>0.091</v>
      </c>
    </row>
    <row r="479" spans="1:13">
      <c r="A479" s="1">
        <f>HYPERLINK("http://www.twitter.com/NathanBLawrence/status/994797989884506113", "994797989884506113")</f>
        <v/>
      </c>
      <c r="B479" s="2" t="n">
        <v>43231.1909375</v>
      </c>
      <c r="C479" t="n">
        <v>1</v>
      </c>
      <c r="D479" t="n">
        <v>0</v>
      </c>
      <c r="E479" t="s">
        <v>490</v>
      </c>
      <c r="F479" t="s"/>
      <c r="G479" t="s"/>
      <c r="H479" t="s"/>
      <c r="I479" t="s"/>
      <c r="J479" t="n">
        <v>0.5337</v>
      </c>
      <c r="K479" t="n">
        <v>0</v>
      </c>
      <c r="L479" t="n">
        <v>0.592</v>
      </c>
      <c r="M479" t="n">
        <v>0.408</v>
      </c>
    </row>
    <row r="480" spans="1:13">
      <c r="A480" s="1">
        <f>HYPERLINK("http://www.twitter.com/NathanBLawrence/status/994797543765749760", "994797543765749760")</f>
        <v/>
      </c>
      <c r="B480" s="2" t="n">
        <v>43231.18971064815</v>
      </c>
      <c r="C480" t="n">
        <v>1</v>
      </c>
      <c r="D480" t="n">
        <v>0</v>
      </c>
      <c r="E480" t="s">
        <v>491</v>
      </c>
      <c r="F480" t="s"/>
      <c r="G480" t="s"/>
      <c r="H480" t="s"/>
      <c r="I480" t="s"/>
      <c r="J480" t="n">
        <v>0</v>
      </c>
      <c r="K480" t="n">
        <v>0</v>
      </c>
      <c r="L480" t="n">
        <v>1</v>
      </c>
      <c r="M480" t="n">
        <v>0</v>
      </c>
    </row>
    <row r="481" spans="1:13">
      <c r="A481" s="1">
        <f>HYPERLINK("http://www.twitter.com/NathanBLawrence/status/994792147114184704", "994792147114184704")</f>
        <v/>
      </c>
      <c r="B481" s="2" t="n">
        <v>43231.17481481482</v>
      </c>
      <c r="C481" t="n">
        <v>4</v>
      </c>
      <c r="D481" t="n">
        <v>0</v>
      </c>
      <c r="E481" t="s">
        <v>492</v>
      </c>
      <c r="F481" t="s"/>
      <c r="G481" t="s"/>
      <c r="H481" t="s"/>
      <c r="I481" t="s"/>
      <c r="J481" t="n">
        <v>0</v>
      </c>
      <c r="K481" t="n">
        <v>0</v>
      </c>
      <c r="L481" t="n">
        <v>1</v>
      </c>
      <c r="M481" t="n">
        <v>0</v>
      </c>
    </row>
    <row r="482" spans="1:13">
      <c r="A482" s="1">
        <f>HYPERLINK("http://www.twitter.com/NathanBLawrence/status/994782660701638661", "994782660701638661")</f>
        <v/>
      </c>
      <c r="B482" s="2" t="n">
        <v>43231.14864583333</v>
      </c>
      <c r="C482" t="n">
        <v>2</v>
      </c>
      <c r="D482" t="n">
        <v>1</v>
      </c>
      <c r="E482" t="s">
        <v>493</v>
      </c>
      <c r="F482" t="s"/>
      <c r="G482" t="s"/>
      <c r="H482" t="s"/>
      <c r="I482" t="s"/>
      <c r="J482" t="n">
        <v>0</v>
      </c>
      <c r="K482" t="n">
        <v>0</v>
      </c>
      <c r="L482" t="n">
        <v>1</v>
      </c>
      <c r="M482" t="n">
        <v>0</v>
      </c>
    </row>
    <row r="483" spans="1:13">
      <c r="A483" s="1">
        <f>HYPERLINK("http://www.twitter.com/NathanBLawrence/status/994782143472693248", "994782143472693248")</f>
        <v/>
      </c>
      <c r="B483" s="2" t="n">
        <v>43231.14721064815</v>
      </c>
      <c r="C483" t="n">
        <v>0</v>
      </c>
      <c r="D483" t="n">
        <v>2285</v>
      </c>
      <c r="E483" t="s">
        <v>494</v>
      </c>
      <c r="F483">
        <f>HYPERLINK("http://pbs.twimg.com/media/Dc2-jcrU0AEgzTT.jpg", "http://pbs.twimg.com/media/Dc2-jcrU0AEgzTT.jpg")</f>
        <v/>
      </c>
      <c r="G483">
        <f>HYPERLINK("http://pbs.twimg.com/media/Dc2-jcvVAAAfA7e.jpg", "http://pbs.twimg.com/media/Dc2-jcvVAAAfA7e.jpg")</f>
        <v/>
      </c>
      <c r="H483">
        <f>HYPERLINK("http://pbs.twimg.com/media/Dc2-jcsUQAEbU95.jpg", "http://pbs.twimg.com/media/Dc2-jcsUQAEbU95.jpg")</f>
        <v/>
      </c>
      <c r="I483" t="s"/>
      <c r="J483" t="n">
        <v>-0.0258</v>
      </c>
      <c r="K483" t="n">
        <v>0.093</v>
      </c>
      <c r="L483" t="n">
        <v>0.819</v>
      </c>
      <c r="M483" t="n">
        <v>0.089</v>
      </c>
    </row>
    <row r="484" spans="1:13">
      <c r="A484" s="1">
        <f>HYPERLINK("http://www.twitter.com/NathanBLawrence/status/994781864895352832", "994781864895352832")</f>
        <v/>
      </c>
      <c r="B484" s="2" t="n">
        <v>43231.14644675926</v>
      </c>
      <c r="C484" t="n">
        <v>3</v>
      </c>
      <c r="D484" t="n">
        <v>2</v>
      </c>
      <c r="E484" t="s">
        <v>495</v>
      </c>
      <c r="F484" t="s"/>
      <c r="G484" t="s"/>
      <c r="H484" t="s"/>
      <c r="I484" t="s"/>
      <c r="J484" t="n">
        <v>0</v>
      </c>
      <c r="K484" t="n">
        <v>0</v>
      </c>
      <c r="L484" t="n">
        <v>1</v>
      </c>
      <c r="M484" t="n">
        <v>0</v>
      </c>
    </row>
    <row r="485" spans="1:13">
      <c r="A485" s="1">
        <f>HYPERLINK("http://www.twitter.com/NathanBLawrence/status/994781647760515074", "994781647760515074")</f>
        <v/>
      </c>
      <c r="B485" s="2" t="n">
        <v>43231.14584490741</v>
      </c>
      <c r="C485" t="n">
        <v>3</v>
      </c>
      <c r="D485" t="n">
        <v>0</v>
      </c>
      <c r="E485" t="s">
        <v>496</v>
      </c>
      <c r="F485" t="s"/>
      <c r="G485" t="s"/>
      <c r="H485" t="s"/>
      <c r="I485" t="s"/>
      <c r="J485" t="n">
        <v>0</v>
      </c>
      <c r="K485" t="n">
        <v>0</v>
      </c>
      <c r="L485" t="n">
        <v>1</v>
      </c>
      <c r="M485" t="n">
        <v>0</v>
      </c>
    </row>
    <row r="486" spans="1:13">
      <c r="A486" s="1">
        <f>HYPERLINK("http://www.twitter.com/NathanBLawrence/status/994770803429462016", "994770803429462016")</f>
        <v/>
      </c>
      <c r="B486" s="2" t="n">
        <v>43231.11592592593</v>
      </c>
      <c r="C486" t="n">
        <v>1</v>
      </c>
      <c r="D486" t="n">
        <v>0</v>
      </c>
      <c r="E486" t="s">
        <v>497</v>
      </c>
      <c r="F486" t="s"/>
      <c r="G486" t="s"/>
      <c r="H486" t="s"/>
      <c r="I486" t="s"/>
      <c r="J486" t="n">
        <v>0</v>
      </c>
      <c r="K486" t="n">
        <v>0</v>
      </c>
      <c r="L486" t="n">
        <v>1</v>
      </c>
      <c r="M486" t="n">
        <v>0</v>
      </c>
    </row>
    <row r="487" spans="1:13">
      <c r="A487" s="1">
        <f>HYPERLINK("http://www.twitter.com/NathanBLawrence/status/994770417738018817", "994770417738018817")</f>
        <v/>
      </c>
      <c r="B487" s="2" t="n">
        <v>43231.11486111111</v>
      </c>
      <c r="C487" t="n">
        <v>2</v>
      </c>
      <c r="D487" t="n">
        <v>0</v>
      </c>
      <c r="E487" t="s">
        <v>498</v>
      </c>
      <c r="F487" t="s"/>
      <c r="G487" t="s"/>
      <c r="H487" t="s"/>
      <c r="I487" t="s"/>
      <c r="J487" t="n">
        <v>0</v>
      </c>
      <c r="K487" t="n">
        <v>0</v>
      </c>
      <c r="L487" t="n">
        <v>1</v>
      </c>
      <c r="M487" t="n">
        <v>0</v>
      </c>
    </row>
    <row r="488" spans="1:13">
      <c r="A488" s="1">
        <f>HYPERLINK("http://www.twitter.com/NathanBLawrence/status/994749285496475648", "994749285496475648")</f>
        <v/>
      </c>
      <c r="B488" s="2" t="n">
        <v>43231.05653935186</v>
      </c>
      <c r="C488" t="n">
        <v>3</v>
      </c>
      <c r="D488" t="n">
        <v>0</v>
      </c>
      <c r="E488" t="s">
        <v>499</v>
      </c>
      <c r="F488" t="s"/>
      <c r="G488" t="s"/>
      <c r="H488" t="s"/>
      <c r="I488" t="s"/>
      <c r="J488" t="n">
        <v>0</v>
      </c>
      <c r="K488" t="n">
        <v>0</v>
      </c>
      <c r="L488" t="n">
        <v>1</v>
      </c>
      <c r="M488" t="n">
        <v>0</v>
      </c>
    </row>
    <row r="489" spans="1:13">
      <c r="A489" s="1">
        <f>HYPERLINK("http://www.twitter.com/NathanBLawrence/status/994746018225770496", "994746018225770496")</f>
        <v/>
      </c>
      <c r="B489" s="2" t="n">
        <v>43231.04752314815</v>
      </c>
      <c r="C489" t="n">
        <v>2</v>
      </c>
      <c r="D489" t="n">
        <v>1</v>
      </c>
      <c r="E489" t="s">
        <v>500</v>
      </c>
      <c r="F489" t="s"/>
      <c r="G489" t="s"/>
      <c r="H489" t="s"/>
      <c r="I489" t="s"/>
      <c r="J489" t="n">
        <v>0.5859</v>
      </c>
      <c r="K489" t="n">
        <v>0</v>
      </c>
      <c r="L489" t="n">
        <v>0.8169999999999999</v>
      </c>
      <c r="M489" t="n">
        <v>0.183</v>
      </c>
    </row>
    <row r="490" spans="1:13">
      <c r="A490" s="1">
        <f>HYPERLINK("http://www.twitter.com/NathanBLawrence/status/994741943749042176", "994741943749042176")</f>
        <v/>
      </c>
      <c r="B490" s="2" t="n">
        <v>43231.03628472222</v>
      </c>
      <c r="C490" t="n">
        <v>1</v>
      </c>
      <c r="D490" t="n">
        <v>0</v>
      </c>
      <c r="E490" t="s">
        <v>501</v>
      </c>
      <c r="F490" t="s"/>
      <c r="G490" t="s"/>
      <c r="H490" t="s"/>
      <c r="I490" t="s"/>
      <c r="J490" t="n">
        <v>0</v>
      </c>
      <c r="K490" t="n">
        <v>0</v>
      </c>
      <c r="L490" t="n">
        <v>1</v>
      </c>
      <c r="M490" t="n">
        <v>0</v>
      </c>
    </row>
    <row r="491" spans="1:13">
      <c r="A491" s="1">
        <f>HYPERLINK("http://www.twitter.com/NathanBLawrence/status/994739696491286535", "994739696491286535")</f>
        <v/>
      </c>
      <c r="B491" s="2" t="n">
        <v>43231.03008101852</v>
      </c>
      <c r="C491" t="n">
        <v>3</v>
      </c>
      <c r="D491" t="n">
        <v>1</v>
      </c>
      <c r="E491" t="s">
        <v>502</v>
      </c>
      <c r="F491" t="s"/>
      <c r="G491" t="s"/>
      <c r="H491" t="s"/>
      <c r="I491" t="s"/>
      <c r="J491" t="n">
        <v>-0.6739000000000001</v>
      </c>
      <c r="K491" t="n">
        <v>0.201</v>
      </c>
      <c r="L491" t="n">
        <v>0.799</v>
      </c>
      <c r="M491" t="n">
        <v>0</v>
      </c>
    </row>
    <row r="492" spans="1:13">
      <c r="A492" s="1">
        <f>HYPERLINK("http://www.twitter.com/NathanBLawrence/status/994738797505056775", "994738797505056775")</f>
        <v/>
      </c>
      <c r="B492" s="2" t="n">
        <v>43231.02760416667</v>
      </c>
      <c r="C492" t="n">
        <v>0</v>
      </c>
      <c r="D492" t="n">
        <v>1938</v>
      </c>
      <c r="E492" t="s">
        <v>503</v>
      </c>
      <c r="F492">
        <f>HYPERLINK("https://video.twimg.com/amplify_video/994164309331730432/vid/1280x720/xO6U7UnHAtf5H72l.mp4?tag=2", "https://video.twimg.com/amplify_video/994164309331730432/vid/1280x720/xO6U7UnHAtf5H72l.mp4?tag=2")</f>
        <v/>
      </c>
      <c r="G492" t="s"/>
      <c r="H492" t="s"/>
      <c r="I492" t="s"/>
      <c r="J492" t="n">
        <v>-0.3593</v>
      </c>
      <c r="K492" t="n">
        <v>0.177</v>
      </c>
      <c r="L492" t="n">
        <v>0.711</v>
      </c>
      <c r="M492" t="n">
        <v>0.111</v>
      </c>
    </row>
    <row r="493" spans="1:13">
      <c r="A493" s="1">
        <f>HYPERLINK("http://www.twitter.com/NathanBLawrence/status/994737890235174913", "994737890235174913")</f>
        <v/>
      </c>
      <c r="B493" s="2" t="n">
        <v>43231.02510416666</v>
      </c>
      <c r="C493" t="n">
        <v>3</v>
      </c>
      <c r="D493" t="n">
        <v>0</v>
      </c>
      <c r="E493" t="s">
        <v>504</v>
      </c>
      <c r="F493" t="s"/>
      <c r="G493" t="s"/>
      <c r="H493" t="s"/>
      <c r="I493" t="s"/>
      <c r="J493" t="n">
        <v>0</v>
      </c>
      <c r="K493" t="n">
        <v>0</v>
      </c>
      <c r="L493" t="n">
        <v>1</v>
      </c>
      <c r="M493" t="n">
        <v>0</v>
      </c>
    </row>
    <row r="494" spans="1:13">
      <c r="A494" s="1">
        <f>HYPERLINK("http://www.twitter.com/NathanBLawrence/status/994737657820471296", "994737657820471296")</f>
        <v/>
      </c>
      <c r="B494" s="2" t="n">
        <v>43231.02445601852</v>
      </c>
      <c r="C494" t="n">
        <v>1</v>
      </c>
      <c r="D494" t="n">
        <v>1</v>
      </c>
      <c r="E494" t="s">
        <v>505</v>
      </c>
      <c r="F494" t="s"/>
      <c r="G494" t="s"/>
      <c r="H494" t="s"/>
      <c r="I494" t="s"/>
      <c r="J494" t="n">
        <v>-0.7176</v>
      </c>
      <c r="K494" t="n">
        <v>0.222</v>
      </c>
      <c r="L494" t="n">
        <v>0.778</v>
      </c>
      <c r="M494" t="n">
        <v>0</v>
      </c>
    </row>
    <row r="495" spans="1:13">
      <c r="A495" s="1">
        <f>HYPERLINK("http://www.twitter.com/NathanBLawrence/status/994737190973435906", "994737190973435906")</f>
        <v/>
      </c>
      <c r="B495" s="2" t="n">
        <v>43231.0231712963</v>
      </c>
      <c r="C495" t="n">
        <v>0</v>
      </c>
      <c r="D495" t="n">
        <v>9</v>
      </c>
      <c r="E495" t="s">
        <v>506</v>
      </c>
      <c r="F495" t="s"/>
      <c r="G495" t="s"/>
      <c r="H495" t="s"/>
      <c r="I495" t="s"/>
      <c r="J495" t="n">
        <v>-0.6452</v>
      </c>
      <c r="K495" t="n">
        <v>0.163</v>
      </c>
      <c r="L495" t="n">
        <v>0.837</v>
      </c>
      <c r="M495" t="n">
        <v>0</v>
      </c>
    </row>
    <row r="496" spans="1:13">
      <c r="A496" s="1">
        <f>HYPERLINK("http://www.twitter.com/NathanBLawrence/status/994734172781645831", "994734172781645831")</f>
        <v/>
      </c>
      <c r="B496" s="2" t="n">
        <v>43231.01483796296</v>
      </c>
      <c r="C496" t="n">
        <v>0</v>
      </c>
      <c r="D496" t="n">
        <v>2828</v>
      </c>
      <c r="E496" t="s">
        <v>507</v>
      </c>
      <c r="F496" t="s"/>
      <c r="G496" t="s"/>
      <c r="H496" t="s"/>
      <c r="I496" t="s"/>
      <c r="J496" t="n">
        <v>0.3818</v>
      </c>
      <c r="K496" t="n">
        <v>0</v>
      </c>
      <c r="L496" t="n">
        <v>0.898</v>
      </c>
      <c r="M496" t="n">
        <v>0.102</v>
      </c>
    </row>
    <row r="497" spans="1:13">
      <c r="A497" s="1">
        <f>HYPERLINK("http://www.twitter.com/NathanBLawrence/status/994734046583410688", "994734046583410688")</f>
        <v/>
      </c>
      <c r="B497" s="2" t="n">
        <v>43231.01449074074</v>
      </c>
      <c r="C497" t="n">
        <v>0</v>
      </c>
      <c r="D497" t="n">
        <v>537</v>
      </c>
      <c r="E497" t="s">
        <v>508</v>
      </c>
      <c r="F497">
        <f>HYPERLINK("http://pbs.twimg.com/media/Dc2Fp5SW4AInjEN.jpg", "http://pbs.twimg.com/media/Dc2Fp5SW4AInjEN.jpg")</f>
        <v/>
      </c>
      <c r="G497" t="s"/>
      <c r="H497" t="s"/>
      <c r="I497" t="s"/>
      <c r="J497" t="n">
        <v>0.0772</v>
      </c>
      <c r="K497" t="n">
        <v>0.127</v>
      </c>
      <c r="L497" t="n">
        <v>0.734</v>
      </c>
      <c r="M497" t="n">
        <v>0.139</v>
      </c>
    </row>
    <row r="498" spans="1:13">
      <c r="A498" s="1">
        <f>HYPERLINK("http://www.twitter.com/NathanBLawrence/status/994733469631643653", "994733469631643653")</f>
        <v/>
      </c>
      <c r="B498" s="2" t="n">
        <v>43231.01290509259</v>
      </c>
      <c r="C498" t="n">
        <v>0</v>
      </c>
      <c r="D498" t="n">
        <v>255</v>
      </c>
      <c r="E498" t="s">
        <v>509</v>
      </c>
      <c r="F498" t="s"/>
      <c r="G498" t="s"/>
      <c r="H498" t="s"/>
      <c r="I498" t="s"/>
      <c r="J498" t="n">
        <v>0.6597</v>
      </c>
      <c r="K498" t="n">
        <v>0</v>
      </c>
      <c r="L498" t="n">
        <v>0.8100000000000001</v>
      </c>
      <c r="M498" t="n">
        <v>0.19</v>
      </c>
    </row>
    <row r="499" spans="1:13">
      <c r="A499" s="1">
        <f>HYPERLINK("http://www.twitter.com/NathanBLawrence/status/994732881137332226", "994732881137332226")</f>
        <v/>
      </c>
      <c r="B499" s="2" t="n">
        <v>43231.01127314815</v>
      </c>
      <c r="C499" t="n">
        <v>1</v>
      </c>
      <c r="D499" t="n">
        <v>0</v>
      </c>
      <c r="E499" t="s">
        <v>510</v>
      </c>
      <c r="F499" t="s"/>
      <c r="G499" t="s"/>
      <c r="H499" t="s"/>
      <c r="I499" t="s"/>
      <c r="J499" t="n">
        <v>-0.1779</v>
      </c>
      <c r="K499" t="n">
        <v>0.104</v>
      </c>
      <c r="L499" t="n">
        <v>0.784</v>
      </c>
      <c r="M499" t="n">
        <v>0.112</v>
      </c>
    </row>
    <row r="500" spans="1:13">
      <c r="A500" s="1">
        <f>HYPERLINK("http://www.twitter.com/NathanBLawrence/status/994717950924947456", "994717950924947456")</f>
        <v/>
      </c>
      <c r="B500" s="2" t="n">
        <v>43230.97008101852</v>
      </c>
      <c r="C500" t="n">
        <v>3</v>
      </c>
      <c r="D500" t="n">
        <v>0</v>
      </c>
      <c r="E500" t="s">
        <v>511</v>
      </c>
      <c r="F500" t="s"/>
      <c r="G500" t="s"/>
      <c r="H500" t="s"/>
      <c r="I500" t="s"/>
      <c r="J500" t="n">
        <v>0.4767</v>
      </c>
      <c r="K500" t="n">
        <v>0.274</v>
      </c>
      <c r="L500" t="n">
        <v>0.191</v>
      </c>
      <c r="M500" t="n">
        <v>0.535</v>
      </c>
    </row>
    <row r="501" spans="1:13">
      <c r="A501" s="1">
        <f>HYPERLINK("http://www.twitter.com/NathanBLawrence/status/994709837224267777", "994709837224267777")</f>
        <v/>
      </c>
      <c r="B501" s="2" t="n">
        <v>43230.94768518519</v>
      </c>
      <c r="C501" t="n">
        <v>0</v>
      </c>
      <c r="D501" t="n">
        <v>5</v>
      </c>
      <c r="E501" t="s">
        <v>512</v>
      </c>
      <c r="F501">
        <f>HYPERLINK("http://pbs.twimg.com/media/Dc3pTWOX4AAnQaW.jpg", "http://pbs.twimg.com/media/Dc3pTWOX4AAnQaW.jpg")</f>
        <v/>
      </c>
      <c r="G501" t="s"/>
      <c r="H501" t="s"/>
      <c r="I501" t="s"/>
      <c r="J501" t="n">
        <v>0</v>
      </c>
      <c r="K501" t="n">
        <v>0</v>
      </c>
      <c r="L501" t="n">
        <v>1</v>
      </c>
      <c r="M501" t="n">
        <v>0</v>
      </c>
    </row>
    <row r="502" spans="1:13">
      <c r="A502" s="1">
        <f>HYPERLINK("http://www.twitter.com/NathanBLawrence/status/994703848466939904", "994703848466939904")</f>
        <v/>
      </c>
      <c r="B502" s="2" t="n">
        <v>43230.93115740741</v>
      </c>
      <c r="C502" t="n">
        <v>1</v>
      </c>
      <c r="D502" t="n">
        <v>0</v>
      </c>
      <c r="E502" t="s">
        <v>513</v>
      </c>
      <c r="F502" t="s"/>
      <c r="G502" t="s"/>
      <c r="H502" t="s"/>
      <c r="I502" t="s"/>
      <c r="J502" t="n">
        <v>-0.5266999999999999</v>
      </c>
      <c r="K502" t="n">
        <v>0.63</v>
      </c>
      <c r="L502" t="n">
        <v>0.37</v>
      </c>
      <c r="M502" t="n">
        <v>0</v>
      </c>
    </row>
    <row r="503" spans="1:13">
      <c r="A503" s="1">
        <f>HYPERLINK("http://www.twitter.com/NathanBLawrence/status/994703728761626624", "994703728761626624")</f>
        <v/>
      </c>
      <c r="B503" s="2" t="n">
        <v>43230.93083333333</v>
      </c>
      <c r="C503" t="n">
        <v>0</v>
      </c>
      <c r="D503" t="n">
        <v>6</v>
      </c>
      <c r="E503" t="s">
        <v>514</v>
      </c>
      <c r="F503" t="s"/>
      <c r="G503" t="s"/>
      <c r="H503" t="s"/>
      <c r="I503" t="s"/>
      <c r="J503" t="n">
        <v>0.5994</v>
      </c>
      <c r="K503" t="n">
        <v>0</v>
      </c>
      <c r="L503" t="n">
        <v>0.837</v>
      </c>
      <c r="M503" t="n">
        <v>0.163</v>
      </c>
    </row>
    <row r="504" spans="1:13">
      <c r="A504" s="1">
        <f>HYPERLINK("http://www.twitter.com/NathanBLawrence/status/994703573144473602", "994703573144473602")</f>
        <v/>
      </c>
      <c r="B504" s="2" t="n">
        <v>43230.93040509259</v>
      </c>
      <c r="C504" t="n">
        <v>2</v>
      </c>
      <c r="D504" t="n">
        <v>0</v>
      </c>
      <c r="E504" t="s">
        <v>515</v>
      </c>
      <c r="F504" t="s"/>
      <c r="G504" t="s"/>
      <c r="H504" t="s"/>
      <c r="I504" t="s"/>
      <c r="J504" t="n">
        <v>0</v>
      </c>
      <c r="K504" t="n">
        <v>0</v>
      </c>
      <c r="L504" t="n">
        <v>1</v>
      </c>
      <c r="M504" t="n">
        <v>0</v>
      </c>
    </row>
    <row r="505" spans="1:13">
      <c r="A505" s="1">
        <f>HYPERLINK("http://www.twitter.com/NathanBLawrence/status/994703259846762496", "994703259846762496")</f>
        <v/>
      </c>
      <c r="B505" s="2" t="n">
        <v>43230.92953703704</v>
      </c>
      <c r="C505" t="n">
        <v>0</v>
      </c>
      <c r="D505" t="n">
        <v>8</v>
      </c>
      <c r="E505" t="s">
        <v>516</v>
      </c>
      <c r="F505" t="s"/>
      <c r="G505" t="s"/>
      <c r="H505" t="s"/>
      <c r="I505" t="s"/>
      <c r="J505" t="n">
        <v>-0.0772</v>
      </c>
      <c r="K505" t="n">
        <v>0.149</v>
      </c>
      <c r="L505" t="n">
        <v>0.718</v>
      </c>
      <c r="M505" t="n">
        <v>0.133</v>
      </c>
    </row>
    <row r="506" spans="1:13">
      <c r="A506" s="1">
        <f>HYPERLINK("http://www.twitter.com/NathanBLawrence/status/994703106196824065", "994703106196824065")</f>
        <v/>
      </c>
      <c r="B506" s="2" t="n">
        <v>43230.9291087963</v>
      </c>
      <c r="C506" t="n">
        <v>0</v>
      </c>
      <c r="D506" t="n">
        <v>2</v>
      </c>
      <c r="E506" t="s">
        <v>517</v>
      </c>
      <c r="F506" t="s"/>
      <c r="G506" t="s"/>
      <c r="H506" t="s"/>
      <c r="I506" t="s"/>
      <c r="J506" t="n">
        <v>0</v>
      </c>
      <c r="K506" t="n">
        <v>0</v>
      </c>
      <c r="L506" t="n">
        <v>1</v>
      </c>
      <c r="M506" t="n">
        <v>0</v>
      </c>
    </row>
    <row r="507" spans="1:13">
      <c r="A507" s="1">
        <f>HYPERLINK("http://www.twitter.com/NathanBLawrence/status/994697954761101312", "994697954761101312")</f>
        <v/>
      </c>
      <c r="B507" s="2" t="n">
        <v>43230.91489583333</v>
      </c>
      <c r="C507" t="n">
        <v>0</v>
      </c>
      <c r="D507" t="n">
        <v>0</v>
      </c>
      <c r="E507" t="s">
        <v>518</v>
      </c>
      <c r="F507" t="s"/>
      <c r="G507" t="s"/>
      <c r="H507" t="s"/>
      <c r="I507" t="s"/>
      <c r="J507" t="n">
        <v>0.0549</v>
      </c>
      <c r="K507" t="n">
        <v>0.235</v>
      </c>
      <c r="L507" t="n">
        <v>0.593</v>
      </c>
      <c r="M507" t="n">
        <v>0.172</v>
      </c>
    </row>
    <row r="508" spans="1:13">
      <c r="A508" s="1">
        <f>HYPERLINK("http://www.twitter.com/NathanBLawrence/status/994697203766751234", "994697203766751234")</f>
        <v/>
      </c>
      <c r="B508" s="2" t="n">
        <v>43230.91282407408</v>
      </c>
      <c r="C508" t="n">
        <v>2</v>
      </c>
      <c r="D508" t="n">
        <v>0</v>
      </c>
      <c r="E508" t="s">
        <v>519</v>
      </c>
      <c r="F508" t="s"/>
      <c r="G508" t="s"/>
      <c r="H508" t="s"/>
      <c r="I508" t="s"/>
      <c r="J508" t="n">
        <v>-0.5962</v>
      </c>
      <c r="K508" t="n">
        <v>0.66</v>
      </c>
      <c r="L508" t="n">
        <v>0.34</v>
      </c>
      <c r="M508" t="n">
        <v>0</v>
      </c>
    </row>
    <row r="509" spans="1:13">
      <c r="A509" s="1">
        <f>HYPERLINK("http://www.twitter.com/NathanBLawrence/status/994693613098586112", "994693613098586112")</f>
        <v/>
      </c>
      <c r="B509" s="2" t="n">
        <v>43230.90291666667</v>
      </c>
      <c r="C509" t="n">
        <v>3</v>
      </c>
      <c r="D509" t="n">
        <v>1</v>
      </c>
      <c r="E509" t="s">
        <v>520</v>
      </c>
      <c r="F509" t="s"/>
      <c r="G509" t="s"/>
      <c r="H509" t="s"/>
      <c r="I509" t="s"/>
      <c r="J509" t="n">
        <v>0.7896</v>
      </c>
      <c r="K509" t="n">
        <v>0.081</v>
      </c>
      <c r="L509" t="n">
        <v>0.66</v>
      </c>
      <c r="M509" t="n">
        <v>0.259</v>
      </c>
    </row>
    <row r="510" spans="1:13">
      <c r="A510" s="1">
        <f>HYPERLINK("http://www.twitter.com/NathanBLawrence/status/994667074558550016", "994667074558550016")</f>
        <v/>
      </c>
      <c r="B510" s="2" t="n">
        <v>43230.8296875</v>
      </c>
      <c r="C510" t="n">
        <v>0</v>
      </c>
      <c r="D510" t="n">
        <v>0</v>
      </c>
      <c r="E510" t="s">
        <v>521</v>
      </c>
      <c r="F510" t="s"/>
      <c r="G510" t="s"/>
      <c r="H510" t="s"/>
      <c r="I510" t="s"/>
      <c r="J510" t="n">
        <v>0.6588000000000001</v>
      </c>
      <c r="K510" t="n">
        <v>0</v>
      </c>
      <c r="L510" t="n">
        <v>0.532</v>
      </c>
      <c r="M510" t="n">
        <v>0.468</v>
      </c>
    </row>
    <row r="511" spans="1:13">
      <c r="A511" s="1">
        <f>HYPERLINK("http://www.twitter.com/NathanBLawrence/status/994666715421265921", "994666715421265921")</f>
        <v/>
      </c>
      <c r="B511" s="2" t="n">
        <v>43230.82869212963</v>
      </c>
      <c r="C511" t="n">
        <v>0</v>
      </c>
      <c r="D511" t="n">
        <v>146</v>
      </c>
      <c r="E511" t="s">
        <v>522</v>
      </c>
      <c r="F511">
        <f>HYPERLINK("http://pbs.twimg.com/media/Dc2iFOJUwAAT7QW.jpg", "http://pbs.twimg.com/media/Dc2iFOJUwAAT7QW.jpg")</f>
        <v/>
      </c>
      <c r="G511" t="s"/>
      <c r="H511" t="s"/>
      <c r="I511" t="s"/>
      <c r="J511" t="n">
        <v>0</v>
      </c>
      <c r="K511" t="n">
        <v>0</v>
      </c>
      <c r="L511" t="n">
        <v>1</v>
      </c>
      <c r="M511" t="n">
        <v>0</v>
      </c>
    </row>
    <row r="512" spans="1:13">
      <c r="A512" s="1">
        <f>HYPERLINK("http://www.twitter.com/NathanBLawrence/status/994666230811381762", "994666230811381762")</f>
        <v/>
      </c>
      <c r="B512" s="2" t="n">
        <v>43230.82736111111</v>
      </c>
      <c r="C512" t="n">
        <v>0</v>
      </c>
      <c r="D512" t="n">
        <v>0</v>
      </c>
      <c r="E512" t="s">
        <v>523</v>
      </c>
      <c r="F512" t="s"/>
      <c r="G512" t="s"/>
      <c r="H512" t="s"/>
      <c r="I512" t="s"/>
      <c r="J512" t="n">
        <v>0.3612</v>
      </c>
      <c r="K512" t="n">
        <v>0</v>
      </c>
      <c r="L512" t="n">
        <v>0.872</v>
      </c>
      <c r="M512" t="n">
        <v>0.128</v>
      </c>
    </row>
    <row r="513" spans="1:13">
      <c r="A513" s="1">
        <f>HYPERLINK("http://www.twitter.com/NathanBLawrence/status/994665773623848960", "994665773623848960")</f>
        <v/>
      </c>
      <c r="B513" s="2" t="n">
        <v>43230.82609953704</v>
      </c>
      <c r="C513" t="n">
        <v>2</v>
      </c>
      <c r="D513" t="n">
        <v>1</v>
      </c>
      <c r="E513" t="s">
        <v>524</v>
      </c>
      <c r="F513" t="s"/>
      <c r="G513" t="s"/>
      <c r="H513" t="s"/>
      <c r="I513" t="s"/>
      <c r="J513" t="n">
        <v>-0.1734</v>
      </c>
      <c r="K513" t="n">
        <v>0.049</v>
      </c>
      <c r="L513" t="n">
        <v>0.917</v>
      </c>
      <c r="M513" t="n">
        <v>0.034</v>
      </c>
    </row>
    <row r="514" spans="1:13">
      <c r="A514" s="1">
        <f>HYPERLINK("http://www.twitter.com/NathanBLawrence/status/994664743754399745", "994664743754399745")</f>
        <v/>
      </c>
      <c r="B514" s="2" t="n">
        <v>43230.82325231482</v>
      </c>
      <c r="C514" t="n">
        <v>0</v>
      </c>
      <c r="D514" t="n">
        <v>240</v>
      </c>
      <c r="E514" t="s">
        <v>525</v>
      </c>
      <c r="F514" t="s"/>
      <c r="G514" t="s"/>
      <c r="H514" t="s"/>
      <c r="I514" t="s"/>
      <c r="J514" t="n">
        <v>0.7712</v>
      </c>
      <c r="K514" t="n">
        <v>0</v>
      </c>
      <c r="L514" t="n">
        <v>0.642</v>
      </c>
      <c r="M514" t="n">
        <v>0.358</v>
      </c>
    </row>
    <row r="515" spans="1:13">
      <c r="A515" s="1">
        <f>HYPERLINK("http://www.twitter.com/NathanBLawrence/status/994630967745744896", "994630967745744896")</f>
        <v/>
      </c>
      <c r="B515" s="2" t="n">
        <v>43230.7300462963</v>
      </c>
      <c r="C515" t="n">
        <v>0</v>
      </c>
      <c r="D515" t="n">
        <v>1545</v>
      </c>
      <c r="E515" t="s">
        <v>526</v>
      </c>
      <c r="F515" t="s"/>
      <c r="G515" t="s"/>
      <c r="H515" t="s"/>
      <c r="I515" t="s"/>
      <c r="J515" t="n">
        <v>0.5859</v>
      </c>
      <c r="K515" t="n">
        <v>0</v>
      </c>
      <c r="L515" t="n">
        <v>0.858</v>
      </c>
      <c r="M515" t="n">
        <v>0.142</v>
      </c>
    </row>
    <row r="516" spans="1:13">
      <c r="A516" s="1">
        <f>HYPERLINK("http://www.twitter.com/NathanBLawrence/status/994623340710187008", "994623340710187008")</f>
        <v/>
      </c>
      <c r="B516" s="2" t="n">
        <v>43230.70900462963</v>
      </c>
      <c r="C516" t="n">
        <v>0</v>
      </c>
      <c r="D516" t="n">
        <v>0</v>
      </c>
      <c r="E516" t="s">
        <v>527</v>
      </c>
      <c r="F516" t="s"/>
      <c r="G516" t="s"/>
      <c r="H516" t="s"/>
      <c r="I516" t="s"/>
      <c r="J516" t="n">
        <v>-0.296</v>
      </c>
      <c r="K516" t="n">
        <v>0.151</v>
      </c>
      <c r="L516" t="n">
        <v>0.739</v>
      </c>
      <c r="M516" t="n">
        <v>0.109</v>
      </c>
    </row>
    <row r="517" spans="1:13">
      <c r="A517" s="1">
        <f>HYPERLINK("http://www.twitter.com/NathanBLawrence/status/994622783526195200", "994622783526195200")</f>
        <v/>
      </c>
      <c r="B517" s="2" t="n">
        <v>43230.70746527778</v>
      </c>
      <c r="C517" t="n">
        <v>0</v>
      </c>
      <c r="D517" t="n">
        <v>0</v>
      </c>
      <c r="E517" t="s">
        <v>528</v>
      </c>
      <c r="F517" t="s"/>
      <c r="G517" t="s"/>
      <c r="H517" t="s"/>
      <c r="I517" t="s"/>
      <c r="J517" t="n">
        <v>-0.6633</v>
      </c>
      <c r="K517" t="n">
        <v>0.596</v>
      </c>
      <c r="L517" t="n">
        <v>0.404</v>
      </c>
      <c r="M517" t="n">
        <v>0</v>
      </c>
    </row>
    <row r="518" spans="1:13">
      <c r="A518" s="1">
        <f>HYPERLINK("http://www.twitter.com/NathanBLawrence/status/994619847844810752", "994619847844810752")</f>
        <v/>
      </c>
      <c r="B518" s="2" t="n">
        <v>43230.69936342593</v>
      </c>
      <c r="C518" t="n">
        <v>0</v>
      </c>
      <c r="D518" t="n">
        <v>14785</v>
      </c>
      <c r="E518" t="s">
        <v>529</v>
      </c>
      <c r="F518" t="s"/>
      <c r="G518" t="s"/>
      <c r="H518" t="s"/>
      <c r="I518" t="s"/>
      <c r="J518" t="n">
        <v>-0.6486</v>
      </c>
      <c r="K518" t="n">
        <v>0.212</v>
      </c>
      <c r="L518" t="n">
        <v>0.788</v>
      </c>
      <c r="M518" t="n">
        <v>0</v>
      </c>
    </row>
    <row r="519" spans="1:13">
      <c r="A519" s="1">
        <f>HYPERLINK("http://www.twitter.com/NathanBLawrence/status/994619752181100555", "994619752181100555")</f>
        <v/>
      </c>
      <c r="B519" s="2" t="n">
        <v>43230.69909722222</v>
      </c>
      <c r="C519" t="n">
        <v>3</v>
      </c>
      <c r="D519" t="n">
        <v>1</v>
      </c>
      <c r="E519" t="s">
        <v>530</v>
      </c>
      <c r="F519" t="s"/>
      <c r="G519" t="s"/>
      <c r="H519" t="s"/>
      <c r="I519" t="s"/>
      <c r="J519" t="n">
        <v>0</v>
      </c>
      <c r="K519" t="n">
        <v>0</v>
      </c>
      <c r="L519" t="n">
        <v>1</v>
      </c>
      <c r="M519" t="n">
        <v>0</v>
      </c>
    </row>
    <row r="520" spans="1:13">
      <c r="A520" s="1">
        <f>HYPERLINK("http://www.twitter.com/NathanBLawrence/status/994610242133594113", "994610242133594113")</f>
        <v/>
      </c>
      <c r="B520" s="2" t="n">
        <v>43230.67285879629</v>
      </c>
      <c r="C520" t="n">
        <v>0</v>
      </c>
      <c r="D520" t="n">
        <v>5</v>
      </c>
      <c r="E520" t="s">
        <v>531</v>
      </c>
      <c r="F520" t="s"/>
      <c r="G520" t="s"/>
      <c r="H520" t="s"/>
      <c r="I520" t="s"/>
      <c r="J520" t="n">
        <v>-0.5256</v>
      </c>
      <c r="K520" t="n">
        <v>0.184</v>
      </c>
      <c r="L520" t="n">
        <v>0.8159999999999999</v>
      </c>
      <c r="M520" t="n">
        <v>0</v>
      </c>
    </row>
    <row r="521" spans="1:13">
      <c r="A521" s="1">
        <f>HYPERLINK("http://www.twitter.com/NathanBLawrence/status/994610058213449728", "994610058213449728")</f>
        <v/>
      </c>
      <c r="B521" s="2" t="n">
        <v>43230.67234953704</v>
      </c>
      <c r="C521" t="n">
        <v>0</v>
      </c>
      <c r="D521" t="n">
        <v>1</v>
      </c>
      <c r="E521" t="s">
        <v>532</v>
      </c>
      <c r="F521" t="s"/>
      <c r="G521" t="s"/>
      <c r="H521" t="s"/>
      <c r="I521" t="s"/>
      <c r="J521" t="n">
        <v>0.128</v>
      </c>
      <c r="K521" t="n">
        <v>0</v>
      </c>
      <c r="L521" t="n">
        <v>0.9330000000000001</v>
      </c>
      <c r="M521" t="n">
        <v>0.067</v>
      </c>
    </row>
    <row r="522" spans="1:13">
      <c r="A522" s="1">
        <f>HYPERLINK("http://www.twitter.com/NathanBLawrence/status/994585770248867841", "994585770248867841")</f>
        <v/>
      </c>
      <c r="B522" s="2" t="n">
        <v>43230.60532407407</v>
      </c>
      <c r="C522" t="n">
        <v>2</v>
      </c>
      <c r="D522" t="n">
        <v>1</v>
      </c>
      <c r="E522" t="s">
        <v>533</v>
      </c>
      <c r="F522" t="s"/>
      <c r="G522" t="s"/>
      <c r="H522" t="s"/>
      <c r="I522" t="s"/>
      <c r="J522" t="n">
        <v>0.6633</v>
      </c>
      <c r="K522" t="n">
        <v>0</v>
      </c>
      <c r="L522" t="n">
        <v>0.67</v>
      </c>
      <c r="M522" t="n">
        <v>0.33</v>
      </c>
    </row>
    <row r="523" spans="1:13">
      <c r="A523" s="1">
        <f>HYPERLINK("http://www.twitter.com/NathanBLawrence/status/994584683198472192", "994584683198472192")</f>
        <v/>
      </c>
      <c r="B523" s="2" t="n">
        <v>43230.60232638889</v>
      </c>
      <c r="C523" t="n">
        <v>2</v>
      </c>
      <c r="D523" t="n">
        <v>0</v>
      </c>
      <c r="E523" t="s">
        <v>534</v>
      </c>
      <c r="F523" t="s"/>
      <c r="G523" t="s"/>
      <c r="H523" t="s"/>
      <c r="I523" t="s"/>
      <c r="J523" t="n">
        <v>0.7713</v>
      </c>
      <c r="K523" t="n">
        <v>0.075</v>
      </c>
      <c r="L523" t="n">
        <v>0.675</v>
      </c>
      <c r="M523" t="n">
        <v>0.249</v>
      </c>
    </row>
    <row r="524" spans="1:13">
      <c r="A524" s="1">
        <f>HYPERLINK("http://www.twitter.com/NathanBLawrence/status/994584075578101760", "994584075578101760")</f>
        <v/>
      </c>
      <c r="B524" s="2" t="n">
        <v>43230.60064814815</v>
      </c>
      <c r="C524" t="n">
        <v>0</v>
      </c>
      <c r="D524" t="n">
        <v>0</v>
      </c>
      <c r="E524" t="s">
        <v>535</v>
      </c>
      <c r="F524" t="s"/>
      <c r="G524" t="s"/>
      <c r="H524" t="s"/>
      <c r="I524" t="s"/>
      <c r="J524" t="n">
        <v>-0.4588</v>
      </c>
      <c r="K524" t="n">
        <v>0.375</v>
      </c>
      <c r="L524" t="n">
        <v>0.625</v>
      </c>
      <c r="M524" t="n">
        <v>0</v>
      </c>
    </row>
    <row r="525" spans="1:13">
      <c r="A525" s="1">
        <f>HYPERLINK("http://www.twitter.com/NathanBLawrence/status/994583704705097728", "994583704705097728")</f>
        <v/>
      </c>
      <c r="B525" s="2" t="n">
        <v>43230.59962962963</v>
      </c>
      <c r="C525" t="n">
        <v>0</v>
      </c>
      <c r="D525" t="n">
        <v>1</v>
      </c>
      <c r="E525" t="s">
        <v>536</v>
      </c>
      <c r="F525" t="s"/>
      <c r="G525" t="s"/>
      <c r="H525" t="s"/>
      <c r="I525" t="s"/>
      <c r="J525" t="n">
        <v>-0.5719</v>
      </c>
      <c r="K525" t="n">
        <v>0.343</v>
      </c>
      <c r="L525" t="n">
        <v>0.657</v>
      </c>
      <c r="M525" t="n">
        <v>0</v>
      </c>
    </row>
    <row r="526" spans="1:13">
      <c r="A526" s="1">
        <f>HYPERLINK("http://www.twitter.com/NathanBLawrence/status/994583084954804225", "994583084954804225")</f>
        <v/>
      </c>
      <c r="B526" s="2" t="n">
        <v>43230.59791666667</v>
      </c>
      <c r="C526" t="n">
        <v>6</v>
      </c>
      <c r="D526" t="n">
        <v>1</v>
      </c>
      <c r="E526" t="s">
        <v>537</v>
      </c>
      <c r="F526" t="s"/>
      <c r="G526" t="s"/>
      <c r="H526" t="s"/>
      <c r="I526" t="s"/>
      <c r="J526" t="n">
        <v>0</v>
      </c>
      <c r="K526" t="n">
        <v>0</v>
      </c>
      <c r="L526" t="n">
        <v>1</v>
      </c>
      <c r="M526" t="n">
        <v>0</v>
      </c>
    </row>
    <row r="527" spans="1:13">
      <c r="A527" s="1">
        <f>HYPERLINK("http://www.twitter.com/NathanBLawrence/status/994581182724689921", "994581182724689921")</f>
        <v/>
      </c>
      <c r="B527" s="2" t="n">
        <v>43230.59267361111</v>
      </c>
      <c r="C527" t="n">
        <v>1</v>
      </c>
      <c r="D527" t="n">
        <v>0</v>
      </c>
      <c r="E527" t="s">
        <v>538</v>
      </c>
      <c r="F527" t="s"/>
      <c r="G527" t="s"/>
      <c r="H527" t="s"/>
      <c r="I527" t="s"/>
      <c r="J527" t="n">
        <v>0</v>
      </c>
      <c r="K527" t="n">
        <v>0</v>
      </c>
      <c r="L527" t="n">
        <v>1</v>
      </c>
      <c r="M527" t="n">
        <v>0</v>
      </c>
    </row>
    <row r="528" spans="1:13">
      <c r="A528" s="1">
        <f>HYPERLINK("http://www.twitter.com/NathanBLawrence/status/994573170588946432", "994573170588946432")</f>
        <v/>
      </c>
      <c r="B528" s="2" t="n">
        <v>43230.57055555555</v>
      </c>
      <c r="C528" t="n">
        <v>0</v>
      </c>
      <c r="D528" t="n">
        <v>0</v>
      </c>
      <c r="E528" t="s">
        <v>539</v>
      </c>
      <c r="F528" t="s"/>
      <c r="G528" t="s"/>
      <c r="H528" t="s"/>
      <c r="I528" t="s"/>
      <c r="J528" t="n">
        <v>0</v>
      </c>
      <c r="K528" t="n">
        <v>0</v>
      </c>
      <c r="L528" t="n">
        <v>1</v>
      </c>
      <c r="M528" t="n">
        <v>0</v>
      </c>
    </row>
    <row r="529" spans="1:13">
      <c r="A529" s="1">
        <f>HYPERLINK("http://www.twitter.com/NathanBLawrence/status/994572746435825666", "994572746435825666")</f>
        <v/>
      </c>
      <c r="B529" s="2" t="n">
        <v>43230.56938657408</v>
      </c>
      <c r="C529" t="n">
        <v>4</v>
      </c>
      <c r="D529" t="n">
        <v>2</v>
      </c>
      <c r="E529" t="s">
        <v>540</v>
      </c>
      <c r="F529" t="s"/>
      <c r="G529" t="s"/>
      <c r="H529" t="s"/>
      <c r="I529" t="s"/>
      <c r="J529" t="n">
        <v>0</v>
      </c>
      <c r="K529" t="n">
        <v>0</v>
      </c>
      <c r="L529" t="n">
        <v>1</v>
      </c>
      <c r="M529" t="n">
        <v>0</v>
      </c>
    </row>
    <row r="530" spans="1:13">
      <c r="A530" s="1">
        <f>HYPERLINK("http://www.twitter.com/NathanBLawrence/status/994563948111425536", "994563948111425536")</f>
        <v/>
      </c>
      <c r="B530" s="2" t="n">
        <v>43230.54510416667</v>
      </c>
      <c r="C530" t="n">
        <v>5</v>
      </c>
      <c r="D530" t="n">
        <v>3</v>
      </c>
      <c r="E530" t="s">
        <v>541</v>
      </c>
      <c r="F530" t="s"/>
      <c r="G530" t="s"/>
      <c r="H530" t="s"/>
      <c r="I530" t="s"/>
      <c r="J530" t="n">
        <v>0.5255</v>
      </c>
      <c r="K530" t="n">
        <v>0</v>
      </c>
      <c r="L530" t="n">
        <v>0.596</v>
      </c>
      <c r="M530" t="n">
        <v>0.404</v>
      </c>
    </row>
    <row r="531" spans="1:13">
      <c r="A531" s="1">
        <f>HYPERLINK("http://www.twitter.com/NathanBLawrence/status/994550740306849797", "994550740306849797")</f>
        <v/>
      </c>
      <c r="B531" s="2" t="n">
        <v>43230.50866898148</v>
      </c>
      <c r="C531" t="n">
        <v>0</v>
      </c>
      <c r="D531" t="n">
        <v>1</v>
      </c>
      <c r="E531" t="s">
        <v>542</v>
      </c>
      <c r="F531" t="s"/>
      <c r="G531" t="s"/>
      <c r="H531" t="s"/>
      <c r="I531" t="s"/>
      <c r="J531" t="n">
        <v>0</v>
      </c>
      <c r="K531" t="n">
        <v>0</v>
      </c>
      <c r="L531" t="n">
        <v>1</v>
      </c>
      <c r="M531" t="n">
        <v>0</v>
      </c>
    </row>
    <row r="532" spans="1:13">
      <c r="A532" s="1">
        <f>HYPERLINK("http://www.twitter.com/NathanBLawrence/status/994545315389890560", "994545315389890560")</f>
        <v/>
      </c>
      <c r="B532" s="2" t="n">
        <v>43230.49369212963</v>
      </c>
      <c r="C532" t="n">
        <v>3</v>
      </c>
      <c r="D532" t="n">
        <v>0</v>
      </c>
      <c r="E532" t="s">
        <v>543</v>
      </c>
      <c r="F532" t="s"/>
      <c r="G532" t="s"/>
      <c r="H532" t="s"/>
      <c r="I532" t="s"/>
      <c r="J532" t="n">
        <v>0</v>
      </c>
      <c r="K532" t="n">
        <v>0</v>
      </c>
      <c r="L532" t="n">
        <v>1</v>
      </c>
      <c r="M532" t="n">
        <v>0</v>
      </c>
    </row>
    <row r="533" spans="1:13">
      <c r="A533" s="1">
        <f>HYPERLINK("http://www.twitter.com/NathanBLawrence/status/994543407426080769", "994543407426080769")</f>
        <v/>
      </c>
      <c r="B533" s="2" t="n">
        <v>43230.48842592593</v>
      </c>
      <c r="C533" t="n">
        <v>1</v>
      </c>
      <c r="D533" t="n">
        <v>0</v>
      </c>
      <c r="E533" t="s">
        <v>544</v>
      </c>
      <c r="F533" t="s"/>
      <c r="G533" t="s"/>
      <c r="H533" t="s"/>
      <c r="I533" t="s"/>
      <c r="J533" t="n">
        <v>0</v>
      </c>
      <c r="K533" t="n">
        <v>0</v>
      </c>
      <c r="L533" t="n">
        <v>1</v>
      </c>
      <c r="M533" t="n">
        <v>0</v>
      </c>
    </row>
    <row r="534" spans="1:13">
      <c r="A534" s="1">
        <f>HYPERLINK("http://www.twitter.com/NathanBLawrence/status/994542905795796992", "994542905795796992")</f>
        <v/>
      </c>
      <c r="B534" s="2" t="n">
        <v>43230.48704861111</v>
      </c>
      <c r="C534" t="n">
        <v>2</v>
      </c>
      <c r="D534" t="n">
        <v>1</v>
      </c>
      <c r="E534" t="s">
        <v>545</v>
      </c>
      <c r="F534" t="s"/>
      <c r="G534" t="s"/>
      <c r="H534" t="s"/>
      <c r="I534" t="s"/>
      <c r="J534" t="n">
        <v>0.5632</v>
      </c>
      <c r="K534" t="n">
        <v>0</v>
      </c>
      <c r="L534" t="n">
        <v>0.88</v>
      </c>
      <c r="M534" t="n">
        <v>0.12</v>
      </c>
    </row>
    <row r="535" spans="1:13">
      <c r="A535" s="1">
        <f>HYPERLINK("http://www.twitter.com/NathanBLawrence/status/994542382724124672", "994542382724124672")</f>
        <v/>
      </c>
      <c r="B535" s="2" t="n">
        <v>43230.48560185185</v>
      </c>
      <c r="C535" t="n">
        <v>0</v>
      </c>
      <c r="D535" t="n">
        <v>0</v>
      </c>
      <c r="E535" t="s">
        <v>546</v>
      </c>
      <c r="F535" t="s"/>
      <c r="G535" t="s"/>
      <c r="H535" t="s"/>
      <c r="I535" t="s"/>
      <c r="J535" t="n">
        <v>0</v>
      </c>
      <c r="K535" t="n">
        <v>0</v>
      </c>
      <c r="L535" t="n">
        <v>1</v>
      </c>
      <c r="M535" t="n">
        <v>0</v>
      </c>
    </row>
    <row r="536" spans="1:13">
      <c r="A536" s="1">
        <f>HYPERLINK("http://www.twitter.com/NathanBLawrence/status/994541741540892672", "994541741540892672")</f>
        <v/>
      </c>
      <c r="B536" s="2" t="n">
        <v>43230.48383101852</v>
      </c>
      <c r="C536" t="n">
        <v>4</v>
      </c>
      <c r="D536" t="n">
        <v>3</v>
      </c>
      <c r="E536" t="s">
        <v>547</v>
      </c>
      <c r="F536">
        <f>HYPERLINK("http://pbs.twimg.com/media/Dc1SbQOVMAIdZ81.jpg", "http://pbs.twimg.com/media/Dc1SbQOVMAIdZ81.jpg")</f>
        <v/>
      </c>
      <c r="G536" t="s"/>
      <c r="H536" t="s"/>
      <c r="I536" t="s"/>
      <c r="J536" t="n">
        <v>0</v>
      </c>
      <c r="K536" t="n">
        <v>0</v>
      </c>
      <c r="L536" t="n">
        <v>1</v>
      </c>
      <c r="M536" t="n">
        <v>0</v>
      </c>
    </row>
    <row r="537" spans="1:13">
      <c r="A537" s="1">
        <f>HYPERLINK("http://www.twitter.com/NathanBLawrence/status/994391557045477376", "994391557045477376")</f>
        <v/>
      </c>
      <c r="B537" s="2" t="n">
        <v>43230.06939814815</v>
      </c>
      <c r="C537" t="n">
        <v>0</v>
      </c>
      <c r="D537" t="n">
        <v>0</v>
      </c>
      <c r="E537" t="s">
        <v>548</v>
      </c>
      <c r="F537" t="s"/>
      <c r="G537" t="s"/>
      <c r="H537" t="s"/>
      <c r="I537" t="s"/>
      <c r="J537" t="n">
        <v>0.3612</v>
      </c>
      <c r="K537" t="n">
        <v>0</v>
      </c>
      <c r="L537" t="n">
        <v>0.857</v>
      </c>
      <c r="M537" t="n">
        <v>0.143</v>
      </c>
    </row>
    <row r="538" spans="1:13">
      <c r="A538" s="1">
        <f>HYPERLINK("http://www.twitter.com/NathanBLawrence/status/994390716624326656", "994390716624326656")</f>
        <v/>
      </c>
      <c r="B538" s="2" t="n">
        <v>43230.06708333334</v>
      </c>
      <c r="C538" t="n">
        <v>0</v>
      </c>
      <c r="D538" t="n">
        <v>0</v>
      </c>
      <c r="E538" t="s">
        <v>549</v>
      </c>
      <c r="F538" t="s"/>
      <c r="G538" t="s"/>
      <c r="H538" t="s"/>
      <c r="I538" t="s"/>
      <c r="J538" t="n">
        <v>-0.5574</v>
      </c>
      <c r="K538" t="n">
        <v>0.474</v>
      </c>
      <c r="L538" t="n">
        <v>0.526</v>
      </c>
      <c r="M538" t="n">
        <v>0</v>
      </c>
    </row>
    <row r="539" spans="1:13">
      <c r="A539" s="1">
        <f>HYPERLINK("http://www.twitter.com/NathanBLawrence/status/994390402387120129", "994390402387120129")</f>
        <v/>
      </c>
      <c r="B539" s="2" t="n">
        <v>43230.06621527778</v>
      </c>
      <c r="C539" t="n">
        <v>1</v>
      </c>
      <c r="D539" t="n">
        <v>0</v>
      </c>
      <c r="E539" t="s">
        <v>550</v>
      </c>
      <c r="F539" t="s"/>
      <c r="G539" t="s"/>
      <c r="H539" t="s"/>
      <c r="I539" t="s"/>
      <c r="J539" t="n">
        <v>0.7783</v>
      </c>
      <c r="K539" t="n">
        <v>0</v>
      </c>
      <c r="L539" t="n">
        <v>0.625</v>
      </c>
      <c r="M539" t="n">
        <v>0.375</v>
      </c>
    </row>
    <row r="540" spans="1:13">
      <c r="A540" s="1">
        <f>HYPERLINK("http://www.twitter.com/NathanBLawrence/status/994389216695070721", "994389216695070721")</f>
        <v/>
      </c>
      <c r="B540" s="2" t="n">
        <v>43230.06293981482</v>
      </c>
      <c r="C540" t="n">
        <v>0</v>
      </c>
      <c r="D540" t="n">
        <v>10</v>
      </c>
      <c r="E540" t="s">
        <v>551</v>
      </c>
      <c r="F540">
        <f>HYPERLINK("http://pbs.twimg.com/media/DcYdFVDU0AEokT8.jpg", "http://pbs.twimg.com/media/DcYdFVDU0AEokT8.jpg")</f>
        <v/>
      </c>
      <c r="G540" t="s"/>
      <c r="H540" t="s"/>
      <c r="I540" t="s"/>
      <c r="J540" t="n">
        <v>0.8109</v>
      </c>
      <c r="K540" t="n">
        <v>0</v>
      </c>
      <c r="L540" t="n">
        <v>0.721</v>
      </c>
      <c r="M540" t="n">
        <v>0.279</v>
      </c>
    </row>
    <row r="541" spans="1:13">
      <c r="A541" s="1">
        <f>HYPERLINK("http://www.twitter.com/NathanBLawrence/status/994388928361848832", "994388928361848832")</f>
        <v/>
      </c>
      <c r="B541" s="2" t="n">
        <v>43230.06215277778</v>
      </c>
      <c r="C541" t="n">
        <v>0</v>
      </c>
      <c r="D541" t="n">
        <v>0</v>
      </c>
      <c r="E541" t="s">
        <v>552</v>
      </c>
      <c r="F541" t="s"/>
      <c r="G541" t="s"/>
      <c r="H541" t="s"/>
      <c r="I541" t="s"/>
      <c r="J541" t="n">
        <v>0.636</v>
      </c>
      <c r="K541" t="n">
        <v>0</v>
      </c>
      <c r="L541" t="n">
        <v>0.193</v>
      </c>
      <c r="M541" t="n">
        <v>0.8070000000000001</v>
      </c>
    </row>
    <row r="542" spans="1:13">
      <c r="A542" s="1">
        <f>HYPERLINK("http://www.twitter.com/NathanBLawrence/status/994388763219554305", "994388763219554305")</f>
        <v/>
      </c>
      <c r="B542" s="2" t="n">
        <v>43230.06168981481</v>
      </c>
      <c r="C542" t="n">
        <v>0</v>
      </c>
      <c r="D542" t="n">
        <v>0</v>
      </c>
      <c r="E542" t="s">
        <v>553</v>
      </c>
      <c r="F542" t="s"/>
      <c r="G542" t="s"/>
      <c r="H542" t="s"/>
      <c r="I542" t="s"/>
      <c r="J542" t="n">
        <v>-0.1739</v>
      </c>
      <c r="K542" t="n">
        <v>0.457</v>
      </c>
      <c r="L542" t="n">
        <v>0.543</v>
      </c>
      <c r="M542" t="n">
        <v>0</v>
      </c>
    </row>
    <row r="543" spans="1:13">
      <c r="A543" s="1">
        <f>HYPERLINK("http://www.twitter.com/NathanBLawrence/status/994387038769213441", "994387038769213441")</f>
        <v/>
      </c>
      <c r="B543" s="2" t="n">
        <v>43230.05693287037</v>
      </c>
      <c r="C543" t="n">
        <v>0</v>
      </c>
      <c r="D543" t="n">
        <v>1923</v>
      </c>
      <c r="E543" t="s">
        <v>554</v>
      </c>
      <c r="F543" t="s"/>
      <c r="G543" t="s"/>
      <c r="H543" t="s"/>
      <c r="I543" t="s"/>
      <c r="J543" t="n">
        <v>0</v>
      </c>
      <c r="K543" t="n">
        <v>0</v>
      </c>
      <c r="L543" t="n">
        <v>1</v>
      </c>
      <c r="M543" t="n">
        <v>0</v>
      </c>
    </row>
    <row r="544" spans="1:13">
      <c r="A544" s="1">
        <f>HYPERLINK("http://www.twitter.com/NathanBLawrence/status/994386806396383232", "994386806396383232")</f>
        <v/>
      </c>
      <c r="B544" s="2" t="n">
        <v>43230.05629629629</v>
      </c>
      <c r="C544" t="n">
        <v>7</v>
      </c>
      <c r="D544" t="n">
        <v>6</v>
      </c>
      <c r="E544" t="s">
        <v>555</v>
      </c>
      <c r="F544" t="s"/>
      <c r="G544" t="s"/>
      <c r="H544" t="s"/>
      <c r="I544" t="s"/>
      <c r="J544" t="n">
        <v>0.7849</v>
      </c>
      <c r="K544" t="n">
        <v>0</v>
      </c>
      <c r="L544" t="n">
        <v>0.767</v>
      </c>
      <c r="M544" t="n">
        <v>0.233</v>
      </c>
    </row>
    <row r="545" spans="1:13">
      <c r="A545" s="1">
        <f>HYPERLINK("http://www.twitter.com/NathanBLawrence/status/994385088988229634", "994385088988229634")</f>
        <v/>
      </c>
      <c r="B545" s="2" t="n">
        <v>43230.05155092593</v>
      </c>
      <c r="C545" t="n">
        <v>0</v>
      </c>
      <c r="D545" t="n">
        <v>666</v>
      </c>
      <c r="E545" t="s">
        <v>556</v>
      </c>
      <c r="F545" t="s"/>
      <c r="G545" t="s"/>
      <c r="H545" t="s"/>
      <c r="I545" t="s"/>
      <c r="J545" t="n">
        <v>0.5562</v>
      </c>
      <c r="K545" t="n">
        <v>0</v>
      </c>
      <c r="L545" t="n">
        <v>0.834</v>
      </c>
      <c r="M545" t="n">
        <v>0.166</v>
      </c>
    </row>
    <row r="546" spans="1:13">
      <c r="A546" s="1">
        <f>HYPERLINK("http://www.twitter.com/NathanBLawrence/status/994381852491370497", "994381852491370497")</f>
        <v/>
      </c>
      <c r="B546" s="2" t="n">
        <v>43230.04262731481</v>
      </c>
      <c r="C546" t="n">
        <v>3</v>
      </c>
      <c r="D546" t="n">
        <v>0</v>
      </c>
      <c r="E546" t="s">
        <v>557</v>
      </c>
      <c r="F546" t="s"/>
      <c r="G546" t="s"/>
      <c r="H546" t="s"/>
      <c r="I546" t="s"/>
      <c r="J546" t="n">
        <v>0.3612</v>
      </c>
      <c r="K546" t="n">
        <v>0</v>
      </c>
      <c r="L546" t="n">
        <v>0.894</v>
      </c>
      <c r="M546" t="n">
        <v>0.106</v>
      </c>
    </row>
    <row r="547" spans="1:13">
      <c r="A547" s="1">
        <f>HYPERLINK("http://www.twitter.com/NathanBLawrence/status/994381349514596352", "994381349514596352")</f>
        <v/>
      </c>
      <c r="B547" s="2" t="n">
        <v>43230.04123842593</v>
      </c>
      <c r="C547" t="n">
        <v>1</v>
      </c>
      <c r="D547" t="n">
        <v>0</v>
      </c>
      <c r="E547" t="s">
        <v>558</v>
      </c>
      <c r="F547" t="s"/>
      <c r="G547" t="s"/>
      <c r="H547" t="s"/>
      <c r="I547" t="s"/>
      <c r="J547" t="n">
        <v>0.4926</v>
      </c>
      <c r="K547" t="n">
        <v>0</v>
      </c>
      <c r="L547" t="n">
        <v>0.61</v>
      </c>
      <c r="M547" t="n">
        <v>0.39</v>
      </c>
    </row>
    <row r="548" spans="1:13">
      <c r="A548" s="1">
        <f>HYPERLINK("http://www.twitter.com/NathanBLawrence/status/994378153572339712", "994378153572339712")</f>
        <v/>
      </c>
      <c r="B548" s="2" t="n">
        <v>43230.03241898148</v>
      </c>
      <c r="C548" t="n">
        <v>0</v>
      </c>
      <c r="D548" t="n">
        <v>1990</v>
      </c>
      <c r="E548" t="s">
        <v>559</v>
      </c>
      <c r="F548">
        <f>HYPERLINK("http://pbs.twimg.com/media/DcyraA5VAAEmW4a.jpg", "http://pbs.twimg.com/media/DcyraA5VAAEmW4a.jpg")</f>
        <v/>
      </c>
      <c r="G548" t="s"/>
      <c r="H548" t="s"/>
      <c r="I548" t="s"/>
      <c r="J548" t="n">
        <v>0</v>
      </c>
      <c r="K548" t="n">
        <v>0</v>
      </c>
      <c r="L548" t="n">
        <v>1</v>
      </c>
      <c r="M548" t="n">
        <v>0</v>
      </c>
    </row>
    <row r="549" spans="1:13">
      <c r="A549" s="1">
        <f>HYPERLINK("http://www.twitter.com/NathanBLawrence/status/994378052942663680", "994378052942663680")</f>
        <v/>
      </c>
      <c r="B549" s="2" t="n">
        <v>43230.0321412037</v>
      </c>
      <c r="C549" t="n">
        <v>2</v>
      </c>
      <c r="D549" t="n">
        <v>1</v>
      </c>
      <c r="E549" t="s">
        <v>560</v>
      </c>
      <c r="F549" t="s"/>
      <c r="G549" t="s"/>
      <c r="H549" t="s"/>
      <c r="I549" t="s"/>
      <c r="J549" t="n">
        <v>0.8715000000000001</v>
      </c>
      <c r="K549" t="n">
        <v>0</v>
      </c>
      <c r="L549" t="n">
        <v>0.474</v>
      </c>
      <c r="M549" t="n">
        <v>0.526</v>
      </c>
    </row>
    <row r="550" spans="1:13">
      <c r="A550" s="1">
        <f>HYPERLINK("http://www.twitter.com/NathanBLawrence/status/994377313159733248", "994377313159733248")</f>
        <v/>
      </c>
      <c r="B550" s="2" t="n">
        <v>43230.03009259259</v>
      </c>
      <c r="C550" t="n">
        <v>0</v>
      </c>
      <c r="D550" t="n">
        <v>0</v>
      </c>
      <c r="E550" t="s">
        <v>561</v>
      </c>
      <c r="F550" t="s"/>
      <c r="G550" t="s"/>
      <c r="H550" t="s"/>
      <c r="I550" t="s"/>
      <c r="J550" t="n">
        <v>0.836</v>
      </c>
      <c r="K550" t="n">
        <v>0</v>
      </c>
      <c r="L550" t="n">
        <v>0.729</v>
      </c>
      <c r="M550" t="n">
        <v>0.271</v>
      </c>
    </row>
    <row r="551" spans="1:13">
      <c r="A551" s="1">
        <f>HYPERLINK("http://www.twitter.com/NathanBLawrence/status/994363500930781184", "994363500930781184")</f>
        <v/>
      </c>
      <c r="B551" s="2" t="n">
        <v>43229.99197916667</v>
      </c>
      <c r="C551" t="n">
        <v>2</v>
      </c>
      <c r="D551" t="n">
        <v>1</v>
      </c>
      <c r="E551" t="s">
        <v>562</v>
      </c>
      <c r="F551" t="s"/>
      <c r="G551" t="s"/>
      <c r="H551" t="s"/>
      <c r="I551" t="s"/>
      <c r="J551" t="n">
        <v>-0.7579</v>
      </c>
      <c r="K551" t="n">
        <v>0.188</v>
      </c>
      <c r="L551" t="n">
        <v>0.8120000000000001</v>
      </c>
      <c r="M551" t="n">
        <v>0</v>
      </c>
    </row>
    <row r="552" spans="1:13">
      <c r="A552" s="1">
        <f>HYPERLINK("http://www.twitter.com/NathanBLawrence/status/994362217666629633", "994362217666629633")</f>
        <v/>
      </c>
      <c r="B552" s="2" t="n">
        <v>43229.9884375</v>
      </c>
      <c r="C552" t="n">
        <v>1</v>
      </c>
      <c r="D552" t="n">
        <v>0</v>
      </c>
      <c r="E552" t="s">
        <v>563</v>
      </c>
      <c r="F552" t="s"/>
      <c r="G552" t="s"/>
      <c r="H552" t="s"/>
      <c r="I552" t="s"/>
      <c r="J552" t="n">
        <v>0</v>
      </c>
      <c r="K552" t="n">
        <v>0</v>
      </c>
      <c r="L552" t="n">
        <v>1</v>
      </c>
      <c r="M552" t="n">
        <v>0</v>
      </c>
    </row>
    <row r="553" spans="1:13">
      <c r="A553" s="1">
        <f>HYPERLINK("http://www.twitter.com/NathanBLawrence/status/994360849551814663", "994360849551814663")</f>
        <v/>
      </c>
      <c r="B553" s="2" t="n">
        <v>43229.98466435185</v>
      </c>
      <c r="C553" t="n">
        <v>1</v>
      </c>
      <c r="D553" t="n">
        <v>0</v>
      </c>
      <c r="E553" t="s">
        <v>564</v>
      </c>
      <c r="F553" t="s"/>
      <c r="G553" t="s"/>
      <c r="H553" t="s"/>
      <c r="I553" t="s"/>
      <c r="J553" t="n">
        <v>0</v>
      </c>
      <c r="K553" t="n">
        <v>0</v>
      </c>
      <c r="L553" t="n">
        <v>1</v>
      </c>
      <c r="M553" t="n">
        <v>0</v>
      </c>
    </row>
    <row r="554" spans="1:13">
      <c r="A554" s="1">
        <f>HYPERLINK("http://www.twitter.com/NathanBLawrence/status/994359342152540161", "994359342152540161")</f>
        <v/>
      </c>
      <c r="B554" s="2" t="n">
        <v>43229.98050925926</v>
      </c>
      <c r="C554" t="n">
        <v>0</v>
      </c>
      <c r="D554" t="n">
        <v>354</v>
      </c>
      <c r="E554" t="s">
        <v>565</v>
      </c>
      <c r="F554">
        <f>HYPERLINK("https://video.twimg.com/amplify_video/994280912971075588/vid/1280x720/P547k8B2fH2ZsbeL.mp4?tag=2", "https://video.twimg.com/amplify_video/994280912971075588/vid/1280x720/P547k8B2fH2ZsbeL.mp4?tag=2")</f>
        <v/>
      </c>
      <c r="G554" t="s"/>
      <c r="H554" t="s"/>
      <c r="I554" t="s"/>
      <c r="J554" t="n">
        <v>0</v>
      </c>
      <c r="K554" t="n">
        <v>0</v>
      </c>
      <c r="L554" t="n">
        <v>1</v>
      </c>
      <c r="M554" t="n">
        <v>0</v>
      </c>
    </row>
    <row r="555" spans="1:13">
      <c r="A555" s="1">
        <f>HYPERLINK("http://www.twitter.com/NathanBLawrence/status/994359284568936448", "994359284568936448")</f>
        <v/>
      </c>
      <c r="B555" s="2" t="n">
        <v>43229.98034722222</v>
      </c>
      <c r="C555" t="n">
        <v>2</v>
      </c>
      <c r="D555" t="n">
        <v>1</v>
      </c>
      <c r="E555" t="s">
        <v>566</v>
      </c>
      <c r="F555" t="s"/>
      <c r="G555" t="s"/>
      <c r="H555" t="s"/>
      <c r="I555" t="s"/>
      <c r="J555" t="n">
        <v>-0.1027</v>
      </c>
      <c r="K555" t="n">
        <v>0.259</v>
      </c>
      <c r="L555" t="n">
        <v>0.741</v>
      </c>
      <c r="M555" t="n">
        <v>0</v>
      </c>
    </row>
    <row r="556" spans="1:13">
      <c r="A556" s="1">
        <f>HYPERLINK("http://www.twitter.com/NathanBLawrence/status/994358788340756481", "994358788340756481")</f>
        <v/>
      </c>
      <c r="B556" s="2" t="n">
        <v>43229.97898148148</v>
      </c>
      <c r="C556" t="n">
        <v>4</v>
      </c>
      <c r="D556" t="n">
        <v>0</v>
      </c>
      <c r="E556" t="s">
        <v>567</v>
      </c>
      <c r="F556" t="s"/>
      <c r="G556" t="s"/>
      <c r="H556" t="s"/>
      <c r="I556" t="s"/>
      <c r="J556" t="n">
        <v>0</v>
      </c>
      <c r="K556" t="n">
        <v>0</v>
      </c>
      <c r="L556" t="n">
        <v>1</v>
      </c>
      <c r="M556" t="n">
        <v>0</v>
      </c>
    </row>
    <row r="557" spans="1:13">
      <c r="A557" s="1">
        <f>HYPERLINK("http://www.twitter.com/NathanBLawrence/status/994327786646106117", "994327786646106117")</f>
        <v/>
      </c>
      <c r="B557" s="2" t="n">
        <v>43229.89342592593</v>
      </c>
      <c r="C557" t="n">
        <v>1</v>
      </c>
      <c r="D557" t="n">
        <v>0</v>
      </c>
      <c r="E557" t="s">
        <v>568</v>
      </c>
      <c r="F557" t="s"/>
      <c r="G557" t="s"/>
      <c r="H557" t="s"/>
      <c r="I557" t="s"/>
      <c r="J557" t="n">
        <v>0</v>
      </c>
      <c r="K557" t="n">
        <v>0</v>
      </c>
      <c r="L557" t="n">
        <v>1</v>
      </c>
      <c r="M557" t="n">
        <v>0</v>
      </c>
    </row>
    <row r="558" spans="1:13">
      <c r="A558" s="1">
        <f>HYPERLINK("http://www.twitter.com/NathanBLawrence/status/994327032082378752", "994327032082378752")</f>
        <v/>
      </c>
      <c r="B558" s="2" t="n">
        <v>43229.89134259259</v>
      </c>
      <c r="C558" t="n">
        <v>3</v>
      </c>
      <c r="D558" t="n">
        <v>0</v>
      </c>
      <c r="E558" t="s">
        <v>569</v>
      </c>
      <c r="F558" t="s"/>
      <c r="G558" t="s"/>
      <c r="H558" t="s"/>
      <c r="I558" t="s"/>
      <c r="J558" t="n">
        <v>-0.4019</v>
      </c>
      <c r="K558" t="n">
        <v>0.123</v>
      </c>
      <c r="L558" t="n">
        <v>0.8090000000000001</v>
      </c>
      <c r="M558" t="n">
        <v>0.068</v>
      </c>
    </row>
    <row r="559" spans="1:13">
      <c r="A559" s="1">
        <f>HYPERLINK("http://www.twitter.com/NathanBLawrence/status/994326512215130112", "994326512215130112")</f>
        <v/>
      </c>
      <c r="B559" s="2" t="n">
        <v>43229.88990740741</v>
      </c>
      <c r="C559" t="n">
        <v>0</v>
      </c>
      <c r="D559" t="n">
        <v>109</v>
      </c>
      <c r="E559" t="s">
        <v>570</v>
      </c>
      <c r="F559" t="s"/>
      <c r="G559" t="s"/>
      <c r="H559" t="s"/>
      <c r="I559" t="s"/>
      <c r="J559" t="n">
        <v>-0.4588</v>
      </c>
      <c r="K559" t="n">
        <v>0.163</v>
      </c>
      <c r="L559" t="n">
        <v>0.769</v>
      </c>
      <c r="M559" t="n">
        <v>0.067</v>
      </c>
    </row>
    <row r="560" spans="1:13">
      <c r="A560" s="1">
        <f>HYPERLINK("http://www.twitter.com/NathanBLawrence/status/994326079144939521", "994326079144939521")</f>
        <v/>
      </c>
      <c r="B560" s="2" t="n">
        <v>43229.88871527778</v>
      </c>
      <c r="C560" t="n">
        <v>2</v>
      </c>
      <c r="D560" t="n">
        <v>1</v>
      </c>
      <c r="E560" t="s">
        <v>571</v>
      </c>
      <c r="F560" t="s"/>
      <c r="G560" t="s"/>
      <c r="H560" t="s"/>
      <c r="I560" t="s"/>
      <c r="J560" t="n">
        <v>0.8225</v>
      </c>
      <c r="K560" t="n">
        <v>0</v>
      </c>
      <c r="L560" t="n">
        <v>0.602</v>
      </c>
      <c r="M560" t="n">
        <v>0.398</v>
      </c>
    </row>
    <row r="561" spans="1:13">
      <c r="A561" s="1">
        <f>HYPERLINK("http://www.twitter.com/NathanBLawrence/status/994322929394618368", "994322929394618368")</f>
        <v/>
      </c>
      <c r="B561" s="2" t="n">
        <v>43229.88002314815</v>
      </c>
      <c r="C561" t="n">
        <v>0</v>
      </c>
      <c r="D561" t="n">
        <v>25</v>
      </c>
      <c r="E561" t="s">
        <v>572</v>
      </c>
      <c r="F561" t="s"/>
      <c r="G561" t="s"/>
      <c r="H561" t="s"/>
      <c r="I561" t="s"/>
      <c r="J561" t="n">
        <v>-0.2732</v>
      </c>
      <c r="K561" t="n">
        <v>0.114</v>
      </c>
      <c r="L561" t="n">
        <v>0.829</v>
      </c>
      <c r="M561" t="n">
        <v>0.057</v>
      </c>
    </row>
    <row r="562" spans="1:13">
      <c r="A562" s="1">
        <f>HYPERLINK("http://www.twitter.com/NathanBLawrence/status/994322287179509761", "994322287179509761")</f>
        <v/>
      </c>
      <c r="B562" s="2" t="n">
        <v>43229.87825231482</v>
      </c>
      <c r="C562" t="n">
        <v>0</v>
      </c>
      <c r="D562" t="n">
        <v>0</v>
      </c>
      <c r="E562" t="s">
        <v>573</v>
      </c>
      <c r="F562" t="s"/>
      <c r="G562" t="s"/>
      <c r="H562" t="s"/>
      <c r="I562" t="s"/>
      <c r="J562" t="n">
        <v>-0.6145</v>
      </c>
      <c r="K562" t="n">
        <v>0.117</v>
      </c>
      <c r="L562" t="n">
        <v>0.846</v>
      </c>
      <c r="M562" t="n">
        <v>0.037</v>
      </c>
    </row>
    <row r="563" spans="1:13">
      <c r="A563" s="1">
        <f>HYPERLINK("http://www.twitter.com/NathanBLawrence/status/994320849334407171", "994320849334407171")</f>
        <v/>
      </c>
      <c r="B563" s="2" t="n">
        <v>43229.87428240741</v>
      </c>
      <c r="C563" t="n">
        <v>0</v>
      </c>
      <c r="D563" t="n">
        <v>566</v>
      </c>
      <c r="E563" t="s">
        <v>574</v>
      </c>
      <c r="F563" t="s"/>
      <c r="G563" t="s"/>
      <c r="H563" t="s"/>
      <c r="I563" t="s"/>
      <c r="J563" t="n">
        <v>0.5266999999999999</v>
      </c>
      <c r="K563" t="n">
        <v>0</v>
      </c>
      <c r="L563" t="n">
        <v>0.841</v>
      </c>
      <c r="M563" t="n">
        <v>0.159</v>
      </c>
    </row>
    <row r="564" spans="1:13">
      <c r="A564" s="1">
        <f>HYPERLINK("http://www.twitter.com/NathanBLawrence/status/994320792589688834", "994320792589688834")</f>
        <v/>
      </c>
      <c r="B564" s="2" t="n">
        <v>43229.87413194445</v>
      </c>
      <c r="C564" t="n">
        <v>0</v>
      </c>
      <c r="D564" t="n">
        <v>7</v>
      </c>
      <c r="E564" t="s">
        <v>575</v>
      </c>
      <c r="F564">
        <f>HYPERLINK("http://pbs.twimg.com/media/DcxmajWVMAAeuzn.jpg", "http://pbs.twimg.com/media/DcxmajWVMAAeuzn.jpg")</f>
        <v/>
      </c>
      <c r="G564" t="s"/>
      <c r="H564" t="s"/>
      <c r="I564" t="s"/>
      <c r="J564" t="n">
        <v>0</v>
      </c>
      <c r="K564" t="n">
        <v>0</v>
      </c>
      <c r="L564" t="n">
        <v>1</v>
      </c>
      <c r="M564" t="n">
        <v>0</v>
      </c>
    </row>
    <row r="565" spans="1:13">
      <c r="A565" s="1">
        <f>HYPERLINK("http://www.twitter.com/NathanBLawrence/status/994320700264603649", "994320700264603649")</f>
        <v/>
      </c>
      <c r="B565" s="2" t="n">
        <v>43229.87387731481</v>
      </c>
      <c r="C565" t="n">
        <v>0</v>
      </c>
      <c r="D565" t="n">
        <v>5</v>
      </c>
      <c r="E565" t="s">
        <v>576</v>
      </c>
      <c r="F565" t="s"/>
      <c r="G565" t="s"/>
      <c r="H565" t="s"/>
      <c r="I565" t="s"/>
      <c r="J565" t="n">
        <v>0</v>
      </c>
      <c r="K565" t="n">
        <v>0</v>
      </c>
      <c r="L565" t="n">
        <v>1</v>
      </c>
      <c r="M565" t="n">
        <v>0</v>
      </c>
    </row>
    <row r="566" spans="1:13">
      <c r="A566" s="1">
        <f>HYPERLINK("http://www.twitter.com/NathanBLawrence/status/994319388399501313", "994319388399501313")</f>
        <v/>
      </c>
      <c r="B566" s="2" t="n">
        <v>43229.87025462963</v>
      </c>
      <c r="C566" t="n">
        <v>0</v>
      </c>
      <c r="D566" t="n">
        <v>0</v>
      </c>
      <c r="E566" t="s">
        <v>577</v>
      </c>
      <c r="F566" t="s"/>
      <c r="G566" t="s"/>
      <c r="H566" t="s"/>
      <c r="I566" t="s"/>
      <c r="J566" t="n">
        <v>-0.4981</v>
      </c>
      <c r="K566" t="n">
        <v>0.177</v>
      </c>
      <c r="L566" t="n">
        <v>0.823</v>
      </c>
      <c r="M566" t="n">
        <v>0</v>
      </c>
    </row>
    <row r="567" spans="1:13">
      <c r="A567" s="1">
        <f>HYPERLINK("http://www.twitter.com/NathanBLawrence/status/994307711692169216", "994307711692169216")</f>
        <v/>
      </c>
      <c r="B567" s="2" t="n">
        <v>43229.83803240741</v>
      </c>
      <c r="C567" t="n">
        <v>1</v>
      </c>
      <c r="D567" t="n">
        <v>0</v>
      </c>
      <c r="E567" t="s">
        <v>578</v>
      </c>
      <c r="F567" t="s"/>
      <c r="G567" t="s"/>
      <c r="H567" t="s"/>
      <c r="I567" t="s"/>
      <c r="J567" t="n">
        <v>0.4767</v>
      </c>
      <c r="K567" t="n">
        <v>0</v>
      </c>
      <c r="L567" t="n">
        <v>0.78</v>
      </c>
      <c r="M567" t="n">
        <v>0.22</v>
      </c>
    </row>
    <row r="568" spans="1:13">
      <c r="A568" s="1">
        <f>HYPERLINK("http://www.twitter.com/NathanBLawrence/status/994307395248631808", "994307395248631808")</f>
        <v/>
      </c>
      <c r="B568" s="2" t="n">
        <v>43229.83716435185</v>
      </c>
      <c r="C568" t="n">
        <v>0</v>
      </c>
      <c r="D568" t="n">
        <v>7</v>
      </c>
      <c r="E568" t="s">
        <v>579</v>
      </c>
      <c r="F568" t="s"/>
      <c r="G568" t="s"/>
      <c r="H568" t="s"/>
      <c r="I568" t="s"/>
      <c r="J568" t="n">
        <v>0</v>
      </c>
      <c r="K568" t="n">
        <v>0</v>
      </c>
      <c r="L568" t="n">
        <v>1</v>
      </c>
      <c r="M568" t="n">
        <v>0</v>
      </c>
    </row>
    <row r="569" spans="1:13">
      <c r="A569" s="1">
        <f>HYPERLINK("http://www.twitter.com/NathanBLawrence/status/994306723790942208", "994306723790942208")</f>
        <v/>
      </c>
      <c r="B569" s="2" t="n">
        <v>43229.83530092592</v>
      </c>
      <c r="C569" t="n">
        <v>2</v>
      </c>
      <c r="D569" t="n">
        <v>0</v>
      </c>
      <c r="E569" t="s">
        <v>580</v>
      </c>
      <c r="F569" t="s"/>
      <c r="G569" t="s"/>
      <c r="H569" t="s"/>
      <c r="I569" t="s"/>
      <c r="J569" t="n">
        <v>0.2516</v>
      </c>
      <c r="K569" t="n">
        <v>0.055</v>
      </c>
      <c r="L569" t="n">
        <v>0.861</v>
      </c>
      <c r="M569" t="n">
        <v>0.083</v>
      </c>
    </row>
    <row r="570" spans="1:13">
      <c r="A570" s="1">
        <f>HYPERLINK("http://www.twitter.com/NathanBLawrence/status/994283147427766272", "994283147427766272")</f>
        <v/>
      </c>
      <c r="B570" s="2" t="n">
        <v>43229.77024305556</v>
      </c>
      <c r="C570" t="n">
        <v>18</v>
      </c>
      <c r="D570" t="n">
        <v>3</v>
      </c>
      <c r="E570" t="s">
        <v>581</v>
      </c>
      <c r="F570">
        <f>HYPERLINK("http://pbs.twimg.com/media/DcxnPqQU0AAmNYT.jpg", "http://pbs.twimg.com/media/DcxnPqQU0AAmNYT.jpg")</f>
        <v/>
      </c>
      <c r="G570" t="s"/>
      <c r="H570" t="s"/>
      <c r="I570" t="s"/>
      <c r="J570" t="n">
        <v>0.2401</v>
      </c>
      <c r="K570" t="n">
        <v>0</v>
      </c>
      <c r="L570" t="n">
        <v>0.849</v>
      </c>
      <c r="M570" t="n">
        <v>0.151</v>
      </c>
    </row>
    <row r="571" spans="1:13">
      <c r="A571" s="1">
        <f>HYPERLINK("http://www.twitter.com/NathanBLawrence/status/994279742793814018", "994279742793814018")</f>
        <v/>
      </c>
      <c r="B571" s="2" t="n">
        <v>43229.76085648148</v>
      </c>
      <c r="C571" t="n">
        <v>0</v>
      </c>
      <c r="D571" t="n">
        <v>1</v>
      </c>
      <c r="E571" t="s">
        <v>582</v>
      </c>
      <c r="F571" t="s"/>
      <c r="G571" t="s"/>
      <c r="H571" t="s"/>
      <c r="I571" t="s"/>
      <c r="J571" t="n">
        <v>0</v>
      </c>
      <c r="K571" t="n">
        <v>0</v>
      </c>
      <c r="L571" t="n">
        <v>1</v>
      </c>
      <c r="M571" t="n">
        <v>0</v>
      </c>
    </row>
    <row r="572" spans="1:13">
      <c r="A572" s="1">
        <f>HYPERLINK("http://www.twitter.com/NathanBLawrence/status/994243394670092290", "994243394670092290")</f>
        <v/>
      </c>
      <c r="B572" s="2" t="n">
        <v>43229.66055555556</v>
      </c>
      <c r="C572" t="n">
        <v>2</v>
      </c>
      <c r="D572" t="n">
        <v>0</v>
      </c>
      <c r="E572" t="s">
        <v>583</v>
      </c>
      <c r="F572" t="s"/>
      <c r="G572" t="s"/>
      <c r="H572" t="s"/>
      <c r="I572" t="s"/>
      <c r="J572" t="n">
        <v>0.0601</v>
      </c>
      <c r="K572" t="n">
        <v>0.203</v>
      </c>
      <c r="L572" t="n">
        <v>0.624</v>
      </c>
      <c r="M572" t="n">
        <v>0.173</v>
      </c>
    </row>
    <row r="573" spans="1:13">
      <c r="A573" s="1">
        <f>HYPERLINK("http://www.twitter.com/NathanBLawrence/status/994242424401735681", "994242424401735681")</f>
        <v/>
      </c>
      <c r="B573" s="2" t="n">
        <v>43229.65787037037</v>
      </c>
      <c r="C573" t="n">
        <v>1</v>
      </c>
      <c r="D573" t="n">
        <v>0</v>
      </c>
      <c r="E573" t="s">
        <v>584</v>
      </c>
      <c r="F573" t="s"/>
      <c r="G573" t="s"/>
      <c r="H573" t="s"/>
      <c r="I573" t="s"/>
      <c r="J573" t="n">
        <v>0</v>
      </c>
      <c r="K573" t="n">
        <v>0</v>
      </c>
      <c r="L573" t="n">
        <v>1</v>
      </c>
      <c r="M573" t="n">
        <v>0</v>
      </c>
    </row>
    <row r="574" spans="1:13">
      <c r="A574" s="1">
        <f>HYPERLINK("http://www.twitter.com/NathanBLawrence/status/994242266863669248", "994242266863669248")</f>
        <v/>
      </c>
      <c r="B574" s="2" t="n">
        <v>43229.65744212963</v>
      </c>
      <c r="C574" t="n">
        <v>0</v>
      </c>
      <c r="D574" t="n">
        <v>0</v>
      </c>
      <c r="E574" t="s">
        <v>585</v>
      </c>
      <c r="F574" t="s"/>
      <c r="G574" t="s"/>
      <c r="H574" t="s"/>
      <c r="I574" t="s"/>
      <c r="J574" t="n">
        <v>0.8573</v>
      </c>
      <c r="K574" t="n">
        <v>0</v>
      </c>
      <c r="L574" t="n">
        <v>0.717</v>
      </c>
      <c r="M574" t="n">
        <v>0.283</v>
      </c>
    </row>
    <row r="575" spans="1:13">
      <c r="A575" s="1">
        <f>HYPERLINK("http://www.twitter.com/NathanBLawrence/status/994241755666173952", "994241755666173952")</f>
        <v/>
      </c>
      <c r="B575" s="2" t="n">
        <v>43229.65603009259</v>
      </c>
      <c r="C575" t="n">
        <v>0</v>
      </c>
      <c r="D575" t="n">
        <v>208</v>
      </c>
      <c r="E575" t="s">
        <v>586</v>
      </c>
      <c r="F575" t="s"/>
      <c r="G575" t="s"/>
      <c r="H575" t="s"/>
      <c r="I575" t="s"/>
      <c r="J575" t="n">
        <v>0.2481</v>
      </c>
      <c r="K575" t="n">
        <v>0.144</v>
      </c>
      <c r="L575" t="n">
        <v>0.675</v>
      </c>
      <c r="M575" t="n">
        <v>0.181</v>
      </c>
    </row>
    <row r="576" spans="1:13">
      <c r="A576" s="1">
        <f>HYPERLINK("http://www.twitter.com/NathanBLawrence/status/994241698346790912", "994241698346790912")</f>
        <v/>
      </c>
      <c r="B576" s="2" t="n">
        <v>43229.65586805555</v>
      </c>
      <c r="C576" t="n">
        <v>0</v>
      </c>
      <c r="D576" t="n">
        <v>0</v>
      </c>
      <c r="E576" t="s">
        <v>587</v>
      </c>
      <c r="F576" t="s"/>
      <c r="G576" t="s"/>
      <c r="H576" t="s"/>
      <c r="I576" t="s"/>
      <c r="J576" t="n">
        <v>-0.4389</v>
      </c>
      <c r="K576" t="n">
        <v>0.081</v>
      </c>
      <c r="L576" t="n">
        <v>0.919</v>
      </c>
      <c r="M576" t="n">
        <v>0</v>
      </c>
    </row>
    <row r="577" spans="1:13">
      <c r="A577" s="1">
        <f>HYPERLINK("http://www.twitter.com/NathanBLawrence/status/994214399803035648", "994214399803035648")</f>
        <v/>
      </c>
      <c r="B577" s="2" t="n">
        <v>43229.58054398148</v>
      </c>
      <c r="C577" t="n">
        <v>0</v>
      </c>
      <c r="D577" t="n">
        <v>293</v>
      </c>
      <c r="E577" t="s">
        <v>588</v>
      </c>
      <c r="F577">
        <f>HYPERLINK("http://pbs.twimg.com/media/DcvI5CDX0AApzuY.jpg", "http://pbs.twimg.com/media/DcvI5CDX0AApzuY.jpg")</f>
        <v/>
      </c>
      <c r="G577">
        <f>HYPERLINK("http://pbs.twimg.com/media/DcvI9R1W0AAcJ4G.jpg", "http://pbs.twimg.com/media/DcvI9R1W0AAcJ4G.jpg")</f>
        <v/>
      </c>
      <c r="H577">
        <f>HYPERLINK("http://pbs.twimg.com/media/DcvI9TyWAAEkdNR.jpg", "http://pbs.twimg.com/media/DcvI9TyWAAEkdNR.jpg")</f>
        <v/>
      </c>
      <c r="I577">
        <f>HYPERLINK("http://pbs.twimg.com/media/DcvI9RHW4AAYqgm.jpg", "http://pbs.twimg.com/media/DcvI9RHW4AAYqgm.jpg")</f>
        <v/>
      </c>
      <c r="J577" t="n">
        <v>0</v>
      </c>
      <c r="K577" t="n">
        <v>0</v>
      </c>
      <c r="L577" t="n">
        <v>1</v>
      </c>
      <c r="M577" t="n">
        <v>0</v>
      </c>
    </row>
    <row r="578" spans="1:13">
      <c r="A578" s="1">
        <f>HYPERLINK("http://www.twitter.com/NathanBLawrence/status/994214207037026305", "994214207037026305")</f>
        <v/>
      </c>
      <c r="B578" s="2" t="n">
        <v>43229.58001157407</v>
      </c>
      <c r="C578" t="n">
        <v>0</v>
      </c>
      <c r="D578" t="n">
        <v>587</v>
      </c>
      <c r="E578" t="s">
        <v>589</v>
      </c>
      <c r="F578">
        <f>HYPERLINK("http://pbs.twimg.com/media/Dcvl7hfVQAA9WvT.jpg", "http://pbs.twimg.com/media/Dcvl7hfVQAA9WvT.jpg")</f>
        <v/>
      </c>
      <c r="G578" t="s"/>
      <c r="H578" t="s"/>
      <c r="I578" t="s"/>
      <c r="J578" t="n">
        <v>0</v>
      </c>
      <c r="K578" t="n">
        <v>0</v>
      </c>
      <c r="L578" t="n">
        <v>1</v>
      </c>
      <c r="M578" t="n">
        <v>0</v>
      </c>
    </row>
    <row r="579" spans="1:13">
      <c r="A579" s="1">
        <f>HYPERLINK("http://www.twitter.com/NathanBLawrence/status/994213974618099712", "994213974618099712")</f>
        <v/>
      </c>
      <c r="B579" s="2" t="n">
        <v>43229.57936342592</v>
      </c>
      <c r="C579" t="n">
        <v>0</v>
      </c>
      <c r="D579" t="n">
        <v>1795</v>
      </c>
      <c r="E579" t="s">
        <v>590</v>
      </c>
      <c r="F579" t="s"/>
      <c r="G579" t="s"/>
      <c r="H579" t="s"/>
      <c r="I579" t="s"/>
      <c r="J579" t="n">
        <v>-0.7579</v>
      </c>
      <c r="K579" t="n">
        <v>0.22</v>
      </c>
      <c r="L579" t="n">
        <v>0.78</v>
      </c>
      <c r="M579" t="n">
        <v>0</v>
      </c>
    </row>
    <row r="580" spans="1:13">
      <c r="A580" s="1">
        <f>HYPERLINK("http://www.twitter.com/NathanBLawrence/status/994213406415650817", "994213406415650817")</f>
        <v/>
      </c>
      <c r="B580" s="2" t="n">
        <v>43229.57780092592</v>
      </c>
      <c r="C580" t="n">
        <v>0</v>
      </c>
      <c r="D580" t="n">
        <v>45142</v>
      </c>
      <c r="E580" t="s">
        <v>591</v>
      </c>
      <c r="F580" t="s"/>
      <c r="G580" t="s"/>
      <c r="H580" t="s"/>
      <c r="I580" t="s"/>
      <c r="J580" t="n">
        <v>0.4404</v>
      </c>
      <c r="K580" t="n">
        <v>0</v>
      </c>
      <c r="L580" t="n">
        <v>0.896</v>
      </c>
      <c r="M580" t="n">
        <v>0.104</v>
      </c>
    </row>
    <row r="581" spans="1:13">
      <c r="A581" s="1">
        <f>HYPERLINK("http://www.twitter.com/NathanBLawrence/status/994213315999125505", "994213315999125505")</f>
        <v/>
      </c>
      <c r="B581" s="2" t="n">
        <v>43229.5775462963</v>
      </c>
      <c r="C581" t="n">
        <v>0</v>
      </c>
      <c r="D581" t="n">
        <v>0</v>
      </c>
      <c r="E581" t="s">
        <v>592</v>
      </c>
      <c r="F581" t="s"/>
      <c r="G581" t="s"/>
      <c r="H581" t="s"/>
      <c r="I581" t="s"/>
      <c r="J581" t="n">
        <v>-0.6739000000000001</v>
      </c>
      <c r="K581" t="n">
        <v>0.362</v>
      </c>
      <c r="L581" t="n">
        <v>0.638</v>
      </c>
      <c r="M581" t="n">
        <v>0</v>
      </c>
    </row>
    <row r="582" spans="1:13">
      <c r="A582" s="1">
        <f>HYPERLINK("http://www.twitter.com/NathanBLawrence/status/994212945071656960", "994212945071656960")</f>
        <v/>
      </c>
      <c r="B582" s="2" t="n">
        <v>43229.57652777778</v>
      </c>
      <c r="C582" t="n">
        <v>0</v>
      </c>
      <c r="D582" t="n">
        <v>966</v>
      </c>
      <c r="E582" t="s">
        <v>593</v>
      </c>
      <c r="F582" t="s"/>
      <c r="G582" t="s"/>
      <c r="H582" t="s"/>
      <c r="I582" t="s"/>
      <c r="J582" t="n">
        <v>0</v>
      </c>
      <c r="K582" t="n">
        <v>0</v>
      </c>
      <c r="L582" t="n">
        <v>1</v>
      </c>
      <c r="M582" t="n">
        <v>0</v>
      </c>
    </row>
    <row r="583" spans="1:13">
      <c r="A583" s="1">
        <f>HYPERLINK("http://www.twitter.com/NathanBLawrence/status/994212795590864897", "994212795590864897")</f>
        <v/>
      </c>
      <c r="B583" s="2" t="n">
        <v>43229.57611111111</v>
      </c>
      <c r="C583" t="n">
        <v>0</v>
      </c>
      <c r="D583" t="n">
        <v>0</v>
      </c>
      <c r="E583" t="s">
        <v>594</v>
      </c>
      <c r="F583" t="s"/>
      <c r="G583" t="s"/>
      <c r="H583" t="s"/>
      <c r="I583" t="s"/>
      <c r="J583" t="n">
        <v>0</v>
      </c>
      <c r="K583" t="n">
        <v>0</v>
      </c>
      <c r="L583" t="n">
        <v>1</v>
      </c>
      <c r="M583" t="n">
        <v>0</v>
      </c>
    </row>
    <row r="584" spans="1:13">
      <c r="A584" s="1">
        <f>HYPERLINK("http://www.twitter.com/NathanBLawrence/status/994212270648406016", "994212270648406016")</f>
        <v/>
      </c>
      <c r="B584" s="2" t="n">
        <v>43229.57466435185</v>
      </c>
      <c r="C584" t="n">
        <v>0</v>
      </c>
      <c r="D584" t="n">
        <v>2621</v>
      </c>
      <c r="E584" t="s">
        <v>595</v>
      </c>
      <c r="F584" t="s"/>
      <c r="G584" t="s"/>
      <c r="H584" t="s"/>
      <c r="I584" t="s"/>
      <c r="J584" t="n">
        <v>-0.5178</v>
      </c>
      <c r="K584" t="n">
        <v>0.157</v>
      </c>
      <c r="L584" t="n">
        <v>0.843</v>
      </c>
      <c r="M584" t="n">
        <v>0</v>
      </c>
    </row>
    <row r="585" spans="1:13">
      <c r="A585" s="1">
        <f>HYPERLINK("http://www.twitter.com/NathanBLawrence/status/994212204407873538", "994212204407873538")</f>
        <v/>
      </c>
      <c r="B585" s="2" t="n">
        <v>43229.57447916667</v>
      </c>
      <c r="C585" t="n">
        <v>10</v>
      </c>
      <c r="D585" t="n">
        <v>1</v>
      </c>
      <c r="E585" t="s">
        <v>596</v>
      </c>
      <c r="F585">
        <f>HYPERLINK("http://pbs.twimg.com/media/DcwmucSV4AAFo9i.jpg", "http://pbs.twimg.com/media/DcwmucSV4AAFo9i.jpg")</f>
        <v/>
      </c>
      <c r="G585" t="s"/>
      <c r="H585" t="s"/>
      <c r="I585" t="s"/>
      <c r="J585" t="n">
        <v>0.4215</v>
      </c>
      <c r="K585" t="n">
        <v>0</v>
      </c>
      <c r="L585" t="n">
        <v>0.859</v>
      </c>
      <c r="M585" t="n">
        <v>0.141</v>
      </c>
    </row>
    <row r="586" spans="1:13">
      <c r="A586" s="1">
        <f>HYPERLINK("http://www.twitter.com/NathanBLawrence/status/994204397688315904", "994204397688315904")</f>
        <v/>
      </c>
      <c r="B586" s="2" t="n">
        <v>43229.55293981481</v>
      </c>
      <c r="C586" t="n">
        <v>2</v>
      </c>
      <c r="D586" t="n">
        <v>1</v>
      </c>
      <c r="E586" t="s">
        <v>597</v>
      </c>
      <c r="F586" t="s"/>
      <c r="G586" t="s"/>
      <c r="H586" t="s"/>
      <c r="I586" t="s"/>
      <c r="J586" t="n">
        <v>-0.1027</v>
      </c>
      <c r="K586" t="n">
        <v>0.172</v>
      </c>
      <c r="L586" t="n">
        <v>0.677</v>
      </c>
      <c r="M586" t="n">
        <v>0.151</v>
      </c>
    </row>
    <row r="587" spans="1:13">
      <c r="A587" s="1">
        <f>HYPERLINK("http://www.twitter.com/NathanBLawrence/status/994201080887152642", "994201080887152642")</f>
        <v/>
      </c>
      <c r="B587" s="2" t="n">
        <v>43229.54378472222</v>
      </c>
      <c r="C587" t="n">
        <v>1</v>
      </c>
      <c r="D587" t="n">
        <v>0</v>
      </c>
      <c r="E587" t="s">
        <v>598</v>
      </c>
      <c r="F587" t="s"/>
      <c r="G587" t="s"/>
      <c r="H587" t="s"/>
      <c r="I587" t="s"/>
      <c r="J587" t="n">
        <v>0</v>
      </c>
      <c r="K587" t="n">
        <v>0</v>
      </c>
      <c r="L587" t="n">
        <v>1</v>
      </c>
      <c r="M587" t="n">
        <v>0</v>
      </c>
    </row>
    <row r="588" spans="1:13">
      <c r="A588" s="1">
        <f>HYPERLINK("http://www.twitter.com/NathanBLawrence/status/994199876249571329", "994199876249571329")</f>
        <v/>
      </c>
      <c r="B588" s="2" t="n">
        <v>43229.54046296296</v>
      </c>
      <c r="C588" t="n">
        <v>0</v>
      </c>
      <c r="D588" t="n">
        <v>4</v>
      </c>
      <c r="E588" t="s">
        <v>599</v>
      </c>
      <c r="F588">
        <f>HYPERLINK("http://pbs.twimg.com/media/DcwSKYHX4AAg5Bi.jpg", "http://pbs.twimg.com/media/DcwSKYHX4AAg5Bi.jpg")</f>
        <v/>
      </c>
      <c r="G588" t="s"/>
      <c r="H588" t="s"/>
      <c r="I588" t="s"/>
      <c r="J588" t="n">
        <v>0.7964</v>
      </c>
      <c r="K588" t="n">
        <v>0</v>
      </c>
      <c r="L588" t="n">
        <v>0.6929999999999999</v>
      </c>
      <c r="M588" t="n">
        <v>0.307</v>
      </c>
    </row>
    <row r="589" spans="1:13">
      <c r="A589" s="1">
        <f>HYPERLINK("http://www.twitter.com/NathanBLawrence/status/994199535814610945", "994199535814610945")</f>
        <v/>
      </c>
      <c r="B589" s="2" t="n">
        <v>43229.53952546296</v>
      </c>
      <c r="C589" t="n">
        <v>0</v>
      </c>
      <c r="D589" t="n">
        <v>1</v>
      </c>
      <c r="E589" t="s">
        <v>600</v>
      </c>
      <c r="F589" t="s"/>
      <c r="G589" t="s"/>
      <c r="H589" t="s"/>
      <c r="I589" t="s"/>
      <c r="J589" t="n">
        <v>-0.9231</v>
      </c>
      <c r="K589" t="n">
        <v>0.506</v>
      </c>
      <c r="L589" t="n">
        <v>0.494</v>
      </c>
      <c r="M589" t="n">
        <v>0</v>
      </c>
    </row>
    <row r="590" spans="1:13">
      <c r="A590" s="1">
        <f>HYPERLINK("http://www.twitter.com/NathanBLawrence/status/994190146152075264", "994190146152075264")</f>
        <v/>
      </c>
      <c r="B590" s="2" t="n">
        <v>43229.51361111111</v>
      </c>
      <c r="C590" t="n">
        <v>3</v>
      </c>
      <c r="D590" t="n">
        <v>0</v>
      </c>
      <c r="E590" t="s">
        <v>601</v>
      </c>
      <c r="F590">
        <f>HYPERLINK("http://pbs.twimg.com/media/DcwSo00U8AAacj3.jpg", "http://pbs.twimg.com/media/DcwSo00U8AAacj3.jpg")</f>
        <v/>
      </c>
      <c r="G590" t="s"/>
      <c r="H590" t="s"/>
      <c r="I590" t="s"/>
      <c r="J590" t="n">
        <v>0</v>
      </c>
      <c r="K590" t="n">
        <v>0</v>
      </c>
      <c r="L590" t="n">
        <v>1</v>
      </c>
      <c r="M590" t="n">
        <v>0</v>
      </c>
    </row>
    <row r="591" spans="1:13">
      <c r="A591" s="1">
        <f>HYPERLINK("http://www.twitter.com/NathanBLawrence/status/994182391257235456", "994182391257235456")</f>
        <v/>
      </c>
      <c r="B591" s="2" t="n">
        <v>43229.49221064815</v>
      </c>
      <c r="C591" t="n">
        <v>2</v>
      </c>
      <c r="D591" t="n">
        <v>1</v>
      </c>
      <c r="E591" t="s">
        <v>602</v>
      </c>
      <c r="F591" t="s"/>
      <c r="G591" t="s"/>
      <c r="H591" t="s"/>
      <c r="I591" t="s"/>
      <c r="J591" t="n">
        <v>0</v>
      </c>
      <c r="K591" t="n">
        <v>0</v>
      </c>
      <c r="L591" t="n">
        <v>1</v>
      </c>
      <c r="M591" t="n">
        <v>0</v>
      </c>
    </row>
    <row r="592" spans="1:13">
      <c r="A592" s="1">
        <f>HYPERLINK("http://www.twitter.com/NathanBLawrence/status/994182086985682944", "994182086985682944")</f>
        <v/>
      </c>
      <c r="B592" s="2" t="n">
        <v>43229.49137731481</v>
      </c>
      <c r="C592" t="n">
        <v>0</v>
      </c>
      <c r="D592" t="n">
        <v>2213</v>
      </c>
      <c r="E592" t="s">
        <v>603</v>
      </c>
      <c r="F592" t="s"/>
      <c r="G592" t="s"/>
      <c r="H592" t="s"/>
      <c r="I592" t="s"/>
      <c r="J592" t="n">
        <v>0</v>
      </c>
      <c r="K592" t="n">
        <v>0</v>
      </c>
      <c r="L592" t="n">
        <v>1</v>
      </c>
      <c r="M592" t="n">
        <v>0</v>
      </c>
    </row>
    <row r="593" spans="1:13">
      <c r="A593" s="1">
        <f>HYPERLINK("http://www.twitter.com/NathanBLawrence/status/994182003410063360", "994182003410063360")</f>
        <v/>
      </c>
      <c r="B593" s="2" t="n">
        <v>43229.49114583333</v>
      </c>
      <c r="C593" t="n">
        <v>1</v>
      </c>
      <c r="D593" t="n">
        <v>0</v>
      </c>
      <c r="E593" t="s">
        <v>604</v>
      </c>
      <c r="F593" t="s"/>
      <c r="G593" t="s"/>
      <c r="H593" t="s"/>
      <c r="I593" t="s"/>
      <c r="J593" t="n">
        <v>0</v>
      </c>
      <c r="K593" t="n">
        <v>0</v>
      </c>
      <c r="L593" t="n">
        <v>1</v>
      </c>
      <c r="M593" t="n">
        <v>0</v>
      </c>
    </row>
    <row r="594" spans="1:13">
      <c r="A594" s="1">
        <f>HYPERLINK("http://www.twitter.com/NathanBLawrence/status/994181241887961088", "994181241887961088")</f>
        <v/>
      </c>
      <c r="B594" s="2" t="n">
        <v>43229.48903935185</v>
      </c>
      <c r="C594" t="n">
        <v>0</v>
      </c>
      <c r="D594" t="n">
        <v>6287</v>
      </c>
      <c r="E594" t="s">
        <v>605</v>
      </c>
      <c r="F594" t="s"/>
      <c r="G594" t="s"/>
      <c r="H594" t="s"/>
      <c r="I594" t="s"/>
      <c r="J594" t="n">
        <v>0.3612</v>
      </c>
      <c r="K594" t="n">
        <v>0</v>
      </c>
      <c r="L594" t="n">
        <v>0.898</v>
      </c>
      <c r="M594" t="n">
        <v>0.102</v>
      </c>
    </row>
    <row r="595" spans="1:13">
      <c r="A595" s="1">
        <f>HYPERLINK("http://www.twitter.com/NathanBLawrence/status/994179917574295552", "994179917574295552")</f>
        <v/>
      </c>
      <c r="B595" s="2" t="n">
        <v>43229.48538194445</v>
      </c>
      <c r="C595" t="n">
        <v>0</v>
      </c>
      <c r="D595" t="n">
        <v>0</v>
      </c>
      <c r="E595" t="s">
        <v>606</v>
      </c>
      <c r="F595" t="s"/>
      <c r="G595" t="s"/>
      <c r="H595" t="s"/>
      <c r="I595" t="s"/>
      <c r="J595" t="n">
        <v>-0.7717000000000001</v>
      </c>
      <c r="K595" t="n">
        <v>0.626</v>
      </c>
      <c r="L595" t="n">
        <v>0.374</v>
      </c>
      <c r="M595" t="n">
        <v>0</v>
      </c>
    </row>
    <row r="596" spans="1:13">
      <c r="A596" s="1">
        <f>HYPERLINK("http://www.twitter.com/NathanBLawrence/status/994179266177880064", "994179266177880064")</f>
        <v/>
      </c>
      <c r="B596" s="2" t="n">
        <v>43229.48358796296</v>
      </c>
      <c r="C596" t="n">
        <v>21</v>
      </c>
      <c r="D596" t="n">
        <v>11</v>
      </c>
      <c r="E596" t="s">
        <v>607</v>
      </c>
      <c r="F596" t="s"/>
      <c r="G596" t="s"/>
      <c r="H596" t="s"/>
      <c r="I596" t="s"/>
      <c r="J596" t="n">
        <v>-0.4767</v>
      </c>
      <c r="K596" t="n">
        <v>0.103</v>
      </c>
      <c r="L596" t="n">
        <v>0.897</v>
      </c>
      <c r="M596" t="n">
        <v>0</v>
      </c>
    </row>
    <row r="597" spans="1:13">
      <c r="A597" s="1">
        <f>HYPERLINK("http://www.twitter.com/NathanBLawrence/status/994178352733982720", "994178352733982720")</f>
        <v/>
      </c>
      <c r="B597" s="2" t="n">
        <v>43229.48106481481</v>
      </c>
      <c r="C597" t="n">
        <v>0</v>
      </c>
      <c r="D597" t="n">
        <v>1</v>
      </c>
      <c r="E597" t="s">
        <v>608</v>
      </c>
      <c r="F597" t="s"/>
      <c r="G597" t="s"/>
      <c r="H597" t="s"/>
      <c r="I597" t="s"/>
      <c r="J597" t="n">
        <v>0.4215</v>
      </c>
      <c r="K597" t="n">
        <v>0</v>
      </c>
      <c r="L597" t="n">
        <v>0.641</v>
      </c>
      <c r="M597" t="n">
        <v>0.359</v>
      </c>
    </row>
    <row r="598" spans="1:13">
      <c r="A598" s="1">
        <f>HYPERLINK("http://www.twitter.com/NathanBLawrence/status/994178118087823361", "994178118087823361")</f>
        <v/>
      </c>
      <c r="B598" s="2" t="n">
        <v>43229.48041666667</v>
      </c>
      <c r="C598" t="n">
        <v>0</v>
      </c>
      <c r="D598" t="n">
        <v>0</v>
      </c>
      <c r="E598" t="s">
        <v>609</v>
      </c>
      <c r="F598" t="s"/>
      <c r="G598" t="s"/>
      <c r="H598" t="s"/>
      <c r="I598" t="s"/>
      <c r="J598" t="n">
        <v>0.34</v>
      </c>
      <c r="K598" t="n">
        <v>0</v>
      </c>
      <c r="L598" t="n">
        <v>0.806</v>
      </c>
      <c r="M598" t="n">
        <v>0.194</v>
      </c>
    </row>
    <row r="599" spans="1:13">
      <c r="A599" s="1">
        <f>HYPERLINK("http://www.twitter.com/NathanBLawrence/status/994176855988109312", "994176855988109312")</f>
        <v/>
      </c>
      <c r="B599" s="2" t="n">
        <v>43229.47694444445</v>
      </c>
      <c r="C599" t="n">
        <v>1</v>
      </c>
      <c r="D599" t="n">
        <v>0</v>
      </c>
      <c r="E599" t="s">
        <v>610</v>
      </c>
      <c r="F599" t="s"/>
      <c r="G599" t="s"/>
      <c r="H599" t="s"/>
      <c r="I599" t="s"/>
      <c r="J599" t="n">
        <v>-0.1581</v>
      </c>
      <c r="K599" t="n">
        <v>0.205</v>
      </c>
      <c r="L599" t="n">
        <v>0.633</v>
      </c>
      <c r="M599" t="n">
        <v>0.162</v>
      </c>
    </row>
    <row r="600" spans="1:13">
      <c r="A600" s="1">
        <f>HYPERLINK("http://www.twitter.com/NathanBLawrence/status/994176344253718528", "994176344253718528")</f>
        <v/>
      </c>
      <c r="B600" s="2" t="n">
        <v>43229.47553240741</v>
      </c>
      <c r="C600" t="n">
        <v>9</v>
      </c>
      <c r="D600" t="n">
        <v>2</v>
      </c>
      <c r="E600" t="s">
        <v>611</v>
      </c>
      <c r="F600" t="s"/>
      <c r="G600" t="s"/>
      <c r="H600" t="s"/>
      <c r="I600" t="s"/>
      <c r="J600" t="n">
        <v>0.6705</v>
      </c>
      <c r="K600" t="n">
        <v>0</v>
      </c>
      <c r="L600" t="n">
        <v>0.735</v>
      </c>
      <c r="M600" t="n">
        <v>0.265</v>
      </c>
    </row>
    <row r="601" spans="1:13">
      <c r="A601" s="1">
        <f>HYPERLINK("http://www.twitter.com/NathanBLawrence/status/994175345900359680", "994175345900359680")</f>
        <v/>
      </c>
      <c r="B601" s="2" t="n">
        <v>43229.47277777778</v>
      </c>
      <c r="C601" t="n">
        <v>5</v>
      </c>
      <c r="D601" t="n">
        <v>7</v>
      </c>
      <c r="E601" t="s">
        <v>612</v>
      </c>
      <c r="F601" t="s"/>
      <c r="G601" t="s"/>
      <c r="H601" t="s"/>
      <c r="I601" t="s"/>
      <c r="J601" t="n">
        <v>-0.3682</v>
      </c>
      <c r="K601" t="n">
        <v>0.184</v>
      </c>
      <c r="L601" t="n">
        <v>0.743</v>
      </c>
      <c r="M601" t="n">
        <v>0.073</v>
      </c>
    </row>
    <row r="602" spans="1:13">
      <c r="A602" s="1">
        <f>HYPERLINK("http://www.twitter.com/NathanBLawrence/status/994174686262067200", "994174686262067200")</f>
        <v/>
      </c>
      <c r="B602" s="2" t="n">
        <v>43229.47094907407</v>
      </c>
      <c r="C602" t="n">
        <v>3</v>
      </c>
      <c r="D602" t="n">
        <v>0</v>
      </c>
      <c r="E602" t="s">
        <v>613</v>
      </c>
      <c r="F602" t="s"/>
      <c r="G602" t="s"/>
      <c r="H602" t="s"/>
      <c r="I602" t="s"/>
      <c r="J602" t="n">
        <v>0</v>
      </c>
      <c r="K602" t="n">
        <v>0</v>
      </c>
      <c r="L602" t="n">
        <v>1</v>
      </c>
      <c r="M602" t="n">
        <v>0</v>
      </c>
    </row>
    <row r="603" spans="1:13">
      <c r="A603" s="1">
        <f>HYPERLINK("http://www.twitter.com/NathanBLawrence/status/994174421144350720", "994174421144350720")</f>
        <v/>
      </c>
      <c r="B603" s="2" t="n">
        <v>43229.47021990741</v>
      </c>
      <c r="C603" t="n">
        <v>2</v>
      </c>
      <c r="D603" t="n">
        <v>0</v>
      </c>
      <c r="E603" t="s">
        <v>614</v>
      </c>
      <c r="F603" t="s"/>
      <c r="G603" t="s"/>
      <c r="H603" t="s"/>
      <c r="I603" t="s"/>
      <c r="J603" t="n">
        <v>0</v>
      </c>
      <c r="K603" t="n">
        <v>0</v>
      </c>
      <c r="L603" t="n">
        <v>1</v>
      </c>
      <c r="M603" t="n">
        <v>0</v>
      </c>
    </row>
    <row r="604" spans="1:13">
      <c r="A604" s="1">
        <f>HYPERLINK("http://www.twitter.com/NathanBLawrence/status/994043753001377792", "994043753001377792")</f>
        <v/>
      </c>
      <c r="B604" s="2" t="n">
        <v>43229.1096412037</v>
      </c>
      <c r="C604" t="n">
        <v>5</v>
      </c>
      <c r="D604" t="n">
        <v>0</v>
      </c>
      <c r="E604" t="s">
        <v>615</v>
      </c>
      <c r="F604" t="s"/>
      <c r="G604" t="s"/>
      <c r="H604" t="s"/>
      <c r="I604" t="s"/>
      <c r="J604" t="n">
        <v>0.3278</v>
      </c>
      <c r="K604" t="n">
        <v>0</v>
      </c>
      <c r="L604" t="n">
        <v>0.793</v>
      </c>
      <c r="M604" t="n">
        <v>0.207</v>
      </c>
    </row>
    <row r="605" spans="1:13">
      <c r="A605" s="1">
        <f>HYPERLINK("http://www.twitter.com/NathanBLawrence/status/994042082699481088", "994042082699481088")</f>
        <v/>
      </c>
      <c r="B605" s="2" t="n">
        <v>43229.10503472222</v>
      </c>
      <c r="C605" t="n">
        <v>8</v>
      </c>
      <c r="D605" t="n">
        <v>2</v>
      </c>
      <c r="E605" t="s">
        <v>616</v>
      </c>
      <c r="F605">
        <f>HYPERLINK("http://pbs.twimg.com/media/DcuL__dUQAAsAVv.jpg", "http://pbs.twimg.com/media/DcuL__dUQAAsAVv.jpg")</f>
        <v/>
      </c>
      <c r="G605" t="s"/>
      <c r="H605" t="s"/>
      <c r="I605" t="s"/>
      <c r="J605" t="n">
        <v>-0.3862</v>
      </c>
      <c r="K605" t="n">
        <v>0.208</v>
      </c>
      <c r="L605" t="n">
        <v>0.661</v>
      </c>
      <c r="M605" t="n">
        <v>0.131</v>
      </c>
    </row>
    <row r="606" spans="1:13">
      <c r="A606" s="1">
        <f>HYPERLINK("http://www.twitter.com/NathanBLawrence/status/994041550454829056", "994041550454829056")</f>
        <v/>
      </c>
      <c r="B606" s="2" t="n">
        <v>43229.10356481482</v>
      </c>
      <c r="C606" t="n">
        <v>3</v>
      </c>
      <c r="D606" t="n">
        <v>0</v>
      </c>
      <c r="E606" t="s">
        <v>617</v>
      </c>
      <c r="F606" t="s"/>
      <c r="G606" t="s"/>
      <c r="H606" t="s"/>
      <c r="I606" t="s"/>
      <c r="J606" t="n">
        <v>-0.7345</v>
      </c>
      <c r="K606" t="n">
        <v>0.382</v>
      </c>
      <c r="L606" t="n">
        <v>0.618</v>
      </c>
      <c r="M606" t="n">
        <v>0</v>
      </c>
    </row>
    <row r="607" spans="1:13">
      <c r="A607" s="1">
        <f>HYPERLINK("http://www.twitter.com/NathanBLawrence/status/994041365548937216", "994041365548937216")</f>
        <v/>
      </c>
      <c r="B607" s="2" t="n">
        <v>43229.10305555556</v>
      </c>
      <c r="C607" t="n">
        <v>1</v>
      </c>
      <c r="D607" t="n">
        <v>0</v>
      </c>
      <c r="E607" t="s">
        <v>618</v>
      </c>
      <c r="F607" t="s"/>
      <c r="G607" t="s"/>
      <c r="H607" t="s"/>
      <c r="I607" t="s"/>
      <c r="J607" t="n">
        <v>0</v>
      </c>
      <c r="K607" t="n">
        <v>0</v>
      </c>
      <c r="L607" t="n">
        <v>1</v>
      </c>
      <c r="M607" t="n">
        <v>0</v>
      </c>
    </row>
    <row r="608" spans="1:13">
      <c r="A608" s="1">
        <f>HYPERLINK("http://www.twitter.com/NathanBLawrence/status/994028207266500609", "994028207266500609")</f>
        <v/>
      </c>
      <c r="B608" s="2" t="n">
        <v>43229.06674768519</v>
      </c>
      <c r="C608" t="n">
        <v>0</v>
      </c>
      <c r="D608" t="n">
        <v>1</v>
      </c>
      <c r="E608" t="s">
        <v>619</v>
      </c>
      <c r="F608" t="s"/>
      <c r="G608" t="s"/>
      <c r="H608" t="s"/>
      <c r="I608" t="s"/>
      <c r="J608" t="n">
        <v>0</v>
      </c>
      <c r="K608" t="n">
        <v>0</v>
      </c>
      <c r="L608" t="n">
        <v>1</v>
      </c>
      <c r="M608" t="n">
        <v>0</v>
      </c>
    </row>
    <row r="609" spans="1:13">
      <c r="A609" s="1">
        <f>HYPERLINK("http://www.twitter.com/NathanBLawrence/status/994027847370117120", "994027847370117120")</f>
        <v/>
      </c>
      <c r="B609" s="2" t="n">
        <v>43229.06575231482</v>
      </c>
      <c r="C609" t="n">
        <v>3</v>
      </c>
      <c r="D609" t="n">
        <v>0</v>
      </c>
      <c r="E609" t="s">
        <v>620</v>
      </c>
      <c r="F609" t="s"/>
      <c r="G609" t="s"/>
      <c r="H609" t="s"/>
      <c r="I609" t="s"/>
      <c r="J609" t="n">
        <v>0</v>
      </c>
      <c r="K609" t="n">
        <v>0</v>
      </c>
      <c r="L609" t="n">
        <v>1</v>
      </c>
      <c r="M609" t="n">
        <v>0</v>
      </c>
    </row>
    <row r="610" spans="1:13">
      <c r="A610" s="1">
        <f>HYPERLINK("http://www.twitter.com/NathanBLawrence/status/993993464579874816", "993993464579874816")</f>
        <v/>
      </c>
      <c r="B610" s="2" t="n">
        <v>43228.97087962963</v>
      </c>
      <c r="C610" t="n">
        <v>1</v>
      </c>
      <c r="D610" t="n">
        <v>0</v>
      </c>
      <c r="E610" t="s">
        <v>621</v>
      </c>
      <c r="F610" t="s"/>
      <c r="G610" t="s"/>
      <c r="H610" t="s"/>
      <c r="I610" t="s"/>
      <c r="J610" t="n">
        <v>-0.6418</v>
      </c>
      <c r="K610" t="n">
        <v>0.586</v>
      </c>
      <c r="L610" t="n">
        <v>0.414</v>
      </c>
      <c r="M610" t="n">
        <v>0</v>
      </c>
    </row>
    <row r="611" spans="1:13">
      <c r="A611" s="1">
        <f>HYPERLINK("http://www.twitter.com/NathanBLawrence/status/993992368415297536", "993992368415297536")</f>
        <v/>
      </c>
      <c r="B611" s="2" t="n">
        <v>43228.96784722222</v>
      </c>
      <c r="C611" t="n">
        <v>2</v>
      </c>
      <c r="D611" t="n">
        <v>1</v>
      </c>
      <c r="E611" t="s">
        <v>622</v>
      </c>
      <c r="F611" t="s"/>
      <c r="G611" t="s"/>
      <c r="H611" t="s"/>
      <c r="I611" t="s"/>
      <c r="J611" t="n">
        <v>-0.5457</v>
      </c>
      <c r="K611" t="n">
        <v>0.184</v>
      </c>
      <c r="L611" t="n">
        <v>0.8159999999999999</v>
      </c>
      <c r="M611" t="n">
        <v>0</v>
      </c>
    </row>
    <row r="612" spans="1:13">
      <c r="A612" s="1">
        <f>HYPERLINK("http://www.twitter.com/NathanBLawrence/status/993990955819823104", "993990955819823104")</f>
        <v/>
      </c>
      <c r="B612" s="2" t="n">
        <v>43228.96394675926</v>
      </c>
      <c r="C612" t="n">
        <v>12</v>
      </c>
      <c r="D612" t="n">
        <v>3</v>
      </c>
      <c r="E612" t="s">
        <v>623</v>
      </c>
      <c r="F612" t="s"/>
      <c r="G612" t="s"/>
      <c r="H612" t="s"/>
      <c r="I612" t="s"/>
      <c r="J612" t="n">
        <v>-0</v>
      </c>
      <c r="K612" t="n">
        <v>0.095</v>
      </c>
      <c r="L612" t="n">
        <v>0.841</v>
      </c>
      <c r="M612" t="n">
        <v>0.063</v>
      </c>
    </row>
    <row r="613" spans="1:13">
      <c r="A613" s="1">
        <f>HYPERLINK("http://www.twitter.com/NathanBLawrence/status/993982040189087744", "993982040189087744")</f>
        <v/>
      </c>
      <c r="B613" s="2" t="n">
        <v>43228.93935185186</v>
      </c>
      <c r="C613" t="n">
        <v>1</v>
      </c>
      <c r="D613" t="n">
        <v>0</v>
      </c>
      <c r="E613" t="s">
        <v>624</v>
      </c>
      <c r="F613" t="s"/>
      <c r="G613" t="s"/>
      <c r="H613" t="s"/>
      <c r="I613" t="s"/>
      <c r="J613" t="n">
        <v>0</v>
      </c>
      <c r="K613" t="n">
        <v>0</v>
      </c>
      <c r="L613" t="n">
        <v>1</v>
      </c>
      <c r="M613" t="n">
        <v>0</v>
      </c>
    </row>
    <row r="614" spans="1:13">
      <c r="A614" s="1">
        <f>HYPERLINK("http://www.twitter.com/NathanBLawrence/status/993970329369407489", "993970329369407489")</f>
        <v/>
      </c>
      <c r="B614" s="2" t="n">
        <v>43228.90703703704</v>
      </c>
      <c r="C614" t="n">
        <v>0</v>
      </c>
      <c r="D614" t="n">
        <v>1</v>
      </c>
      <c r="E614" t="s">
        <v>625</v>
      </c>
      <c r="F614" t="s"/>
      <c r="G614" t="s"/>
      <c r="H614" t="s"/>
      <c r="I614" t="s"/>
      <c r="J614" t="n">
        <v>0.6663</v>
      </c>
      <c r="K614" t="n">
        <v>0</v>
      </c>
      <c r="L614" t="n">
        <v>0.745</v>
      </c>
      <c r="M614" t="n">
        <v>0.255</v>
      </c>
    </row>
    <row r="615" spans="1:13">
      <c r="A615" s="1">
        <f>HYPERLINK("http://www.twitter.com/NathanBLawrence/status/993970215015911424", "993970215015911424")</f>
        <v/>
      </c>
      <c r="B615" s="2" t="n">
        <v>43228.90671296296</v>
      </c>
      <c r="C615" t="n">
        <v>0</v>
      </c>
      <c r="D615" t="n">
        <v>0</v>
      </c>
      <c r="E615" t="s">
        <v>626</v>
      </c>
      <c r="F615" t="s"/>
      <c r="G615" t="s"/>
      <c r="H615" t="s"/>
      <c r="I615" t="s"/>
      <c r="J615" t="n">
        <v>-0.0772</v>
      </c>
      <c r="K615" t="n">
        <v>0.228</v>
      </c>
      <c r="L615" t="n">
        <v>0.569</v>
      </c>
      <c r="M615" t="n">
        <v>0.203</v>
      </c>
    </row>
    <row r="616" spans="1:13">
      <c r="A616" s="1">
        <f>HYPERLINK("http://www.twitter.com/NathanBLawrence/status/993935699412967424", "993935699412967424")</f>
        <v/>
      </c>
      <c r="B616" s="2" t="n">
        <v>43228.81146990741</v>
      </c>
      <c r="C616" t="n">
        <v>8</v>
      </c>
      <c r="D616" t="n">
        <v>5</v>
      </c>
      <c r="E616" t="s">
        <v>627</v>
      </c>
      <c r="F616" t="s"/>
      <c r="G616" t="s"/>
      <c r="H616" t="s"/>
      <c r="I616" t="s"/>
      <c r="J616" t="n">
        <v>-0.3802</v>
      </c>
      <c r="K616" t="n">
        <v>0.139</v>
      </c>
      <c r="L616" t="n">
        <v>0.793</v>
      </c>
      <c r="M616" t="n">
        <v>0.068</v>
      </c>
    </row>
    <row r="617" spans="1:13">
      <c r="A617" s="1">
        <f>HYPERLINK("http://www.twitter.com/NathanBLawrence/status/993916233052512257", "993916233052512257")</f>
        <v/>
      </c>
      <c r="B617" s="2" t="n">
        <v>43228.75775462963</v>
      </c>
      <c r="C617" t="n">
        <v>1</v>
      </c>
      <c r="D617" t="n">
        <v>0</v>
      </c>
      <c r="E617" t="s">
        <v>628</v>
      </c>
      <c r="F617" t="s"/>
      <c r="G617" t="s"/>
      <c r="H617" t="s"/>
      <c r="I617" t="s"/>
      <c r="J617" t="n">
        <v>-0.886</v>
      </c>
      <c r="K617" t="n">
        <v>0.272</v>
      </c>
      <c r="L617" t="n">
        <v>0.698</v>
      </c>
      <c r="M617" t="n">
        <v>0.03</v>
      </c>
    </row>
    <row r="618" spans="1:13">
      <c r="A618" s="1">
        <f>HYPERLINK("http://www.twitter.com/NathanBLawrence/status/993861353327726592", "993861353327726592")</f>
        <v/>
      </c>
      <c r="B618" s="2" t="n">
        <v>43228.60631944444</v>
      </c>
      <c r="C618" t="n">
        <v>0</v>
      </c>
      <c r="D618" t="n">
        <v>0</v>
      </c>
      <c r="E618" t="s">
        <v>629</v>
      </c>
      <c r="F618" t="s"/>
      <c r="G618" t="s"/>
      <c r="H618" t="s"/>
      <c r="I618" t="s"/>
      <c r="J618" t="n">
        <v>0.34</v>
      </c>
      <c r="K618" t="n">
        <v>0</v>
      </c>
      <c r="L618" t="n">
        <v>0.854</v>
      </c>
      <c r="M618" t="n">
        <v>0.146</v>
      </c>
    </row>
    <row r="619" spans="1:13">
      <c r="A619" s="1">
        <f>HYPERLINK("http://www.twitter.com/NathanBLawrence/status/993860768742494208", "993860768742494208")</f>
        <v/>
      </c>
      <c r="B619" s="2" t="n">
        <v>43228.60469907407</v>
      </c>
      <c r="C619" t="n">
        <v>0</v>
      </c>
      <c r="D619" t="n">
        <v>5</v>
      </c>
      <c r="E619" t="s">
        <v>630</v>
      </c>
      <c r="F619" t="s"/>
      <c r="G619" t="s"/>
      <c r="H619" t="s"/>
      <c r="I619" t="s"/>
      <c r="J619" t="n">
        <v>0</v>
      </c>
      <c r="K619" t="n">
        <v>0</v>
      </c>
      <c r="L619" t="n">
        <v>1</v>
      </c>
      <c r="M619" t="n">
        <v>0</v>
      </c>
    </row>
    <row r="620" spans="1:13">
      <c r="A620" s="1">
        <f>HYPERLINK("http://www.twitter.com/NathanBLawrence/status/993860567453585408", "993860567453585408")</f>
        <v/>
      </c>
      <c r="B620" s="2" t="n">
        <v>43228.60414351852</v>
      </c>
      <c r="C620" t="n">
        <v>8</v>
      </c>
      <c r="D620" t="n">
        <v>3</v>
      </c>
      <c r="E620" t="s">
        <v>631</v>
      </c>
      <c r="F620" t="s"/>
      <c r="G620" t="s"/>
      <c r="H620" t="s"/>
      <c r="I620" t="s"/>
      <c r="J620" t="n">
        <v>0.8265</v>
      </c>
      <c r="K620" t="n">
        <v>0</v>
      </c>
      <c r="L620" t="n">
        <v>0.741</v>
      </c>
      <c r="M620" t="n">
        <v>0.259</v>
      </c>
    </row>
    <row r="621" spans="1:13">
      <c r="A621" s="1">
        <f>HYPERLINK("http://www.twitter.com/NathanBLawrence/status/993859787103358977", "993859787103358977")</f>
        <v/>
      </c>
      <c r="B621" s="2" t="n">
        <v>43228.60199074074</v>
      </c>
      <c r="C621" t="n">
        <v>2</v>
      </c>
      <c r="D621" t="n">
        <v>2</v>
      </c>
      <c r="E621" t="s">
        <v>632</v>
      </c>
      <c r="F621" t="s"/>
      <c r="G621" t="s"/>
      <c r="H621" t="s"/>
      <c r="I621" t="s"/>
      <c r="J621" t="n">
        <v>0.4404</v>
      </c>
      <c r="K621" t="n">
        <v>0</v>
      </c>
      <c r="L621" t="n">
        <v>0.674</v>
      </c>
      <c r="M621" t="n">
        <v>0.326</v>
      </c>
    </row>
    <row r="622" spans="1:13">
      <c r="A622" s="1">
        <f>HYPERLINK("http://www.twitter.com/NathanBLawrence/status/993859509469802496", "993859509469802496")</f>
        <v/>
      </c>
      <c r="B622" s="2" t="n">
        <v>43228.60122685185</v>
      </c>
      <c r="C622" t="n">
        <v>1</v>
      </c>
      <c r="D622" t="n">
        <v>0</v>
      </c>
      <c r="E622" t="s">
        <v>633</v>
      </c>
      <c r="F622" t="s"/>
      <c r="G622" t="s"/>
      <c r="H622" t="s"/>
      <c r="I622" t="s"/>
      <c r="J622" t="n">
        <v>0</v>
      </c>
      <c r="K622" t="n">
        <v>0</v>
      </c>
      <c r="L622" t="n">
        <v>1</v>
      </c>
      <c r="M622" t="n">
        <v>0</v>
      </c>
    </row>
    <row r="623" spans="1:13">
      <c r="A623" s="1">
        <f>HYPERLINK("http://www.twitter.com/NathanBLawrence/status/993858784144576513", "993858784144576513")</f>
        <v/>
      </c>
      <c r="B623" s="2" t="n">
        <v>43228.59922453704</v>
      </c>
      <c r="C623" t="n">
        <v>0</v>
      </c>
      <c r="D623" t="n">
        <v>0</v>
      </c>
      <c r="E623" t="s">
        <v>634</v>
      </c>
      <c r="F623" t="s"/>
      <c r="G623" t="s"/>
      <c r="H623" t="s"/>
      <c r="I623" t="s"/>
      <c r="J623" t="n">
        <v>-0.7539</v>
      </c>
      <c r="K623" t="n">
        <v>0.405</v>
      </c>
      <c r="L623" t="n">
        <v>0.595</v>
      </c>
      <c r="M623" t="n">
        <v>0</v>
      </c>
    </row>
    <row r="624" spans="1:13">
      <c r="A624" s="1">
        <f>HYPERLINK("http://www.twitter.com/NathanBLawrence/status/993858498172776451", "993858498172776451")</f>
        <v/>
      </c>
      <c r="B624" s="2" t="n">
        <v>43228.5984375</v>
      </c>
      <c r="C624" t="n">
        <v>1</v>
      </c>
      <c r="D624" t="n">
        <v>0</v>
      </c>
      <c r="E624" t="s">
        <v>635</v>
      </c>
      <c r="F624" t="s"/>
      <c r="G624" t="s"/>
      <c r="H624" t="s"/>
      <c r="I624" t="s"/>
      <c r="J624" t="n">
        <v>0</v>
      </c>
      <c r="K624" t="n">
        <v>0</v>
      </c>
      <c r="L624" t="n">
        <v>1</v>
      </c>
      <c r="M624" t="n">
        <v>0</v>
      </c>
    </row>
    <row r="625" spans="1:13">
      <c r="A625" s="1">
        <f>HYPERLINK("http://www.twitter.com/NathanBLawrence/status/993857998106832896", "993857998106832896")</f>
        <v/>
      </c>
      <c r="B625" s="2" t="n">
        <v>43228.59706018519</v>
      </c>
      <c r="C625" t="n">
        <v>0</v>
      </c>
      <c r="D625" t="n">
        <v>0</v>
      </c>
      <c r="E625" t="s">
        <v>636</v>
      </c>
      <c r="F625">
        <f>HYPERLINK("http://pbs.twimg.com/media/DcrklGrV0AAnsR4.jpg", "http://pbs.twimg.com/media/DcrklGrV0AAnsR4.jpg")</f>
        <v/>
      </c>
      <c r="G625" t="s"/>
      <c r="H625" t="s"/>
      <c r="I625" t="s"/>
      <c r="J625" t="n">
        <v>0</v>
      </c>
      <c r="K625" t="n">
        <v>0</v>
      </c>
      <c r="L625" t="n">
        <v>1</v>
      </c>
      <c r="M625" t="n">
        <v>0</v>
      </c>
    </row>
    <row r="626" spans="1:13">
      <c r="A626" s="1">
        <f>HYPERLINK("http://www.twitter.com/NathanBLawrence/status/993856634907742209", "993856634907742209")</f>
        <v/>
      </c>
      <c r="B626" s="2" t="n">
        <v>43228.59329861111</v>
      </c>
      <c r="C626" t="n">
        <v>4</v>
      </c>
      <c r="D626" t="n">
        <v>2</v>
      </c>
      <c r="E626" t="s">
        <v>637</v>
      </c>
      <c r="F626" t="s"/>
      <c r="G626" t="s"/>
      <c r="H626" t="s"/>
      <c r="I626" t="s"/>
      <c r="J626" t="n">
        <v>-0.2263</v>
      </c>
      <c r="K626" t="n">
        <v>0.091</v>
      </c>
      <c r="L626" t="n">
        <v>0.861</v>
      </c>
      <c r="M626" t="n">
        <v>0.049</v>
      </c>
    </row>
    <row r="627" spans="1:13">
      <c r="A627" s="1">
        <f>HYPERLINK("http://www.twitter.com/NathanBLawrence/status/993855867333292032", "993855867333292032")</f>
        <v/>
      </c>
      <c r="B627" s="2" t="n">
        <v>43228.59118055556</v>
      </c>
      <c r="C627" t="n">
        <v>2</v>
      </c>
      <c r="D627" t="n">
        <v>0</v>
      </c>
      <c r="E627" t="s">
        <v>638</v>
      </c>
      <c r="F627" t="s"/>
      <c r="G627" t="s"/>
      <c r="H627" t="s"/>
      <c r="I627" t="s"/>
      <c r="J627" t="n">
        <v>0</v>
      </c>
      <c r="K627" t="n">
        <v>0</v>
      </c>
      <c r="L627" t="n">
        <v>1</v>
      </c>
      <c r="M627" t="n">
        <v>0</v>
      </c>
    </row>
    <row r="628" spans="1:13">
      <c r="A628" s="1">
        <f>HYPERLINK("http://www.twitter.com/NathanBLawrence/status/993854549856260097", "993854549856260097")</f>
        <v/>
      </c>
      <c r="B628" s="2" t="n">
        <v>43228.58754629629</v>
      </c>
      <c r="C628" t="n">
        <v>0</v>
      </c>
      <c r="D628" t="n">
        <v>1</v>
      </c>
      <c r="E628" t="s">
        <v>639</v>
      </c>
      <c r="F628" t="s"/>
      <c r="G628" t="s"/>
      <c r="H628" t="s"/>
      <c r="I628" t="s"/>
      <c r="J628" t="n">
        <v>0</v>
      </c>
      <c r="K628" t="n">
        <v>0</v>
      </c>
      <c r="L628" t="n">
        <v>1</v>
      </c>
      <c r="M628" t="n">
        <v>0</v>
      </c>
    </row>
    <row r="629" spans="1:13">
      <c r="A629" s="1">
        <f>HYPERLINK("http://www.twitter.com/NathanBLawrence/status/993853975031099392", "993853975031099392")</f>
        <v/>
      </c>
      <c r="B629" s="2" t="n">
        <v>43228.58596064815</v>
      </c>
      <c r="C629" t="n">
        <v>0</v>
      </c>
      <c r="D629" t="n">
        <v>2994</v>
      </c>
      <c r="E629" t="s">
        <v>640</v>
      </c>
      <c r="F629">
        <f>HYPERLINK("http://pbs.twimg.com/media/Dco9gRUW4AETf8x.jpg", "http://pbs.twimg.com/media/Dco9gRUW4AETf8x.jpg")</f>
        <v/>
      </c>
      <c r="G629" t="s"/>
      <c r="H629" t="s"/>
      <c r="I629" t="s"/>
      <c r="J629" t="n">
        <v>-0.516</v>
      </c>
      <c r="K629" t="n">
        <v>0.149</v>
      </c>
      <c r="L629" t="n">
        <v>0.851</v>
      </c>
      <c r="M629" t="n">
        <v>0</v>
      </c>
    </row>
    <row r="630" spans="1:13">
      <c r="A630" s="1">
        <f>HYPERLINK("http://www.twitter.com/NathanBLawrence/status/993853844399493120", "993853844399493120")</f>
        <v/>
      </c>
      <c r="B630" s="2" t="n">
        <v>43228.58560185185</v>
      </c>
      <c r="C630" t="n">
        <v>2</v>
      </c>
      <c r="D630" t="n">
        <v>1</v>
      </c>
      <c r="E630" t="s">
        <v>641</v>
      </c>
      <c r="F630" t="s"/>
      <c r="G630" t="s"/>
      <c r="H630" t="s"/>
      <c r="I630" t="s"/>
      <c r="J630" t="n">
        <v>-0.9254</v>
      </c>
      <c r="K630" t="n">
        <v>0.362</v>
      </c>
      <c r="L630" t="n">
        <v>0.638</v>
      </c>
      <c r="M630" t="n">
        <v>0</v>
      </c>
    </row>
    <row r="631" spans="1:13">
      <c r="A631" s="1">
        <f>HYPERLINK("http://www.twitter.com/NathanBLawrence/status/993852547734687746", "993852547734687746")</f>
        <v/>
      </c>
      <c r="B631" s="2" t="n">
        <v>43228.58201388889</v>
      </c>
      <c r="C631" t="n">
        <v>0</v>
      </c>
      <c r="D631" t="n">
        <v>12</v>
      </c>
      <c r="E631" t="s">
        <v>642</v>
      </c>
      <c r="F631">
        <f>HYPERLINK("http://pbs.twimg.com/media/DcpRwx5WsAAZudT.jpg", "http://pbs.twimg.com/media/DcpRwx5WsAAZudT.jpg")</f>
        <v/>
      </c>
      <c r="G631" t="s"/>
      <c r="H631" t="s"/>
      <c r="I631" t="s"/>
      <c r="J631" t="n">
        <v>-0.8764999999999999</v>
      </c>
      <c r="K631" t="n">
        <v>0.335</v>
      </c>
      <c r="L631" t="n">
        <v>0.665</v>
      </c>
      <c r="M631" t="n">
        <v>0</v>
      </c>
    </row>
    <row r="632" spans="1:13">
      <c r="A632" s="1">
        <f>HYPERLINK("http://www.twitter.com/NathanBLawrence/status/993850554878226432", "993850554878226432")</f>
        <v/>
      </c>
      <c r="B632" s="2" t="n">
        <v>43228.57651620371</v>
      </c>
      <c r="C632" t="n">
        <v>1</v>
      </c>
      <c r="D632" t="n">
        <v>0</v>
      </c>
      <c r="E632" t="s">
        <v>643</v>
      </c>
      <c r="F632" t="s"/>
      <c r="G632" t="s"/>
      <c r="H632" t="s"/>
      <c r="I632" t="s"/>
      <c r="J632" t="n">
        <v>-0.5106000000000001</v>
      </c>
      <c r="K632" t="n">
        <v>0.292</v>
      </c>
      <c r="L632" t="n">
        <v>0.708</v>
      </c>
      <c r="M632" t="n">
        <v>0</v>
      </c>
    </row>
    <row r="633" spans="1:13">
      <c r="A633" s="1">
        <f>HYPERLINK("http://www.twitter.com/NathanBLawrence/status/993845466302484480", "993845466302484480")</f>
        <v/>
      </c>
      <c r="B633" s="2" t="n">
        <v>43228.56247685185</v>
      </c>
      <c r="C633" t="n">
        <v>4</v>
      </c>
      <c r="D633" t="n">
        <v>0</v>
      </c>
      <c r="E633" t="s">
        <v>644</v>
      </c>
      <c r="F633" t="s"/>
      <c r="G633" t="s"/>
      <c r="H633" t="s"/>
      <c r="I633" t="s"/>
      <c r="J633" t="n">
        <v>0.2732</v>
      </c>
      <c r="K633" t="n">
        <v>0</v>
      </c>
      <c r="L633" t="n">
        <v>0.906</v>
      </c>
      <c r="M633" t="n">
        <v>0.094</v>
      </c>
    </row>
    <row r="634" spans="1:13">
      <c r="A634" s="1">
        <f>HYPERLINK("http://www.twitter.com/NathanBLawrence/status/993839677235920896", "993839677235920896")</f>
        <v/>
      </c>
      <c r="B634" s="2" t="n">
        <v>43228.54650462963</v>
      </c>
      <c r="C634" t="n">
        <v>0</v>
      </c>
      <c r="D634" t="n">
        <v>0</v>
      </c>
      <c r="E634" t="s">
        <v>645</v>
      </c>
      <c r="F634" t="s"/>
      <c r="G634" t="s"/>
      <c r="H634" t="s"/>
      <c r="I634" t="s"/>
      <c r="J634" t="n">
        <v>0</v>
      </c>
      <c r="K634" t="n">
        <v>0</v>
      </c>
      <c r="L634" t="n">
        <v>1</v>
      </c>
      <c r="M634" t="n">
        <v>0</v>
      </c>
    </row>
    <row r="635" spans="1:13">
      <c r="A635" s="1">
        <f>HYPERLINK("http://www.twitter.com/NathanBLawrence/status/993839198053568512", "993839198053568512")</f>
        <v/>
      </c>
      <c r="B635" s="2" t="n">
        <v>43228.54518518518</v>
      </c>
      <c r="C635" t="n">
        <v>0</v>
      </c>
      <c r="D635" t="n">
        <v>10</v>
      </c>
      <c r="E635" t="s">
        <v>646</v>
      </c>
      <c r="F635">
        <f>HYPERLINK("http://pbs.twimg.com/media/DcrRSlAX4AMtf9d.jpg", "http://pbs.twimg.com/media/DcrRSlAX4AMtf9d.jpg")</f>
        <v/>
      </c>
      <c r="G635" t="s"/>
      <c r="H635" t="s"/>
      <c r="I635" t="s"/>
      <c r="J635" t="n">
        <v>0</v>
      </c>
      <c r="K635" t="n">
        <v>0</v>
      </c>
      <c r="L635" t="n">
        <v>1</v>
      </c>
      <c r="M635" t="n">
        <v>0</v>
      </c>
    </row>
    <row r="636" spans="1:13">
      <c r="A636" s="1">
        <f>HYPERLINK("http://www.twitter.com/NathanBLawrence/status/993839048635699200", "993839048635699200")</f>
        <v/>
      </c>
      <c r="B636" s="2" t="n">
        <v>43228.54476851852</v>
      </c>
      <c r="C636" t="n">
        <v>2</v>
      </c>
      <c r="D636" t="n">
        <v>1</v>
      </c>
      <c r="E636" t="s">
        <v>647</v>
      </c>
      <c r="F636" t="s"/>
      <c r="G636" t="s"/>
      <c r="H636" t="s"/>
      <c r="I636" t="s"/>
      <c r="J636" t="n">
        <v>0.3612</v>
      </c>
      <c r="K636" t="n">
        <v>0</v>
      </c>
      <c r="L636" t="n">
        <v>0.783</v>
      </c>
      <c r="M636" t="n">
        <v>0.217</v>
      </c>
    </row>
    <row r="637" spans="1:13">
      <c r="A637" s="1">
        <f>HYPERLINK("http://www.twitter.com/NathanBLawrence/status/993838762449915905", "993838762449915905")</f>
        <v/>
      </c>
      <c r="B637" s="2" t="n">
        <v>43228.54398148148</v>
      </c>
      <c r="C637" t="n">
        <v>4</v>
      </c>
      <c r="D637" t="n">
        <v>1</v>
      </c>
      <c r="E637" t="s">
        <v>648</v>
      </c>
      <c r="F637" t="s"/>
      <c r="G637" t="s"/>
      <c r="H637" t="s"/>
      <c r="I637" t="s"/>
      <c r="J637" t="n">
        <v>0.2732</v>
      </c>
      <c r="K637" t="n">
        <v>0</v>
      </c>
      <c r="L637" t="n">
        <v>0.923</v>
      </c>
      <c r="M637" t="n">
        <v>0.077</v>
      </c>
    </row>
    <row r="638" spans="1:13">
      <c r="A638" s="1">
        <f>HYPERLINK("http://www.twitter.com/NathanBLawrence/status/993838231128100864", "993838231128100864")</f>
        <v/>
      </c>
      <c r="B638" s="2" t="n">
        <v>43228.54251157407</v>
      </c>
      <c r="C638" t="n">
        <v>0</v>
      </c>
      <c r="D638" t="n">
        <v>78</v>
      </c>
      <c r="E638" t="s">
        <v>649</v>
      </c>
      <c r="F638" t="s"/>
      <c r="G638" t="s"/>
      <c r="H638" t="s"/>
      <c r="I638" t="s"/>
      <c r="J638" t="n">
        <v>0</v>
      </c>
      <c r="K638" t="n">
        <v>0</v>
      </c>
      <c r="L638" t="n">
        <v>1</v>
      </c>
      <c r="M638" t="n">
        <v>0</v>
      </c>
    </row>
    <row r="639" spans="1:13">
      <c r="A639" s="1">
        <f>HYPERLINK("http://www.twitter.com/NathanBLawrence/status/993838164220489728", "993838164220489728")</f>
        <v/>
      </c>
      <c r="B639" s="2" t="n">
        <v>43228.54232638889</v>
      </c>
      <c r="C639" t="n">
        <v>0</v>
      </c>
      <c r="D639" t="n">
        <v>281</v>
      </c>
      <c r="E639" t="s">
        <v>650</v>
      </c>
      <c r="F639" t="s"/>
      <c r="G639" t="s"/>
      <c r="H639" t="s"/>
      <c r="I639" t="s"/>
      <c r="J639" t="n">
        <v>0.6652</v>
      </c>
      <c r="K639" t="n">
        <v>0.075</v>
      </c>
      <c r="L639" t="n">
        <v>0.738</v>
      </c>
      <c r="M639" t="n">
        <v>0.186</v>
      </c>
    </row>
    <row r="640" spans="1:13">
      <c r="A640" s="1">
        <f>HYPERLINK("http://www.twitter.com/NathanBLawrence/status/993838087544410114", "993838087544410114")</f>
        <v/>
      </c>
      <c r="B640" s="2" t="n">
        <v>43228.54211805556</v>
      </c>
      <c r="C640" t="n">
        <v>0</v>
      </c>
      <c r="D640" t="n">
        <v>2503</v>
      </c>
      <c r="E640" t="s">
        <v>651</v>
      </c>
      <c r="F640" t="s"/>
      <c r="G640" t="s"/>
      <c r="H640" t="s"/>
      <c r="I640" t="s"/>
      <c r="J640" t="n">
        <v>0.34</v>
      </c>
      <c r="K640" t="n">
        <v>0.075</v>
      </c>
      <c r="L640" t="n">
        <v>0.754</v>
      </c>
      <c r="M640" t="n">
        <v>0.171</v>
      </c>
    </row>
    <row r="641" spans="1:13">
      <c r="A641" s="1">
        <f>HYPERLINK("http://www.twitter.com/NathanBLawrence/status/993833636083392512", "993833636083392512")</f>
        <v/>
      </c>
      <c r="B641" s="2" t="n">
        <v>43228.52983796296</v>
      </c>
      <c r="C641" t="n">
        <v>4</v>
      </c>
      <c r="D641" t="n">
        <v>0</v>
      </c>
      <c r="E641" t="s">
        <v>652</v>
      </c>
      <c r="F641">
        <f>HYPERLINK("http://pbs.twimg.com/media/DcrOZn9VwAAZycQ.jpg", "http://pbs.twimg.com/media/DcrOZn9VwAAZycQ.jpg")</f>
        <v/>
      </c>
      <c r="G641" t="s"/>
      <c r="H641" t="s"/>
      <c r="I641" t="s"/>
      <c r="J641" t="n">
        <v>-0.3612</v>
      </c>
      <c r="K641" t="n">
        <v>0.185</v>
      </c>
      <c r="L641" t="n">
        <v>0.8149999999999999</v>
      </c>
      <c r="M641" t="n">
        <v>0</v>
      </c>
    </row>
    <row r="642" spans="1:13">
      <c r="A642" s="1">
        <f>HYPERLINK("http://www.twitter.com/NathanBLawrence/status/993830035701321728", "993830035701321728")</f>
        <v/>
      </c>
      <c r="B642" s="2" t="n">
        <v>43228.51989583333</v>
      </c>
      <c r="C642" t="n">
        <v>0</v>
      </c>
      <c r="D642" t="n">
        <v>2326</v>
      </c>
      <c r="E642" t="s">
        <v>653</v>
      </c>
      <c r="F642" t="s"/>
      <c r="G642" t="s"/>
      <c r="H642" t="s"/>
      <c r="I642" t="s"/>
      <c r="J642" t="n">
        <v>0</v>
      </c>
      <c r="K642" t="n">
        <v>0</v>
      </c>
      <c r="L642" t="n">
        <v>1</v>
      </c>
      <c r="M642" t="n">
        <v>0</v>
      </c>
    </row>
    <row r="643" spans="1:13">
      <c r="A643" s="1">
        <f>HYPERLINK("http://www.twitter.com/NathanBLawrence/status/993683957337280512", "993683957337280512")</f>
        <v/>
      </c>
      <c r="B643" s="2" t="n">
        <v>43228.11679398148</v>
      </c>
      <c r="C643" t="n">
        <v>4</v>
      </c>
      <c r="D643" t="n">
        <v>0</v>
      </c>
      <c r="E643" t="s">
        <v>654</v>
      </c>
      <c r="F643">
        <f>HYPERLINK("http://pbs.twimg.com/media/DcpGSkEVQAUqFn4.jpg", "http://pbs.twimg.com/media/DcpGSkEVQAUqFn4.jpg")</f>
        <v/>
      </c>
      <c r="G643" t="s"/>
      <c r="H643" t="s"/>
      <c r="I643" t="s"/>
      <c r="J643" t="n">
        <v>0.7506</v>
      </c>
      <c r="K643" t="n">
        <v>0</v>
      </c>
      <c r="L643" t="n">
        <v>0.632</v>
      </c>
      <c r="M643" t="n">
        <v>0.368</v>
      </c>
    </row>
    <row r="644" spans="1:13">
      <c r="A644" s="1">
        <f>HYPERLINK("http://www.twitter.com/NathanBLawrence/status/993647555912327168", "993647555912327168")</f>
        <v/>
      </c>
      <c r="B644" s="2" t="n">
        <v>43228.01635416667</v>
      </c>
      <c r="C644" t="n">
        <v>0</v>
      </c>
      <c r="D644" t="n">
        <v>1</v>
      </c>
      <c r="E644" t="s">
        <v>655</v>
      </c>
      <c r="F644">
        <f>HYPERLINK("http://pbs.twimg.com/media/Dcob1GxWsAELnAT.jpg", "http://pbs.twimg.com/media/Dcob1GxWsAELnAT.jpg")</f>
        <v/>
      </c>
      <c r="G644" t="s"/>
      <c r="H644" t="s"/>
      <c r="I644" t="s"/>
      <c r="J644" t="n">
        <v>0</v>
      </c>
      <c r="K644" t="n">
        <v>0</v>
      </c>
      <c r="L644" t="n">
        <v>1</v>
      </c>
      <c r="M644" t="n">
        <v>0</v>
      </c>
    </row>
    <row r="645" spans="1:13">
      <c r="A645" s="1">
        <f>HYPERLINK("http://www.twitter.com/NathanBLawrence/status/993647497477320704", "993647497477320704")</f>
        <v/>
      </c>
      <c r="B645" s="2" t="n">
        <v>43228.01619212963</v>
      </c>
      <c r="C645" t="n">
        <v>0</v>
      </c>
      <c r="D645" t="n">
        <v>3</v>
      </c>
      <c r="E645" t="s">
        <v>656</v>
      </c>
      <c r="F645" t="s"/>
      <c r="G645" t="s"/>
      <c r="H645" t="s"/>
      <c r="I645" t="s"/>
      <c r="J645" t="n">
        <v>-0.296</v>
      </c>
      <c r="K645" t="n">
        <v>0.239</v>
      </c>
      <c r="L645" t="n">
        <v>0.761</v>
      </c>
      <c r="M645" t="n">
        <v>0</v>
      </c>
    </row>
    <row r="646" spans="1:13">
      <c r="A646" s="1">
        <f>HYPERLINK("http://www.twitter.com/NathanBLawrence/status/993647379290247168", "993647379290247168")</f>
        <v/>
      </c>
      <c r="B646" s="2" t="n">
        <v>43228.01585648148</v>
      </c>
      <c r="C646" t="n">
        <v>0</v>
      </c>
      <c r="D646" t="n">
        <v>136</v>
      </c>
      <c r="E646" t="s">
        <v>657</v>
      </c>
      <c r="F646" t="s"/>
      <c r="G646" t="s"/>
      <c r="H646" t="s"/>
      <c r="I646" t="s"/>
      <c r="J646" t="n">
        <v>0.0258</v>
      </c>
      <c r="K646" t="n">
        <v>0.098</v>
      </c>
      <c r="L646" t="n">
        <v>0.8</v>
      </c>
      <c r="M646" t="n">
        <v>0.102</v>
      </c>
    </row>
    <row r="647" spans="1:13">
      <c r="A647" s="1">
        <f>HYPERLINK("http://www.twitter.com/NathanBLawrence/status/993630440316702724", "993630440316702724")</f>
        <v/>
      </c>
      <c r="B647" s="2" t="n">
        <v>43227.96912037037</v>
      </c>
      <c r="C647" t="n">
        <v>2</v>
      </c>
      <c r="D647" t="n">
        <v>0</v>
      </c>
      <c r="E647" t="s">
        <v>658</v>
      </c>
      <c r="F647" t="s"/>
      <c r="G647" t="s"/>
      <c r="H647" t="s"/>
      <c r="I647" t="s"/>
      <c r="J647" t="n">
        <v>0</v>
      </c>
      <c r="K647" t="n">
        <v>0</v>
      </c>
      <c r="L647" t="n">
        <v>1</v>
      </c>
      <c r="M647" t="n">
        <v>0</v>
      </c>
    </row>
    <row r="648" spans="1:13">
      <c r="A648" s="1">
        <f>HYPERLINK("http://www.twitter.com/NathanBLawrence/status/993627841773408257", "993627841773408257")</f>
        <v/>
      </c>
      <c r="B648" s="2" t="n">
        <v>43227.96194444445</v>
      </c>
      <c r="C648" t="n">
        <v>0</v>
      </c>
      <c r="D648" t="n">
        <v>0</v>
      </c>
      <c r="E648" t="s">
        <v>659</v>
      </c>
      <c r="F648" t="s"/>
      <c r="G648" t="s"/>
      <c r="H648" t="s"/>
      <c r="I648" t="s"/>
      <c r="J648" t="n">
        <v>-0.9135</v>
      </c>
      <c r="K648" t="n">
        <v>0.458</v>
      </c>
      <c r="L648" t="n">
        <v>0.542</v>
      </c>
      <c r="M648" t="n">
        <v>0</v>
      </c>
    </row>
    <row r="649" spans="1:13">
      <c r="A649" s="1">
        <f>HYPERLINK("http://www.twitter.com/NathanBLawrence/status/993627033216389120", "993627033216389120")</f>
        <v/>
      </c>
      <c r="B649" s="2" t="n">
        <v>43227.95972222222</v>
      </c>
      <c r="C649" t="n">
        <v>0</v>
      </c>
      <c r="D649" t="n">
        <v>0</v>
      </c>
      <c r="E649" t="s">
        <v>660</v>
      </c>
      <c r="F649" t="s"/>
      <c r="G649" t="s"/>
      <c r="H649" t="s"/>
      <c r="I649" t="s"/>
      <c r="J649" t="n">
        <v>-0.3466</v>
      </c>
      <c r="K649" t="n">
        <v>0.28</v>
      </c>
      <c r="L649" t="n">
        <v>0.492</v>
      </c>
      <c r="M649" t="n">
        <v>0.228</v>
      </c>
    </row>
    <row r="650" spans="1:13">
      <c r="A650" s="1">
        <f>HYPERLINK("http://www.twitter.com/NathanBLawrence/status/993625468246032385", "993625468246032385")</f>
        <v/>
      </c>
      <c r="B650" s="2" t="n">
        <v>43227.95539351852</v>
      </c>
      <c r="C650" t="n">
        <v>1</v>
      </c>
      <c r="D650" t="n">
        <v>1</v>
      </c>
      <c r="E650" t="s">
        <v>661</v>
      </c>
      <c r="F650" t="s"/>
      <c r="G650" t="s"/>
      <c r="H650" t="s"/>
      <c r="I650" t="s"/>
      <c r="J650" t="n">
        <v>0.8294</v>
      </c>
      <c r="K650" t="n">
        <v>0.089</v>
      </c>
      <c r="L650" t="n">
        <v>0.648</v>
      </c>
      <c r="M650" t="n">
        <v>0.263</v>
      </c>
    </row>
    <row r="651" spans="1:13">
      <c r="A651" s="1">
        <f>HYPERLINK("http://www.twitter.com/NathanBLawrence/status/993599338818473984", "993599338818473984")</f>
        <v/>
      </c>
      <c r="B651" s="2" t="n">
        <v>43227.88329861111</v>
      </c>
      <c r="C651" t="n">
        <v>0</v>
      </c>
      <c r="D651" t="n">
        <v>18</v>
      </c>
      <c r="E651" t="s">
        <v>662</v>
      </c>
      <c r="F651">
        <f>HYPERLINK("http://pbs.twimg.com/media/Dcnq525U0AAroQj.jpg", "http://pbs.twimg.com/media/Dcnq525U0AAroQj.jpg")</f>
        <v/>
      </c>
      <c r="G651">
        <f>HYPERLINK("http://pbs.twimg.com/media/Dcnq6z9VAAAL5br.jpg", "http://pbs.twimg.com/media/Dcnq6z9VAAAL5br.jpg")</f>
        <v/>
      </c>
      <c r="H651">
        <f>HYPERLINK("http://pbs.twimg.com/media/Dcnq7MsUwAAZadH.jpg", "http://pbs.twimg.com/media/Dcnq7MsUwAAZadH.jpg")</f>
        <v/>
      </c>
      <c r="I651" t="s"/>
      <c r="J651" t="n">
        <v>0.5204</v>
      </c>
      <c r="K651" t="n">
        <v>0</v>
      </c>
      <c r="L651" t="n">
        <v>0.856</v>
      </c>
      <c r="M651" t="n">
        <v>0.144</v>
      </c>
    </row>
    <row r="652" spans="1:13">
      <c r="A652" s="1">
        <f>HYPERLINK("http://www.twitter.com/NathanBLawrence/status/993550353932193792", "993550353932193792")</f>
        <v/>
      </c>
      <c r="B652" s="2" t="n">
        <v>43227.748125</v>
      </c>
      <c r="C652" t="n">
        <v>1</v>
      </c>
      <c r="D652" t="n">
        <v>1</v>
      </c>
      <c r="E652" t="s">
        <v>663</v>
      </c>
      <c r="F652" t="s"/>
      <c r="G652" t="s"/>
      <c r="H652" t="s"/>
      <c r="I652" t="s"/>
      <c r="J652" t="n">
        <v>0</v>
      </c>
      <c r="K652" t="n">
        <v>0</v>
      </c>
      <c r="L652" t="n">
        <v>1</v>
      </c>
      <c r="M652" t="n">
        <v>0</v>
      </c>
    </row>
    <row r="653" spans="1:13">
      <c r="A653" s="1">
        <f>HYPERLINK("http://www.twitter.com/NathanBLawrence/status/993549470251016196", "993549470251016196")</f>
        <v/>
      </c>
      <c r="B653" s="2" t="n">
        <v>43227.74568287037</v>
      </c>
      <c r="C653" t="n">
        <v>0</v>
      </c>
      <c r="D653" t="n">
        <v>0</v>
      </c>
      <c r="E653" t="s">
        <v>664</v>
      </c>
      <c r="F653" t="s"/>
      <c r="G653" t="s"/>
      <c r="H653" t="s"/>
      <c r="I653" t="s"/>
      <c r="J653" t="n">
        <v>0</v>
      </c>
      <c r="K653" t="n">
        <v>0</v>
      </c>
      <c r="L653" t="n">
        <v>1</v>
      </c>
      <c r="M653" t="n">
        <v>0</v>
      </c>
    </row>
    <row r="654" spans="1:13">
      <c r="A654" s="1">
        <f>HYPERLINK("http://www.twitter.com/NathanBLawrence/status/993546910135996416", "993546910135996416")</f>
        <v/>
      </c>
      <c r="B654" s="2" t="n">
        <v>43227.73862268519</v>
      </c>
      <c r="C654" t="n">
        <v>1</v>
      </c>
      <c r="D654" t="n">
        <v>0</v>
      </c>
      <c r="E654" t="s">
        <v>665</v>
      </c>
      <c r="F654" t="s"/>
      <c r="G654" t="s"/>
      <c r="H654" t="s"/>
      <c r="I654" t="s"/>
      <c r="J654" t="n">
        <v>0.6696</v>
      </c>
      <c r="K654" t="n">
        <v>0</v>
      </c>
      <c r="L654" t="n">
        <v>0.776</v>
      </c>
      <c r="M654" t="n">
        <v>0.224</v>
      </c>
    </row>
    <row r="655" spans="1:13">
      <c r="A655" s="1">
        <f>HYPERLINK("http://www.twitter.com/NathanBLawrence/status/993544615885266944", "993544615885266944")</f>
        <v/>
      </c>
      <c r="B655" s="2" t="n">
        <v>43227.73229166667</v>
      </c>
      <c r="C655" t="n">
        <v>1</v>
      </c>
      <c r="D655" t="n">
        <v>1</v>
      </c>
      <c r="E655" t="s">
        <v>666</v>
      </c>
      <c r="F655" t="s"/>
      <c r="G655" t="s"/>
      <c r="H655" t="s"/>
      <c r="I655" t="s"/>
      <c r="J655" t="n">
        <v>-0.7579</v>
      </c>
      <c r="K655" t="n">
        <v>0.265</v>
      </c>
      <c r="L655" t="n">
        <v>0.735</v>
      </c>
      <c r="M655" t="n">
        <v>0</v>
      </c>
    </row>
    <row r="656" spans="1:13">
      <c r="A656" s="1">
        <f>HYPERLINK("http://www.twitter.com/NathanBLawrence/status/993535981914648576", "993535981914648576")</f>
        <v/>
      </c>
      <c r="B656" s="2" t="n">
        <v>43227.70846064815</v>
      </c>
      <c r="C656" t="n">
        <v>1</v>
      </c>
      <c r="D656" t="n">
        <v>1</v>
      </c>
      <c r="E656" t="s">
        <v>667</v>
      </c>
      <c r="F656" t="s"/>
      <c r="G656" t="s"/>
      <c r="H656" t="s"/>
      <c r="I656" t="s"/>
      <c r="J656" t="n">
        <v>-0.4767</v>
      </c>
      <c r="K656" t="n">
        <v>0.114</v>
      </c>
      <c r="L656" t="n">
        <v>0.886</v>
      </c>
      <c r="M656" t="n">
        <v>0</v>
      </c>
    </row>
    <row r="657" spans="1:13">
      <c r="A657" s="1">
        <f>HYPERLINK("http://www.twitter.com/NathanBLawrence/status/993535498751741954", "993535498751741954")</f>
        <v/>
      </c>
      <c r="B657" s="2" t="n">
        <v>43227.70712962963</v>
      </c>
      <c r="C657" t="n">
        <v>10</v>
      </c>
      <c r="D657" t="n">
        <v>5</v>
      </c>
      <c r="E657" t="s">
        <v>668</v>
      </c>
      <c r="F657" t="s"/>
      <c r="G657" t="s"/>
      <c r="H657" t="s"/>
      <c r="I657" t="s"/>
      <c r="J657" t="n">
        <v>0</v>
      </c>
      <c r="K657" t="n">
        <v>0</v>
      </c>
      <c r="L657" t="n">
        <v>1</v>
      </c>
      <c r="M657" t="n">
        <v>0</v>
      </c>
    </row>
    <row r="658" spans="1:13">
      <c r="A658" s="1">
        <f>HYPERLINK("http://www.twitter.com/NathanBLawrence/status/993535123319656448", "993535123319656448")</f>
        <v/>
      </c>
      <c r="B658" s="2" t="n">
        <v>43227.70609953703</v>
      </c>
      <c r="C658" t="n">
        <v>0</v>
      </c>
      <c r="D658" t="n">
        <v>4</v>
      </c>
      <c r="E658" t="s">
        <v>669</v>
      </c>
      <c r="F658" t="s"/>
      <c r="G658" t="s"/>
      <c r="H658" t="s"/>
      <c r="I658" t="s"/>
      <c r="J658" t="n">
        <v>0</v>
      </c>
      <c r="K658" t="n">
        <v>0</v>
      </c>
      <c r="L658" t="n">
        <v>1</v>
      </c>
      <c r="M658" t="n">
        <v>0</v>
      </c>
    </row>
    <row r="659" spans="1:13">
      <c r="A659" s="1">
        <f>HYPERLINK("http://www.twitter.com/NathanBLawrence/status/993519814424621056", "993519814424621056")</f>
        <v/>
      </c>
      <c r="B659" s="2" t="n">
        <v>43227.66385416667</v>
      </c>
      <c r="C659" t="n">
        <v>1</v>
      </c>
      <c r="D659" t="n">
        <v>0</v>
      </c>
      <c r="E659" t="s">
        <v>670</v>
      </c>
      <c r="F659" t="s"/>
      <c r="G659" t="s"/>
      <c r="H659" t="s"/>
      <c r="I659" t="s"/>
      <c r="J659" t="n">
        <v>-0.6166</v>
      </c>
      <c r="K659" t="n">
        <v>0.193</v>
      </c>
      <c r="L659" t="n">
        <v>0.8070000000000001</v>
      </c>
      <c r="M659" t="n">
        <v>0</v>
      </c>
    </row>
    <row r="660" spans="1:13">
      <c r="A660" s="1">
        <f>HYPERLINK("http://www.twitter.com/NathanBLawrence/status/993512480537268228", "993512480537268228")</f>
        <v/>
      </c>
      <c r="B660" s="2" t="n">
        <v>43227.64361111111</v>
      </c>
      <c r="C660" t="n">
        <v>0</v>
      </c>
      <c r="D660" t="n">
        <v>8642</v>
      </c>
      <c r="E660" t="s">
        <v>671</v>
      </c>
      <c r="F660" t="s"/>
      <c r="G660" t="s"/>
      <c r="H660" t="s"/>
      <c r="I660" t="s"/>
      <c r="J660" t="n">
        <v>0.6239</v>
      </c>
      <c r="K660" t="n">
        <v>0</v>
      </c>
      <c r="L660" t="n">
        <v>0.859</v>
      </c>
      <c r="M660" t="n">
        <v>0.141</v>
      </c>
    </row>
    <row r="661" spans="1:13">
      <c r="A661" s="1">
        <f>HYPERLINK("http://www.twitter.com/NathanBLawrence/status/993512419153596418", "993512419153596418")</f>
        <v/>
      </c>
      <c r="B661" s="2" t="n">
        <v>43227.6434375</v>
      </c>
      <c r="C661" t="n">
        <v>4</v>
      </c>
      <c r="D661" t="n">
        <v>1</v>
      </c>
      <c r="E661" t="s">
        <v>672</v>
      </c>
      <c r="F661">
        <f>HYPERLINK("http://pbs.twimg.com/media/DcmqRjqUQAAnOx4.jpg", "http://pbs.twimg.com/media/DcmqRjqUQAAnOx4.jpg")</f>
        <v/>
      </c>
      <c r="G661" t="s"/>
      <c r="H661" t="s"/>
      <c r="I661" t="s"/>
      <c r="J661" t="n">
        <v>0</v>
      </c>
      <c r="K661" t="n">
        <v>0</v>
      </c>
      <c r="L661" t="n">
        <v>1</v>
      </c>
      <c r="M661" t="n">
        <v>0</v>
      </c>
    </row>
    <row r="662" spans="1:13">
      <c r="A662" s="1">
        <f>HYPERLINK("http://www.twitter.com/NathanBLawrence/status/993468254080335872", "993468254080335872")</f>
        <v/>
      </c>
      <c r="B662" s="2" t="n">
        <v>43227.52157407408</v>
      </c>
      <c r="C662" t="n">
        <v>0</v>
      </c>
      <c r="D662" t="n">
        <v>1</v>
      </c>
      <c r="E662" t="s">
        <v>673</v>
      </c>
      <c r="F662" t="s"/>
      <c r="G662" t="s"/>
      <c r="H662" t="s"/>
      <c r="I662" t="s"/>
      <c r="J662" t="n">
        <v>0</v>
      </c>
      <c r="K662" t="n">
        <v>0</v>
      </c>
      <c r="L662" t="n">
        <v>1</v>
      </c>
      <c r="M662" t="n">
        <v>0</v>
      </c>
    </row>
    <row r="663" spans="1:13">
      <c r="A663" s="1">
        <f>HYPERLINK("http://www.twitter.com/NathanBLawrence/status/993460075871309826", "993460075871309826")</f>
        <v/>
      </c>
      <c r="B663" s="2" t="n">
        <v>43227.49900462963</v>
      </c>
      <c r="C663" t="n">
        <v>10</v>
      </c>
      <c r="D663" t="n">
        <v>4</v>
      </c>
      <c r="E663" t="s">
        <v>674</v>
      </c>
      <c r="F663">
        <f>HYPERLINK("http://pbs.twimg.com/media/Dcl6qw5UQAAKHdY.jpg", "http://pbs.twimg.com/media/Dcl6qw5UQAAKHdY.jpg")</f>
        <v/>
      </c>
      <c r="G663" t="s"/>
      <c r="H663" t="s"/>
      <c r="I663" t="s"/>
      <c r="J663" t="n">
        <v>0</v>
      </c>
      <c r="K663" t="n">
        <v>0</v>
      </c>
      <c r="L663" t="n">
        <v>1</v>
      </c>
      <c r="M663" t="n">
        <v>0</v>
      </c>
    </row>
    <row r="664" spans="1:13">
      <c r="A664" s="1">
        <f>HYPERLINK("http://www.twitter.com/NathanBLawrence/status/993454260875681792", "993454260875681792")</f>
        <v/>
      </c>
      <c r="B664" s="2" t="n">
        <v>43227.48295138889</v>
      </c>
      <c r="C664" t="n">
        <v>0</v>
      </c>
      <c r="D664" t="n">
        <v>22</v>
      </c>
      <c r="E664" t="s">
        <v>675</v>
      </c>
      <c r="F664">
        <f>HYPERLINK("http://pbs.twimg.com/media/Dcjv9DmXkAIYevh.jpg", "http://pbs.twimg.com/media/Dcjv9DmXkAIYevh.jpg")</f>
        <v/>
      </c>
      <c r="G664" t="s"/>
      <c r="H664" t="s"/>
      <c r="I664" t="s"/>
      <c r="J664" t="n">
        <v>0.7177</v>
      </c>
      <c r="K664" t="n">
        <v>0</v>
      </c>
      <c r="L664" t="n">
        <v>0.7</v>
      </c>
      <c r="M664" t="n">
        <v>0.3</v>
      </c>
    </row>
    <row r="665" spans="1:13">
      <c r="A665" s="1">
        <f>HYPERLINK("http://www.twitter.com/NathanBLawrence/status/993454091048275969", "993454091048275969")</f>
        <v/>
      </c>
      <c r="B665" s="2" t="n">
        <v>43227.48248842593</v>
      </c>
      <c r="C665" t="n">
        <v>10</v>
      </c>
      <c r="D665" t="n">
        <v>3</v>
      </c>
      <c r="E665" t="s">
        <v>676</v>
      </c>
      <c r="F665">
        <f>HYPERLINK("http://pbs.twimg.com/media/Dcl1N0YUQAAirg5.jpg", "http://pbs.twimg.com/media/Dcl1N0YUQAAirg5.jpg")</f>
        <v/>
      </c>
      <c r="G665" t="s"/>
      <c r="H665" t="s"/>
      <c r="I665" t="s"/>
      <c r="J665" t="n">
        <v>0.7901</v>
      </c>
      <c r="K665" t="n">
        <v>0</v>
      </c>
      <c r="L665" t="n">
        <v>0.65</v>
      </c>
      <c r="M665" t="n">
        <v>0.35</v>
      </c>
    </row>
    <row r="666" spans="1:13">
      <c r="A666" s="1">
        <f>HYPERLINK("http://www.twitter.com/NathanBLawrence/status/993448660003426304", "993448660003426304")</f>
        <v/>
      </c>
      <c r="B666" s="2" t="n">
        <v>43227.4675</v>
      </c>
      <c r="C666" t="n">
        <v>3</v>
      </c>
      <c r="D666" t="n">
        <v>3</v>
      </c>
      <c r="E666" t="s">
        <v>677</v>
      </c>
      <c r="F666">
        <f>HYPERLINK("http://pbs.twimg.com/media/DclwSO6U0AEwJcG.jpg", "http://pbs.twimg.com/media/DclwSO6U0AEwJcG.jpg")</f>
        <v/>
      </c>
      <c r="G666" t="s"/>
      <c r="H666" t="s"/>
      <c r="I666" t="s"/>
      <c r="J666" t="n">
        <v>-0.7744</v>
      </c>
      <c r="K666" t="n">
        <v>0.174</v>
      </c>
      <c r="L666" t="n">
        <v>0.826</v>
      </c>
      <c r="M666" t="n">
        <v>0</v>
      </c>
    </row>
    <row r="667" spans="1:13">
      <c r="A667" s="1">
        <f>HYPERLINK("http://www.twitter.com/NathanBLawrence/status/993289733022339073", "993289733022339073")</f>
        <v/>
      </c>
      <c r="B667" s="2" t="n">
        <v>43227.02894675926</v>
      </c>
      <c r="C667" t="n">
        <v>2</v>
      </c>
      <c r="D667" t="n">
        <v>0</v>
      </c>
      <c r="E667" t="s">
        <v>678</v>
      </c>
      <c r="F667">
        <f>HYPERLINK("http://pbs.twimg.com/media/DcjfuGWU0AETuLq.jpg", "http://pbs.twimg.com/media/DcjfuGWU0AETuLq.jpg")</f>
        <v/>
      </c>
      <c r="G667" t="s"/>
      <c r="H667" t="s"/>
      <c r="I667" t="s"/>
      <c r="J667" t="n">
        <v>0</v>
      </c>
      <c r="K667" t="n">
        <v>0</v>
      </c>
      <c r="L667" t="n">
        <v>1</v>
      </c>
      <c r="M667" t="n">
        <v>0</v>
      </c>
    </row>
    <row r="668" spans="1:13">
      <c r="A668" s="1">
        <f>HYPERLINK("http://www.twitter.com/NathanBLawrence/status/993267873777762304", "993267873777762304")</f>
        <v/>
      </c>
      <c r="B668" s="2" t="n">
        <v>43226.96862268518</v>
      </c>
      <c r="C668" t="n">
        <v>4</v>
      </c>
      <c r="D668" t="n">
        <v>0</v>
      </c>
      <c r="E668" t="s">
        <v>679</v>
      </c>
      <c r="F668">
        <f>HYPERLINK("http://pbs.twimg.com/media/DcjL3F8U0AAzBDC.jpg", "http://pbs.twimg.com/media/DcjL3F8U0AAzBDC.jpg")</f>
        <v/>
      </c>
      <c r="G668" t="s"/>
      <c r="H668" t="s"/>
      <c r="I668" t="s"/>
      <c r="J668" t="n">
        <v>0</v>
      </c>
      <c r="K668" t="n">
        <v>0</v>
      </c>
      <c r="L668" t="n">
        <v>1</v>
      </c>
      <c r="M668" t="n">
        <v>0</v>
      </c>
    </row>
    <row r="669" spans="1:13">
      <c r="A669" s="1">
        <f>HYPERLINK("http://www.twitter.com/NathanBLawrence/status/993267249518731265", "993267249518731265")</f>
        <v/>
      </c>
      <c r="B669" s="2" t="n">
        <v>43226.96689814814</v>
      </c>
      <c r="C669" t="n">
        <v>0</v>
      </c>
      <c r="D669" t="n">
        <v>0</v>
      </c>
      <c r="E669" t="s">
        <v>680</v>
      </c>
      <c r="F669" t="s"/>
      <c r="G669" t="s"/>
      <c r="H669" t="s"/>
      <c r="I669" t="s"/>
      <c r="J669" t="n">
        <v>-0.5574</v>
      </c>
      <c r="K669" t="n">
        <v>0.155</v>
      </c>
      <c r="L669" t="n">
        <v>0.774</v>
      </c>
      <c r="M669" t="n">
        <v>0.07099999999999999</v>
      </c>
    </row>
    <row r="670" spans="1:13">
      <c r="A670" s="1">
        <f>HYPERLINK("http://www.twitter.com/NathanBLawrence/status/993266105874632705", "993266105874632705")</f>
        <v/>
      </c>
      <c r="B670" s="2" t="n">
        <v>43226.96375</v>
      </c>
      <c r="C670" t="n">
        <v>0</v>
      </c>
      <c r="D670" t="n">
        <v>0</v>
      </c>
      <c r="E670" t="s">
        <v>681</v>
      </c>
      <c r="F670" t="s"/>
      <c r="G670" t="s"/>
      <c r="H670" t="s"/>
      <c r="I670" t="s"/>
      <c r="J670" t="n">
        <v>-0.9042</v>
      </c>
      <c r="K670" t="n">
        <v>0.223</v>
      </c>
      <c r="L670" t="n">
        <v>0.777</v>
      </c>
      <c r="M670" t="n">
        <v>0</v>
      </c>
    </row>
    <row r="671" spans="1:13">
      <c r="A671" s="1">
        <f>HYPERLINK("http://www.twitter.com/NathanBLawrence/status/993265320390549504", "993265320390549504")</f>
        <v/>
      </c>
      <c r="B671" s="2" t="n">
        <v>43226.96158564815</v>
      </c>
      <c r="C671" t="n">
        <v>0</v>
      </c>
      <c r="D671" t="n">
        <v>0</v>
      </c>
      <c r="E671" t="s">
        <v>682</v>
      </c>
      <c r="F671" t="s"/>
      <c r="G671" t="s"/>
      <c r="H671" t="s"/>
      <c r="I671" t="s"/>
      <c r="J671" t="n">
        <v>0</v>
      </c>
      <c r="K671" t="n">
        <v>0</v>
      </c>
      <c r="L671" t="n">
        <v>1</v>
      </c>
      <c r="M671" t="n">
        <v>0</v>
      </c>
    </row>
    <row r="672" spans="1:13">
      <c r="A672" s="1">
        <f>HYPERLINK("http://www.twitter.com/NathanBLawrence/status/993264927744970752", "993264927744970752")</f>
        <v/>
      </c>
      <c r="B672" s="2" t="n">
        <v>43226.96049768518</v>
      </c>
      <c r="C672" t="n">
        <v>0</v>
      </c>
      <c r="D672" t="n">
        <v>11</v>
      </c>
      <c r="E672" t="s">
        <v>683</v>
      </c>
      <c r="F672">
        <f>HYPERLINK("http://pbs.twimg.com/media/DcZWKwqVAAACxjA.jpg", "http://pbs.twimg.com/media/DcZWKwqVAAACxjA.jpg")</f>
        <v/>
      </c>
      <c r="G672" t="s"/>
      <c r="H672" t="s"/>
      <c r="I672" t="s"/>
      <c r="J672" t="n">
        <v>-0.5574</v>
      </c>
      <c r="K672" t="n">
        <v>0.272</v>
      </c>
      <c r="L672" t="n">
        <v>0.6</v>
      </c>
      <c r="M672" t="n">
        <v>0.128</v>
      </c>
    </row>
    <row r="673" spans="1:13">
      <c r="A673" s="1">
        <f>HYPERLINK("http://www.twitter.com/NathanBLawrence/status/993264620289904640", "993264620289904640")</f>
        <v/>
      </c>
      <c r="B673" s="2" t="n">
        <v>43226.95965277778</v>
      </c>
      <c r="C673" t="n">
        <v>3</v>
      </c>
      <c r="D673" t="n">
        <v>0</v>
      </c>
      <c r="E673" t="s">
        <v>684</v>
      </c>
      <c r="F673" t="s"/>
      <c r="G673" t="s"/>
      <c r="H673" t="s"/>
      <c r="I673" t="s"/>
      <c r="J673" t="n">
        <v>-0.143</v>
      </c>
      <c r="K673" t="n">
        <v>0.103</v>
      </c>
      <c r="L673" t="n">
        <v>0.8070000000000001</v>
      </c>
      <c r="M673" t="n">
        <v>0.09</v>
      </c>
    </row>
    <row r="674" spans="1:13">
      <c r="A674" s="1">
        <f>HYPERLINK("http://www.twitter.com/NathanBLawrence/status/993263916523446272", "993263916523446272")</f>
        <v/>
      </c>
      <c r="B674" s="2" t="n">
        <v>43226.95770833334</v>
      </c>
      <c r="C674" t="n">
        <v>23</v>
      </c>
      <c r="D674" t="n">
        <v>12</v>
      </c>
      <c r="E674" t="s">
        <v>685</v>
      </c>
      <c r="F674" t="s"/>
      <c r="G674" t="s"/>
      <c r="H674" t="s"/>
      <c r="I674" t="s"/>
      <c r="J674" t="n">
        <v>0</v>
      </c>
      <c r="K674" t="n">
        <v>0</v>
      </c>
      <c r="L674" t="n">
        <v>1</v>
      </c>
      <c r="M674" t="n">
        <v>0</v>
      </c>
    </row>
    <row r="675" spans="1:13">
      <c r="A675" s="1">
        <f>HYPERLINK("http://www.twitter.com/NathanBLawrence/status/993262466816729088", "993262466816729088")</f>
        <v/>
      </c>
      <c r="B675" s="2" t="n">
        <v>43226.9537037037</v>
      </c>
      <c r="C675" t="n">
        <v>6</v>
      </c>
      <c r="D675" t="n">
        <v>0</v>
      </c>
      <c r="E675" t="s">
        <v>686</v>
      </c>
      <c r="F675" t="s"/>
      <c r="G675" t="s"/>
      <c r="H675" t="s"/>
      <c r="I675" t="s"/>
      <c r="J675" t="n">
        <v>0</v>
      </c>
      <c r="K675" t="n">
        <v>0</v>
      </c>
      <c r="L675" t="n">
        <v>1</v>
      </c>
      <c r="M675" t="n">
        <v>0</v>
      </c>
    </row>
    <row r="676" spans="1:13">
      <c r="A676" s="1">
        <f>HYPERLINK("http://www.twitter.com/NathanBLawrence/status/993262113534726145", "993262113534726145")</f>
        <v/>
      </c>
      <c r="B676" s="2" t="n">
        <v>43226.95273148148</v>
      </c>
      <c r="C676" t="n">
        <v>2</v>
      </c>
      <c r="D676" t="n">
        <v>0</v>
      </c>
      <c r="E676" t="s">
        <v>687</v>
      </c>
      <c r="F676" t="s"/>
      <c r="G676" t="s"/>
      <c r="H676" t="s"/>
      <c r="I676" t="s"/>
      <c r="J676" t="n">
        <v>0</v>
      </c>
      <c r="K676" t="n">
        <v>0</v>
      </c>
      <c r="L676" t="n">
        <v>1</v>
      </c>
      <c r="M676" t="n">
        <v>0</v>
      </c>
    </row>
    <row r="677" spans="1:13">
      <c r="A677" s="1">
        <f>HYPERLINK("http://www.twitter.com/NathanBLawrence/status/993259474134753285", "993259474134753285")</f>
        <v/>
      </c>
      <c r="B677" s="2" t="n">
        <v>43226.94545138889</v>
      </c>
      <c r="C677" t="n">
        <v>1</v>
      </c>
      <c r="D677" t="n">
        <v>0</v>
      </c>
      <c r="E677" t="s">
        <v>688</v>
      </c>
      <c r="F677" t="s"/>
      <c r="G677" t="s"/>
      <c r="H677" t="s"/>
      <c r="I677" t="s"/>
      <c r="J677" t="n">
        <v>-0.3758</v>
      </c>
      <c r="K677" t="n">
        <v>0.122</v>
      </c>
      <c r="L677" t="n">
        <v>0.8080000000000001</v>
      </c>
      <c r="M677" t="n">
        <v>0.07099999999999999</v>
      </c>
    </row>
    <row r="678" spans="1:13">
      <c r="A678" s="1">
        <f>HYPERLINK("http://www.twitter.com/NathanBLawrence/status/993258832418787328", "993258832418787328")</f>
        <v/>
      </c>
      <c r="B678" s="2" t="n">
        <v>43226.94368055555</v>
      </c>
      <c r="C678" t="n">
        <v>1</v>
      </c>
      <c r="D678" t="n">
        <v>0</v>
      </c>
      <c r="E678" t="s">
        <v>689</v>
      </c>
      <c r="F678" t="s"/>
      <c r="G678" t="s"/>
      <c r="H678" t="s"/>
      <c r="I678" t="s"/>
      <c r="J678" t="n">
        <v>0</v>
      </c>
      <c r="K678" t="n">
        <v>0</v>
      </c>
      <c r="L678" t="n">
        <v>1</v>
      </c>
      <c r="M678" t="n">
        <v>0</v>
      </c>
    </row>
    <row r="679" spans="1:13">
      <c r="A679" s="1">
        <f>HYPERLINK("http://www.twitter.com/NathanBLawrence/status/993229773081075712", "993229773081075712")</f>
        <v/>
      </c>
      <c r="B679" s="2" t="n">
        <v>43226.8634837963</v>
      </c>
      <c r="C679" t="n">
        <v>3</v>
      </c>
      <c r="D679" t="n">
        <v>0</v>
      </c>
      <c r="E679" t="s">
        <v>690</v>
      </c>
      <c r="F679" t="s"/>
      <c r="G679" t="s"/>
      <c r="H679" t="s"/>
      <c r="I679" t="s"/>
      <c r="J679" t="n">
        <v>0.2263</v>
      </c>
      <c r="K679" t="n">
        <v>0</v>
      </c>
      <c r="L679" t="n">
        <v>0.881</v>
      </c>
      <c r="M679" t="n">
        <v>0.119</v>
      </c>
    </row>
    <row r="680" spans="1:13">
      <c r="A680" s="1">
        <f>HYPERLINK("http://www.twitter.com/NathanBLawrence/status/993205577127026689", "993205577127026689")</f>
        <v/>
      </c>
      <c r="B680" s="2" t="n">
        <v>43226.79672453704</v>
      </c>
      <c r="C680" t="n">
        <v>7</v>
      </c>
      <c r="D680" t="n">
        <v>1</v>
      </c>
      <c r="E680" t="s">
        <v>691</v>
      </c>
      <c r="F680" t="s"/>
      <c r="G680" t="s"/>
      <c r="H680" t="s"/>
      <c r="I680" t="s"/>
      <c r="J680" t="n">
        <v>0.2235</v>
      </c>
      <c r="K680" t="n">
        <v>0</v>
      </c>
      <c r="L680" t="n">
        <v>0.841</v>
      </c>
      <c r="M680" t="n">
        <v>0.159</v>
      </c>
    </row>
    <row r="681" spans="1:13">
      <c r="A681" s="1">
        <f>HYPERLINK("http://www.twitter.com/NathanBLawrence/status/993067843821408257", "993067843821408257")</f>
        <v/>
      </c>
      <c r="B681" s="2" t="n">
        <v>43226.41664351852</v>
      </c>
      <c r="C681" t="n">
        <v>1</v>
      </c>
      <c r="D681" t="n">
        <v>0</v>
      </c>
      <c r="E681" t="s">
        <v>692</v>
      </c>
      <c r="F681" t="s"/>
      <c r="G681" t="s"/>
      <c r="H681" t="s"/>
      <c r="I681" t="s"/>
      <c r="J681" t="n">
        <v>-0.34</v>
      </c>
      <c r="K681" t="n">
        <v>0.092</v>
      </c>
      <c r="L681" t="n">
        <v>0.849</v>
      </c>
      <c r="M681" t="n">
        <v>0.059</v>
      </c>
    </row>
    <row r="682" spans="1:13">
      <c r="A682" s="1">
        <f>HYPERLINK("http://www.twitter.com/NathanBLawrence/status/993049051506593798", "993049051506593798")</f>
        <v/>
      </c>
      <c r="B682" s="2" t="n">
        <v>43226.36479166667</v>
      </c>
      <c r="C682" t="n">
        <v>1</v>
      </c>
      <c r="D682" t="n">
        <v>0</v>
      </c>
      <c r="E682" t="s">
        <v>693</v>
      </c>
      <c r="F682">
        <f>HYPERLINK("http://pbs.twimg.com/media/DcgE1YKXcAAfl0E.jpg", "http://pbs.twimg.com/media/DcgE1YKXcAAfl0E.jpg")</f>
        <v/>
      </c>
      <c r="G682" t="s"/>
      <c r="H682" t="s"/>
      <c r="I682" t="s"/>
      <c r="J682" t="n">
        <v>0</v>
      </c>
      <c r="K682" t="n">
        <v>0</v>
      </c>
      <c r="L682" t="n">
        <v>1</v>
      </c>
      <c r="M682" t="n">
        <v>0</v>
      </c>
    </row>
    <row r="683" spans="1:13">
      <c r="A683" s="1">
        <f>HYPERLINK("http://www.twitter.com/NathanBLawrence/status/992930726898290688", "992930726898290688")</f>
        <v/>
      </c>
      <c r="B683" s="2" t="n">
        <v>43226.03827546296</v>
      </c>
      <c r="C683" t="n">
        <v>7</v>
      </c>
      <c r="D683" t="n">
        <v>4</v>
      </c>
      <c r="E683" t="s">
        <v>694</v>
      </c>
      <c r="F683" t="s"/>
      <c r="G683" t="s"/>
      <c r="H683" t="s"/>
      <c r="I683" t="s"/>
      <c r="J683" t="n">
        <v>0</v>
      </c>
      <c r="K683" t="n">
        <v>0</v>
      </c>
      <c r="L683" t="n">
        <v>1</v>
      </c>
      <c r="M683" t="n">
        <v>0</v>
      </c>
    </row>
    <row r="684" spans="1:13">
      <c r="A684" s="1">
        <f>HYPERLINK("http://www.twitter.com/NathanBLawrence/status/992893425325346816", "992893425325346816")</f>
        <v/>
      </c>
      <c r="B684" s="2" t="n">
        <v>43225.93534722222</v>
      </c>
      <c r="C684" t="n">
        <v>1</v>
      </c>
      <c r="D684" t="n">
        <v>0</v>
      </c>
      <c r="E684" t="s">
        <v>695</v>
      </c>
      <c r="F684" t="s"/>
      <c r="G684" t="s"/>
      <c r="H684" t="s"/>
      <c r="I684" t="s"/>
      <c r="J684" t="n">
        <v>-0.481</v>
      </c>
      <c r="K684" t="n">
        <v>0.2</v>
      </c>
      <c r="L684" t="n">
        <v>0.6919999999999999</v>
      </c>
      <c r="M684" t="n">
        <v>0.108</v>
      </c>
    </row>
    <row r="685" spans="1:13">
      <c r="A685" s="1">
        <f>HYPERLINK("http://www.twitter.com/NathanBLawrence/status/992891500706107394", "992891500706107394")</f>
        <v/>
      </c>
      <c r="B685" s="2" t="n">
        <v>43225.93003472222</v>
      </c>
      <c r="C685" t="n">
        <v>4</v>
      </c>
      <c r="D685" t="n">
        <v>2</v>
      </c>
      <c r="E685" t="s">
        <v>696</v>
      </c>
      <c r="F685" t="s"/>
      <c r="G685" t="s"/>
      <c r="H685" t="s"/>
      <c r="I685" t="s"/>
      <c r="J685" t="n">
        <v>0.4215</v>
      </c>
      <c r="K685" t="n">
        <v>0</v>
      </c>
      <c r="L685" t="n">
        <v>0.865</v>
      </c>
      <c r="M685" t="n">
        <v>0.135</v>
      </c>
    </row>
    <row r="686" spans="1:13">
      <c r="A686" s="1">
        <f>HYPERLINK("http://www.twitter.com/NathanBLawrence/status/992890413957689344", "992890413957689344")</f>
        <v/>
      </c>
      <c r="B686" s="2" t="n">
        <v>43225.92703703704</v>
      </c>
      <c r="C686" t="n">
        <v>1</v>
      </c>
      <c r="D686" t="n">
        <v>0</v>
      </c>
      <c r="E686" t="s">
        <v>697</v>
      </c>
      <c r="F686">
        <f>HYPERLINK("http://pbs.twimg.com/media/Dcd0imOXkAAZ_Gb.jpg", "http://pbs.twimg.com/media/Dcd0imOXkAAZ_Gb.jpg")</f>
        <v/>
      </c>
      <c r="G686" t="s"/>
      <c r="H686" t="s"/>
      <c r="I686" t="s"/>
      <c r="J686" t="n">
        <v>0</v>
      </c>
      <c r="K686" t="n">
        <v>0</v>
      </c>
      <c r="L686" t="n">
        <v>1</v>
      </c>
      <c r="M686" t="n">
        <v>0</v>
      </c>
    </row>
    <row r="687" spans="1:13">
      <c r="A687" s="1">
        <f>HYPERLINK("http://www.twitter.com/NathanBLawrence/status/992888528345366529", "992888528345366529")</f>
        <v/>
      </c>
      <c r="B687" s="2" t="n">
        <v>43225.9218287037</v>
      </c>
      <c r="C687" t="n">
        <v>3</v>
      </c>
      <c r="D687" t="n">
        <v>0</v>
      </c>
      <c r="E687" t="s">
        <v>698</v>
      </c>
      <c r="F687" t="s"/>
      <c r="G687" t="s"/>
      <c r="H687" t="s"/>
      <c r="I687" t="s"/>
      <c r="J687" t="n">
        <v>0</v>
      </c>
      <c r="K687" t="n">
        <v>0</v>
      </c>
      <c r="L687" t="n">
        <v>1</v>
      </c>
      <c r="M687" t="n">
        <v>0</v>
      </c>
    </row>
    <row r="688" spans="1:13">
      <c r="A688" s="1">
        <f>HYPERLINK("http://www.twitter.com/NathanBLawrence/status/992830215331164160", "992830215331164160")</f>
        <v/>
      </c>
      <c r="B688" s="2" t="n">
        <v>43225.76091435185</v>
      </c>
      <c r="C688" t="n">
        <v>2</v>
      </c>
      <c r="D688" t="n">
        <v>0</v>
      </c>
      <c r="E688" t="s">
        <v>699</v>
      </c>
      <c r="F688" t="s"/>
      <c r="G688" t="s"/>
      <c r="H688" t="s"/>
      <c r="I688" t="s"/>
      <c r="J688" t="n">
        <v>0.6932</v>
      </c>
      <c r="K688" t="n">
        <v>0</v>
      </c>
      <c r="L688" t="n">
        <v>0.514</v>
      </c>
      <c r="M688" t="n">
        <v>0.486</v>
      </c>
    </row>
    <row r="689" spans="1:13">
      <c r="A689" s="1">
        <f>HYPERLINK("http://www.twitter.com/NathanBLawrence/status/992787158057570304", "992787158057570304")</f>
        <v/>
      </c>
      <c r="B689" s="2" t="n">
        <v>43225.64210648148</v>
      </c>
      <c r="C689" t="n">
        <v>24</v>
      </c>
      <c r="D689" t="n">
        <v>8</v>
      </c>
      <c r="E689" t="s">
        <v>700</v>
      </c>
      <c r="F689" t="s"/>
      <c r="G689" t="s"/>
      <c r="H689" t="s"/>
      <c r="I689" t="s"/>
      <c r="J689" t="n">
        <v>0</v>
      </c>
      <c r="K689" t="n">
        <v>0</v>
      </c>
      <c r="L689" t="n">
        <v>1</v>
      </c>
      <c r="M689" t="n">
        <v>0</v>
      </c>
    </row>
    <row r="690" spans="1:13">
      <c r="A690" s="1">
        <f>HYPERLINK("http://www.twitter.com/NathanBLawrence/status/992775456171716608", "992775456171716608")</f>
        <v/>
      </c>
      <c r="B690" s="2" t="n">
        <v>43225.60981481482</v>
      </c>
      <c r="C690" t="n">
        <v>3</v>
      </c>
      <c r="D690" t="n">
        <v>1</v>
      </c>
      <c r="E690" t="s">
        <v>701</v>
      </c>
      <c r="F690">
        <f>HYPERLINK("http://pbs.twimg.com/media/DccMA5FU0AE2vmO.jpg", "http://pbs.twimg.com/media/DccMA5FU0AE2vmO.jpg")</f>
        <v/>
      </c>
      <c r="G690" t="s"/>
      <c r="H690" t="s"/>
      <c r="I690" t="s"/>
      <c r="J690" t="n">
        <v>-0.5093</v>
      </c>
      <c r="K690" t="n">
        <v>0.116</v>
      </c>
      <c r="L690" t="n">
        <v>0.884</v>
      </c>
      <c r="M690" t="n">
        <v>0</v>
      </c>
    </row>
    <row r="691" spans="1:13">
      <c r="A691" s="1">
        <f>HYPERLINK("http://www.twitter.com/NathanBLawrence/status/992769000185659392", "992769000185659392")</f>
        <v/>
      </c>
      <c r="B691" s="2" t="n">
        <v>43225.59200231481</v>
      </c>
      <c r="C691" t="n">
        <v>1</v>
      </c>
      <c r="D691" t="n">
        <v>1</v>
      </c>
      <c r="E691" t="s">
        <v>702</v>
      </c>
      <c r="F691" t="s"/>
      <c r="G691" t="s"/>
      <c r="H691" t="s"/>
      <c r="I691" t="s"/>
      <c r="J691" t="n">
        <v>-0.34</v>
      </c>
      <c r="K691" t="n">
        <v>0.094</v>
      </c>
      <c r="L691" t="n">
        <v>0.906</v>
      </c>
      <c r="M691" t="n">
        <v>0</v>
      </c>
    </row>
    <row r="692" spans="1:13">
      <c r="A692" s="1">
        <f>HYPERLINK("http://www.twitter.com/NathanBLawrence/status/992768166899212288", "992768166899212288")</f>
        <v/>
      </c>
      <c r="B692" s="2" t="n">
        <v>43225.58969907407</v>
      </c>
      <c r="C692" t="n">
        <v>0</v>
      </c>
      <c r="D692" t="n">
        <v>1261</v>
      </c>
      <c r="E692" t="s">
        <v>703</v>
      </c>
      <c r="F692" t="s"/>
      <c r="G692" t="s"/>
      <c r="H692" t="s"/>
      <c r="I692" t="s"/>
      <c r="J692" t="n">
        <v>0</v>
      </c>
      <c r="K692" t="n">
        <v>0</v>
      </c>
      <c r="L692" t="n">
        <v>1</v>
      </c>
      <c r="M692" t="n">
        <v>0</v>
      </c>
    </row>
    <row r="693" spans="1:13">
      <c r="A693" s="1">
        <f>HYPERLINK("http://www.twitter.com/NathanBLawrence/status/992767143463870464", "992767143463870464")</f>
        <v/>
      </c>
      <c r="B693" s="2" t="n">
        <v>43225.586875</v>
      </c>
      <c r="C693" t="n">
        <v>2</v>
      </c>
      <c r="D693" t="n">
        <v>0</v>
      </c>
      <c r="E693" t="s">
        <v>704</v>
      </c>
      <c r="F693" t="s"/>
      <c r="G693" t="s"/>
      <c r="H693" t="s"/>
      <c r="I693" t="s"/>
      <c r="J693" t="n">
        <v>0</v>
      </c>
      <c r="K693" t="n">
        <v>0</v>
      </c>
      <c r="L693" t="n">
        <v>1</v>
      </c>
      <c r="M693" t="n">
        <v>0</v>
      </c>
    </row>
    <row r="694" spans="1:13">
      <c r="A694" s="1">
        <f>HYPERLINK("http://www.twitter.com/NathanBLawrence/status/992764552654852096", "992764552654852096")</f>
        <v/>
      </c>
      <c r="B694" s="2" t="n">
        <v>43225.57972222222</v>
      </c>
      <c r="C694" t="n">
        <v>2</v>
      </c>
      <c r="D694" t="n">
        <v>0</v>
      </c>
      <c r="E694" t="s">
        <v>705</v>
      </c>
      <c r="F694" t="s"/>
      <c r="G694" t="s"/>
      <c r="H694" t="s"/>
      <c r="I694" t="s"/>
      <c r="J694" t="n">
        <v>-0.6114000000000001</v>
      </c>
      <c r="K694" t="n">
        <v>0.571</v>
      </c>
      <c r="L694" t="n">
        <v>0.429</v>
      </c>
      <c r="M694" t="n">
        <v>0</v>
      </c>
    </row>
    <row r="695" spans="1:13">
      <c r="A695" s="1">
        <f>HYPERLINK("http://www.twitter.com/NathanBLawrence/status/992751249211772930", "992751249211772930")</f>
        <v/>
      </c>
      <c r="B695" s="2" t="n">
        <v>43225.54300925926</v>
      </c>
      <c r="C695" t="n">
        <v>3</v>
      </c>
      <c r="D695" t="n">
        <v>0</v>
      </c>
      <c r="E695" t="s">
        <v>706</v>
      </c>
      <c r="F695" t="s"/>
      <c r="G695" t="s"/>
      <c r="H695" t="s"/>
      <c r="I695" t="s"/>
      <c r="J695" t="n">
        <v>0</v>
      </c>
      <c r="K695" t="n">
        <v>0</v>
      </c>
      <c r="L695" t="n">
        <v>1</v>
      </c>
      <c r="M695" t="n">
        <v>0</v>
      </c>
    </row>
    <row r="696" spans="1:13">
      <c r="A696" s="1">
        <f>HYPERLINK("http://www.twitter.com/NathanBLawrence/status/992633982855581696", "992633982855581696")</f>
        <v/>
      </c>
      <c r="B696" s="2" t="n">
        <v>43225.21942129629</v>
      </c>
      <c r="C696" t="n">
        <v>1</v>
      </c>
      <c r="D696" t="n">
        <v>1</v>
      </c>
      <c r="E696" t="s">
        <v>707</v>
      </c>
      <c r="F696">
        <f>HYPERLINK("http://pbs.twimg.com/media/DcaKr2VVAAAkGr7.jpg", "http://pbs.twimg.com/media/DcaKr2VVAAAkGr7.jpg")</f>
        <v/>
      </c>
      <c r="G696" t="s"/>
      <c r="H696" t="s"/>
      <c r="I696" t="s"/>
      <c r="J696" t="n">
        <v>0</v>
      </c>
      <c r="K696" t="n">
        <v>0</v>
      </c>
      <c r="L696" t="n">
        <v>1</v>
      </c>
      <c r="M696" t="n">
        <v>0</v>
      </c>
    </row>
    <row r="697" spans="1:13">
      <c r="A697" s="1">
        <f>HYPERLINK("http://www.twitter.com/NathanBLawrence/status/992632838301343744", "992632838301343744")</f>
        <v/>
      </c>
      <c r="B697" s="2" t="n">
        <v>43225.21626157407</v>
      </c>
      <c r="C697" t="n">
        <v>0</v>
      </c>
      <c r="D697" t="n">
        <v>0</v>
      </c>
      <c r="E697" t="s">
        <v>708</v>
      </c>
      <c r="F697">
        <f>HYPERLINK("http://pbs.twimg.com/media/DcaKScSXkAAvsZJ.jpg", "http://pbs.twimg.com/media/DcaKScSXkAAvsZJ.jpg")</f>
        <v/>
      </c>
      <c r="G697" t="s"/>
      <c r="H697" t="s"/>
      <c r="I697" t="s"/>
      <c r="J697" t="n">
        <v>0.5994</v>
      </c>
      <c r="K697" t="n">
        <v>0</v>
      </c>
      <c r="L697" t="n">
        <v>0.339</v>
      </c>
      <c r="M697" t="n">
        <v>0.661</v>
      </c>
    </row>
    <row r="698" spans="1:13">
      <c r="A698" s="1">
        <f>HYPERLINK("http://www.twitter.com/NathanBLawrence/status/992631732657643521", "992631732657643521")</f>
        <v/>
      </c>
      <c r="B698" s="2" t="n">
        <v>43225.21320601852</v>
      </c>
      <c r="C698" t="n">
        <v>0</v>
      </c>
      <c r="D698" t="n">
        <v>0</v>
      </c>
      <c r="E698" t="s">
        <v>709</v>
      </c>
      <c r="F698">
        <f>HYPERLINK("http://pbs.twimg.com/media/DcaJQ0uWkAElnka.jpg", "http://pbs.twimg.com/media/DcaJQ0uWkAElnka.jpg")</f>
        <v/>
      </c>
      <c r="G698" t="s"/>
      <c r="H698" t="s"/>
      <c r="I698" t="s"/>
      <c r="J698" t="n">
        <v>0</v>
      </c>
      <c r="K698" t="n">
        <v>0</v>
      </c>
      <c r="L698" t="n">
        <v>1</v>
      </c>
      <c r="M698" t="n">
        <v>0</v>
      </c>
    </row>
    <row r="699" spans="1:13">
      <c r="A699" s="1">
        <f>HYPERLINK("http://www.twitter.com/NathanBLawrence/status/992631698629251072", "992631698629251072")</f>
        <v/>
      </c>
      <c r="B699" s="2" t="n">
        <v>43225.21311342593</v>
      </c>
      <c r="C699" t="n">
        <v>0</v>
      </c>
      <c r="D699" t="n">
        <v>0</v>
      </c>
      <c r="E699" t="s">
        <v>710</v>
      </c>
      <c r="F699">
        <f>HYPERLINK("http://pbs.twimg.com/media/DcaJDBNVMAEjwU3.jpg", "http://pbs.twimg.com/media/DcaJDBNVMAEjwU3.jpg")</f>
        <v/>
      </c>
      <c r="G699" t="s"/>
      <c r="H699" t="s"/>
      <c r="I699" t="s"/>
      <c r="J699" t="n">
        <v>0</v>
      </c>
      <c r="K699" t="n">
        <v>0</v>
      </c>
      <c r="L699" t="n">
        <v>1</v>
      </c>
      <c r="M699" t="n">
        <v>0</v>
      </c>
    </row>
    <row r="700" spans="1:13">
      <c r="A700" s="1">
        <f>HYPERLINK("http://www.twitter.com/NathanBLawrence/status/992628142115295232", "992628142115295232")</f>
        <v/>
      </c>
      <c r="B700" s="2" t="n">
        <v>43225.20329861111</v>
      </c>
      <c r="C700" t="n">
        <v>1</v>
      </c>
      <c r="D700" t="n">
        <v>0</v>
      </c>
      <c r="E700" t="s">
        <v>711</v>
      </c>
      <c r="F700" t="s"/>
      <c r="G700" t="s"/>
      <c r="H700" t="s"/>
      <c r="I700" t="s"/>
      <c r="J700" t="n">
        <v>0</v>
      </c>
      <c r="K700" t="n">
        <v>0</v>
      </c>
      <c r="L700" t="n">
        <v>1</v>
      </c>
      <c r="M700" t="n">
        <v>0</v>
      </c>
    </row>
    <row r="701" spans="1:13">
      <c r="A701" s="1">
        <f>HYPERLINK("http://www.twitter.com/NathanBLawrence/status/992599723575037953", "992599723575037953")</f>
        <v/>
      </c>
      <c r="B701" s="2" t="n">
        <v>43225.12488425926</v>
      </c>
      <c r="C701" t="n">
        <v>4</v>
      </c>
      <c r="D701" t="n">
        <v>0</v>
      </c>
      <c r="E701" t="s">
        <v>712</v>
      </c>
      <c r="F701">
        <f>HYPERLINK("http://pbs.twimg.com/media/DcZsDmfXcAA9j3s.jpg", "http://pbs.twimg.com/media/DcZsDmfXcAA9j3s.jpg")</f>
        <v/>
      </c>
      <c r="G701" t="s"/>
      <c r="H701" t="s"/>
      <c r="I701" t="s"/>
      <c r="J701" t="n">
        <v>0</v>
      </c>
      <c r="K701" t="n">
        <v>0</v>
      </c>
      <c r="L701" t="n">
        <v>1</v>
      </c>
      <c r="M701" t="n">
        <v>0</v>
      </c>
    </row>
    <row r="702" spans="1:13">
      <c r="A702" s="1">
        <f>HYPERLINK("http://www.twitter.com/NathanBLawrence/status/992599706793578497", "992599706793578497")</f>
        <v/>
      </c>
      <c r="B702" s="2" t="n">
        <v>43225.12483796296</v>
      </c>
      <c r="C702" t="n">
        <v>2</v>
      </c>
      <c r="D702" t="n">
        <v>0</v>
      </c>
      <c r="E702" t="s">
        <v>713</v>
      </c>
      <c r="F702">
        <f>HYPERLINK("http://pbs.twimg.com/media/DcZsDi7WkAApege.jpg", "http://pbs.twimg.com/media/DcZsDi7WkAApege.jpg")</f>
        <v/>
      </c>
      <c r="G702" t="s"/>
      <c r="H702" t="s"/>
      <c r="I702" t="s"/>
      <c r="J702" t="n">
        <v>-0.296</v>
      </c>
      <c r="K702" t="n">
        <v>0.167</v>
      </c>
      <c r="L702" t="n">
        <v>0.833</v>
      </c>
      <c r="M702" t="n">
        <v>0</v>
      </c>
    </row>
    <row r="703" spans="1:13">
      <c r="A703" s="1">
        <f>HYPERLINK("http://www.twitter.com/NathanBLawrence/status/992599698467901441", "992599698467901441")</f>
        <v/>
      </c>
      <c r="B703" s="2" t="n">
        <v>43225.12481481482</v>
      </c>
      <c r="C703" t="n">
        <v>4</v>
      </c>
      <c r="D703" t="n">
        <v>0</v>
      </c>
      <c r="E703" t="s">
        <v>714</v>
      </c>
      <c r="F703">
        <f>HYPERLINK("http://pbs.twimg.com/media/DcZsEdqXkAEmvF-.jpg", "http://pbs.twimg.com/media/DcZsEdqXkAEmvF-.jpg")</f>
        <v/>
      </c>
      <c r="G703" t="s"/>
      <c r="H703" t="s"/>
      <c r="I703" t="s"/>
      <c r="J703" t="n">
        <v>-0.4003</v>
      </c>
      <c r="K703" t="n">
        <v>0.35</v>
      </c>
      <c r="L703" t="n">
        <v>0.65</v>
      </c>
      <c r="M703" t="n">
        <v>0</v>
      </c>
    </row>
    <row r="704" spans="1:13">
      <c r="A704" s="1">
        <f>HYPERLINK("http://www.twitter.com/NathanBLawrence/status/992558030221963264", "992558030221963264")</f>
        <v/>
      </c>
      <c r="B704" s="2" t="n">
        <v>43225.00982638889</v>
      </c>
      <c r="C704" t="n">
        <v>0</v>
      </c>
      <c r="D704" t="n">
        <v>0</v>
      </c>
      <c r="E704" t="s">
        <v>715</v>
      </c>
      <c r="F704">
        <f>HYPERLINK("http://pbs.twimg.com/media/DcZGQuzXkAEsvge.jpg", "http://pbs.twimg.com/media/DcZGQuzXkAEsvge.jpg")</f>
        <v/>
      </c>
      <c r="G704" t="s"/>
      <c r="H704" t="s"/>
      <c r="I704" t="s"/>
      <c r="J704" t="n">
        <v>0</v>
      </c>
      <c r="K704" t="n">
        <v>0</v>
      </c>
      <c r="L704" t="n">
        <v>1</v>
      </c>
      <c r="M704" t="n">
        <v>0</v>
      </c>
    </row>
    <row r="705" spans="1:13">
      <c r="A705" s="1">
        <f>HYPERLINK("http://www.twitter.com/NathanBLawrence/status/992556885990658048", "992556885990658048")</f>
        <v/>
      </c>
      <c r="B705" s="2" t="n">
        <v>43225.00667824074</v>
      </c>
      <c r="C705" t="n">
        <v>0</v>
      </c>
      <c r="D705" t="n">
        <v>0</v>
      </c>
      <c r="E705" t="s">
        <v>716</v>
      </c>
      <c r="F705" t="s"/>
      <c r="G705" t="s"/>
      <c r="H705" t="s"/>
      <c r="I705" t="s"/>
      <c r="J705" t="n">
        <v>0</v>
      </c>
      <c r="K705" t="n">
        <v>0</v>
      </c>
      <c r="L705" t="n">
        <v>1</v>
      </c>
      <c r="M705" t="n">
        <v>0</v>
      </c>
    </row>
    <row r="706" spans="1:13">
      <c r="A706" s="1">
        <f>HYPERLINK("http://www.twitter.com/NathanBLawrence/status/992545900504469504", "992545900504469504")</f>
        <v/>
      </c>
      <c r="B706" s="2" t="n">
        <v>43224.97635416667</v>
      </c>
      <c r="C706" t="n">
        <v>2</v>
      </c>
      <c r="D706" t="n">
        <v>0</v>
      </c>
      <c r="E706" t="s">
        <v>717</v>
      </c>
      <c r="F706" t="s"/>
      <c r="G706" t="s"/>
      <c r="H706" t="s"/>
      <c r="I706" t="s"/>
      <c r="J706" t="n">
        <v>-0.4023</v>
      </c>
      <c r="K706" t="n">
        <v>0.144</v>
      </c>
      <c r="L706" t="n">
        <v>0.856</v>
      </c>
      <c r="M706" t="n">
        <v>0</v>
      </c>
    </row>
    <row r="707" spans="1:13">
      <c r="A707" s="1">
        <f>HYPERLINK("http://www.twitter.com/NathanBLawrence/status/992545737719336966", "992545737719336966")</f>
        <v/>
      </c>
      <c r="B707" s="2" t="n">
        <v>43224.97591435185</v>
      </c>
      <c r="C707" t="n">
        <v>8</v>
      </c>
      <c r="D707" t="n">
        <v>6</v>
      </c>
      <c r="E707" t="s">
        <v>718</v>
      </c>
      <c r="F707" t="s"/>
      <c r="G707" t="s"/>
      <c r="H707" t="s"/>
      <c r="I707" t="s"/>
      <c r="J707" t="n">
        <v>0.7178</v>
      </c>
      <c r="K707" t="n">
        <v>0</v>
      </c>
      <c r="L707" t="n">
        <v>0.828</v>
      </c>
      <c r="M707" t="n">
        <v>0.172</v>
      </c>
    </row>
    <row r="708" spans="1:13">
      <c r="A708" s="1">
        <f>HYPERLINK("http://www.twitter.com/NathanBLawrence/status/992544110006472704", "992544110006472704")</f>
        <v/>
      </c>
      <c r="B708" s="2" t="n">
        <v>43224.97142361111</v>
      </c>
      <c r="C708" t="n">
        <v>2</v>
      </c>
      <c r="D708" t="n">
        <v>0</v>
      </c>
      <c r="E708" t="s">
        <v>719</v>
      </c>
      <c r="F708" t="s"/>
      <c r="G708" t="s"/>
      <c r="H708" t="s"/>
      <c r="I708" t="s"/>
      <c r="J708" t="n">
        <v>0.4019</v>
      </c>
      <c r="K708" t="n">
        <v>0</v>
      </c>
      <c r="L708" t="n">
        <v>0.803</v>
      </c>
      <c r="M708" t="n">
        <v>0.197</v>
      </c>
    </row>
    <row r="709" spans="1:13">
      <c r="A709" s="1">
        <f>HYPERLINK("http://www.twitter.com/NathanBLawrence/status/992531367928958976", "992531367928958976")</f>
        <v/>
      </c>
      <c r="B709" s="2" t="n">
        <v>43224.93626157408</v>
      </c>
      <c r="C709" t="n">
        <v>0</v>
      </c>
      <c r="D709" t="n">
        <v>2</v>
      </c>
      <c r="E709" t="s">
        <v>720</v>
      </c>
      <c r="F709" t="s"/>
      <c r="G709" t="s"/>
      <c r="H709" t="s"/>
      <c r="I709" t="s"/>
      <c r="J709" t="n">
        <v>0.4019</v>
      </c>
      <c r="K709" t="n">
        <v>0</v>
      </c>
      <c r="L709" t="n">
        <v>0.876</v>
      </c>
      <c r="M709" t="n">
        <v>0.124</v>
      </c>
    </row>
    <row r="710" spans="1:13">
      <c r="A710" s="1">
        <f>HYPERLINK("http://www.twitter.com/NathanBLawrence/status/992510734612549633", "992510734612549633")</f>
        <v/>
      </c>
      <c r="B710" s="2" t="n">
        <v>43224.87931712963</v>
      </c>
      <c r="C710" t="n">
        <v>3</v>
      </c>
      <c r="D710" t="n">
        <v>0</v>
      </c>
      <c r="E710" t="s">
        <v>721</v>
      </c>
      <c r="F710" t="s"/>
      <c r="G710" t="s"/>
      <c r="H710" t="s"/>
      <c r="I710" t="s"/>
      <c r="J710" t="n">
        <v>-0.3595</v>
      </c>
      <c r="K710" t="n">
        <v>0.333</v>
      </c>
      <c r="L710" t="n">
        <v>0.667</v>
      </c>
      <c r="M710" t="n">
        <v>0</v>
      </c>
    </row>
    <row r="711" spans="1:13">
      <c r="A711" s="1">
        <f>HYPERLINK("http://www.twitter.com/NathanBLawrence/status/992510446002495488", "992510446002495488")</f>
        <v/>
      </c>
      <c r="B711" s="2" t="n">
        <v>43224.87851851852</v>
      </c>
      <c r="C711" t="n">
        <v>0</v>
      </c>
      <c r="D711" t="n">
        <v>1</v>
      </c>
      <c r="E711" t="s">
        <v>722</v>
      </c>
      <c r="F711" t="s"/>
      <c r="G711" t="s"/>
      <c r="H711" t="s"/>
      <c r="I711" t="s"/>
      <c r="J711" t="n">
        <v>0</v>
      </c>
      <c r="K711" t="n">
        <v>0</v>
      </c>
      <c r="L711" t="n">
        <v>1</v>
      </c>
      <c r="M711" t="n">
        <v>0</v>
      </c>
    </row>
    <row r="712" spans="1:13">
      <c r="A712" s="1">
        <f>HYPERLINK("http://www.twitter.com/NathanBLawrence/status/992507863909232640", "992507863909232640")</f>
        <v/>
      </c>
      <c r="B712" s="2" t="n">
        <v>43224.87140046297</v>
      </c>
      <c r="C712" t="n">
        <v>0</v>
      </c>
      <c r="D712" t="n">
        <v>16</v>
      </c>
      <c r="E712" t="s">
        <v>723</v>
      </c>
      <c r="F712">
        <f>HYPERLINK("http://pbs.twimg.com/media/DcX9yYnW4AAM1p7.jpg", "http://pbs.twimg.com/media/DcX9yYnW4AAM1p7.jpg")</f>
        <v/>
      </c>
      <c r="G712" t="s"/>
      <c r="H712" t="s"/>
      <c r="I712" t="s"/>
      <c r="J712" t="n">
        <v>0.2023</v>
      </c>
      <c r="K712" t="n">
        <v>0</v>
      </c>
      <c r="L712" t="n">
        <v>0.917</v>
      </c>
      <c r="M712" t="n">
        <v>0.083</v>
      </c>
    </row>
    <row r="713" spans="1:13">
      <c r="A713" s="1">
        <f>HYPERLINK("http://www.twitter.com/NathanBLawrence/status/992452528750190592", "992452528750190592")</f>
        <v/>
      </c>
      <c r="B713" s="2" t="n">
        <v>43224.7187037037</v>
      </c>
      <c r="C713" t="n">
        <v>2</v>
      </c>
      <c r="D713" t="n">
        <v>0</v>
      </c>
      <c r="E713" t="s">
        <v>724</v>
      </c>
      <c r="F713">
        <f>HYPERLINK("http://pbs.twimg.com/media/DcXmS21VAAADY8W.jpg", "http://pbs.twimg.com/media/DcXmS21VAAADY8W.jpg")</f>
        <v/>
      </c>
      <c r="G713" t="s"/>
      <c r="H713" t="s"/>
      <c r="I713" t="s"/>
      <c r="J713" t="n">
        <v>0</v>
      </c>
      <c r="K713" t="n">
        <v>0</v>
      </c>
      <c r="L713" t="n">
        <v>1</v>
      </c>
      <c r="M713" t="n">
        <v>0</v>
      </c>
    </row>
    <row r="714" spans="1:13">
      <c r="A714" s="1">
        <f>HYPERLINK("http://www.twitter.com/NathanBLawrence/status/992451860924596225", "992451860924596225")</f>
        <v/>
      </c>
      <c r="B714" s="2" t="n">
        <v>43224.71686342593</v>
      </c>
      <c r="C714" t="n">
        <v>2</v>
      </c>
      <c r="D714" t="n">
        <v>0</v>
      </c>
      <c r="E714" t="s">
        <v>725</v>
      </c>
      <c r="F714" t="s"/>
      <c r="G714" t="s"/>
      <c r="H714" t="s"/>
      <c r="I714" t="s"/>
      <c r="J714" t="n">
        <v>0</v>
      </c>
      <c r="K714" t="n">
        <v>0</v>
      </c>
      <c r="L714" t="n">
        <v>1</v>
      </c>
      <c r="M714" t="n">
        <v>0</v>
      </c>
    </row>
    <row r="715" spans="1:13">
      <c r="A715" s="1">
        <f>HYPERLINK("http://www.twitter.com/NathanBLawrence/status/992423495140364290", "992423495140364290")</f>
        <v/>
      </c>
      <c r="B715" s="2" t="n">
        <v>43224.63858796296</v>
      </c>
      <c r="C715" t="n">
        <v>2</v>
      </c>
      <c r="D715" t="n">
        <v>0</v>
      </c>
      <c r="E715" t="s">
        <v>726</v>
      </c>
      <c r="F715" t="s"/>
      <c r="G715" t="s"/>
      <c r="H715" t="s"/>
      <c r="I715" t="s"/>
      <c r="J715" t="n">
        <v>0</v>
      </c>
      <c r="K715" t="n">
        <v>0</v>
      </c>
      <c r="L715" t="n">
        <v>1</v>
      </c>
      <c r="M715" t="n">
        <v>0</v>
      </c>
    </row>
    <row r="716" spans="1:13">
      <c r="A716" s="1">
        <f>HYPERLINK("http://www.twitter.com/NathanBLawrence/status/992410556844920832", "992410556844920832")</f>
        <v/>
      </c>
      <c r="B716" s="2" t="n">
        <v>43224.60288194445</v>
      </c>
      <c r="C716" t="n">
        <v>2</v>
      </c>
      <c r="D716" t="n">
        <v>0</v>
      </c>
      <c r="E716" t="s">
        <v>727</v>
      </c>
      <c r="F716">
        <f>HYPERLINK("http://pbs.twimg.com/media/DcXAHygU0AE54Yh.jpg", "http://pbs.twimg.com/media/DcXAHygU0AE54Yh.jpg")</f>
        <v/>
      </c>
      <c r="G716" t="s"/>
      <c r="H716" t="s"/>
      <c r="I716" t="s"/>
      <c r="J716" t="n">
        <v>0</v>
      </c>
      <c r="K716" t="n">
        <v>0</v>
      </c>
      <c r="L716" t="n">
        <v>1</v>
      </c>
      <c r="M716" t="n">
        <v>0</v>
      </c>
    </row>
    <row r="717" spans="1:13">
      <c r="A717" s="1">
        <f>HYPERLINK("http://www.twitter.com/NathanBLawrence/status/992410025191706624", "992410025191706624")</f>
        <v/>
      </c>
      <c r="B717" s="2" t="n">
        <v>43224.60141203704</v>
      </c>
      <c r="C717" t="n">
        <v>0</v>
      </c>
      <c r="D717" t="n">
        <v>0</v>
      </c>
      <c r="E717" t="s">
        <v>728</v>
      </c>
      <c r="F717" t="s"/>
      <c r="G717" t="s"/>
      <c r="H717" t="s"/>
      <c r="I717" t="s"/>
      <c r="J717" t="n">
        <v>0.4019</v>
      </c>
      <c r="K717" t="n">
        <v>0</v>
      </c>
      <c r="L717" t="n">
        <v>0.803</v>
      </c>
      <c r="M717" t="n">
        <v>0.197</v>
      </c>
    </row>
    <row r="718" spans="1:13">
      <c r="A718" s="1">
        <f>HYPERLINK("http://www.twitter.com/NathanBLawrence/status/992409716952371201", "992409716952371201")</f>
        <v/>
      </c>
      <c r="B718" s="2" t="n">
        <v>43224.60056712963</v>
      </c>
      <c r="C718" t="n">
        <v>1</v>
      </c>
      <c r="D718" t="n">
        <v>1</v>
      </c>
      <c r="E718" t="s">
        <v>729</v>
      </c>
      <c r="F718" t="s"/>
      <c r="G718" t="s"/>
      <c r="H718" t="s"/>
      <c r="I718" t="s"/>
      <c r="J718" t="n">
        <v>0.7297</v>
      </c>
      <c r="K718" t="n">
        <v>0</v>
      </c>
      <c r="L718" t="n">
        <v>0.737</v>
      </c>
      <c r="M718" t="n">
        <v>0.263</v>
      </c>
    </row>
    <row r="719" spans="1:13">
      <c r="A719" s="1">
        <f>HYPERLINK("http://www.twitter.com/NathanBLawrence/status/992408470291927041", "992408470291927041")</f>
        <v/>
      </c>
      <c r="B719" s="2" t="n">
        <v>43224.59712962963</v>
      </c>
      <c r="C719" t="n">
        <v>0</v>
      </c>
      <c r="D719" t="n">
        <v>20</v>
      </c>
      <c r="E719" t="s">
        <v>730</v>
      </c>
      <c r="F719" t="s"/>
      <c r="G719" t="s"/>
      <c r="H719" t="s"/>
      <c r="I719" t="s"/>
      <c r="J719" t="n">
        <v>-0.5859</v>
      </c>
      <c r="K719" t="n">
        <v>0.242</v>
      </c>
      <c r="L719" t="n">
        <v>0.758</v>
      </c>
      <c r="M719" t="n">
        <v>0</v>
      </c>
    </row>
    <row r="720" spans="1:13">
      <c r="A720" s="1">
        <f>HYPERLINK("http://www.twitter.com/NathanBLawrence/status/992406030846976005", "992406030846976005")</f>
        <v/>
      </c>
      <c r="B720" s="2" t="n">
        <v>43224.59039351852</v>
      </c>
      <c r="C720" t="n">
        <v>0</v>
      </c>
      <c r="D720" t="n">
        <v>1</v>
      </c>
      <c r="E720" t="s">
        <v>731</v>
      </c>
      <c r="F720">
        <f>HYPERLINK("http://pbs.twimg.com/media/DcRcrDmV0AEYn3t.jpg", "http://pbs.twimg.com/media/DcRcrDmV0AEYn3t.jpg")</f>
        <v/>
      </c>
      <c r="G720" t="s"/>
      <c r="H720" t="s"/>
      <c r="I720" t="s"/>
      <c r="J720" t="n">
        <v>0</v>
      </c>
      <c r="K720" t="n">
        <v>0</v>
      </c>
      <c r="L720" t="n">
        <v>1</v>
      </c>
      <c r="M720" t="n">
        <v>0</v>
      </c>
    </row>
    <row r="721" spans="1:13">
      <c r="A721" s="1">
        <f>HYPERLINK("http://www.twitter.com/NathanBLawrence/status/992404486915227648", "992404486915227648")</f>
        <v/>
      </c>
      <c r="B721" s="2" t="n">
        <v>43224.58613425926</v>
      </c>
      <c r="C721" t="n">
        <v>2</v>
      </c>
      <c r="D721" t="n">
        <v>0</v>
      </c>
      <c r="E721" t="s">
        <v>732</v>
      </c>
      <c r="F721" t="s"/>
      <c r="G721" t="s"/>
      <c r="H721" t="s"/>
      <c r="I721" t="s"/>
      <c r="J721" t="n">
        <v>0</v>
      </c>
      <c r="K721" t="n">
        <v>0</v>
      </c>
      <c r="L721" t="n">
        <v>1</v>
      </c>
      <c r="M721" t="n">
        <v>0</v>
      </c>
    </row>
    <row r="722" spans="1:13">
      <c r="A722" s="1">
        <f>HYPERLINK("http://www.twitter.com/NathanBLawrence/status/992404438122946560", "992404438122946560")</f>
        <v/>
      </c>
      <c r="B722" s="2" t="n">
        <v>43224.58599537037</v>
      </c>
      <c r="C722" t="n">
        <v>3</v>
      </c>
      <c r="D722" t="n">
        <v>0</v>
      </c>
      <c r="E722" t="s">
        <v>733</v>
      </c>
      <c r="F722" t="s"/>
      <c r="G722" t="s"/>
      <c r="H722" t="s"/>
      <c r="I722" t="s"/>
      <c r="J722" t="n">
        <v>0.4559</v>
      </c>
      <c r="K722" t="n">
        <v>0</v>
      </c>
      <c r="L722" t="n">
        <v>0.801</v>
      </c>
      <c r="M722" t="n">
        <v>0.199</v>
      </c>
    </row>
    <row r="723" spans="1:13">
      <c r="A723" s="1">
        <f>HYPERLINK("http://www.twitter.com/NathanBLawrence/status/992404202344407040", "992404202344407040")</f>
        <v/>
      </c>
      <c r="B723" s="2" t="n">
        <v>43224.58534722222</v>
      </c>
      <c r="C723" t="n">
        <v>0</v>
      </c>
      <c r="D723" t="n">
        <v>7</v>
      </c>
      <c r="E723" t="s">
        <v>734</v>
      </c>
      <c r="F723">
        <f>HYPERLINK("http://pbs.twimg.com/media/DcU1NAQUQAELbDN.jpg", "http://pbs.twimg.com/media/DcU1NAQUQAELbDN.jpg")</f>
        <v/>
      </c>
      <c r="G723" t="s"/>
      <c r="H723" t="s"/>
      <c r="I723" t="s"/>
      <c r="J723" t="n">
        <v>0</v>
      </c>
      <c r="K723" t="n">
        <v>0</v>
      </c>
      <c r="L723" t="n">
        <v>1</v>
      </c>
      <c r="M723" t="n">
        <v>0</v>
      </c>
    </row>
    <row r="724" spans="1:13">
      <c r="A724" s="1">
        <f>HYPERLINK("http://www.twitter.com/NathanBLawrence/status/992402490619584514", "992402490619584514")</f>
        <v/>
      </c>
      <c r="B724" s="2" t="n">
        <v>43224.580625</v>
      </c>
      <c r="C724" t="n">
        <v>0</v>
      </c>
      <c r="D724" t="n">
        <v>19</v>
      </c>
      <c r="E724" t="s">
        <v>735</v>
      </c>
      <c r="F724" t="s"/>
      <c r="G724" t="s"/>
      <c r="H724" t="s"/>
      <c r="I724" t="s"/>
      <c r="J724" t="n">
        <v>0.3612</v>
      </c>
      <c r="K724" t="n">
        <v>0</v>
      </c>
      <c r="L724" t="n">
        <v>0.844</v>
      </c>
      <c r="M724" t="n">
        <v>0.156</v>
      </c>
    </row>
    <row r="725" spans="1:13">
      <c r="A725" s="1">
        <f>HYPERLINK("http://www.twitter.com/NathanBLawrence/status/992402344716447744", "992402344716447744")</f>
        <v/>
      </c>
      <c r="B725" s="2" t="n">
        <v>43224.58021990741</v>
      </c>
      <c r="C725" t="n">
        <v>0</v>
      </c>
      <c r="D725" t="n">
        <v>12</v>
      </c>
      <c r="E725" t="s">
        <v>736</v>
      </c>
      <c r="F725" t="s"/>
      <c r="G725" t="s"/>
      <c r="H725" t="s"/>
      <c r="I725" t="s"/>
      <c r="J725" t="n">
        <v>-0.4404</v>
      </c>
      <c r="K725" t="n">
        <v>0.168</v>
      </c>
      <c r="L725" t="n">
        <v>0.733</v>
      </c>
      <c r="M725" t="n">
        <v>0.099</v>
      </c>
    </row>
    <row r="726" spans="1:13">
      <c r="A726" s="1">
        <f>HYPERLINK("http://www.twitter.com/NathanBLawrence/status/992383041678008325", "992383041678008325")</f>
        <v/>
      </c>
      <c r="B726" s="2" t="n">
        <v>43224.52695601852</v>
      </c>
      <c r="C726" t="n">
        <v>4</v>
      </c>
      <c r="D726" t="n">
        <v>0</v>
      </c>
      <c r="E726" t="s">
        <v>737</v>
      </c>
      <c r="F726">
        <f>HYPERLINK("https://video.twimg.com/ext_tw_video/992382190037053441/pu/vid/1280x720/yURzBnhoX-nmda7W.mp4?tag=3", "https://video.twimg.com/ext_tw_video/992382190037053441/pu/vid/1280x720/yURzBnhoX-nmda7W.mp4?tag=3")</f>
        <v/>
      </c>
      <c r="G726" t="s"/>
      <c r="H726" t="s"/>
      <c r="I726" t="s"/>
      <c r="J726" t="n">
        <v>0</v>
      </c>
      <c r="K726" t="n">
        <v>0</v>
      </c>
      <c r="L726" t="n">
        <v>1</v>
      </c>
      <c r="M726" t="n">
        <v>0</v>
      </c>
    </row>
    <row r="727" spans="1:13">
      <c r="A727" s="1">
        <f>HYPERLINK("http://www.twitter.com/NathanBLawrence/status/992380415313956864", "992380415313956864")</f>
        <v/>
      </c>
      <c r="B727" s="2" t="n">
        <v>43224.51971064815</v>
      </c>
      <c r="C727" t="n">
        <v>7</v>
      </c>
      <c r="D727" t="n">
        <v>2</v>
      </c>
      <c r="E727" t="s">
        <v>738</v>
      </c>
      <c r="F727" t="s"/>
      <c r="G727" t="s"/>
      <c r="H727" t="s"/>
      <c r="I727" t="s"/>
      <c r="J727" t="n">
        <v>0.4939</v>
      </c>
      <c r="K727" t="n">
        <v>0</v>
      </c>
      <c r="L727" t="n">
        <v>0.6860000000000001</v>
      </c>
      <c r="M727" t="n">
        <v>0.314</v>
      </c>
    </row>
    <row r="728" spans="1:13">
      <c r="A728" s="1">
        <f>HYPERLINK("http://www.twitter.com/NathanBLawrence/status/992301338942828544", "992301338942828544")</f>
        <v/>
      </c>
      <c r="B728" s="2" t="n">
        <v>43224.30149305556</v>
      </c>
      <c r="C728" t="n">
        <v>3</v>
      </c>
      <c r="D728" t="n">
        <v>1</v>
      </c>
      <c r="E728" t="s">
        <v>739</v>
      </c>
      <c r="F728">
        <f>HYPERLINK("http://pbs.twimg.com/media/DcVczIUVQAAhVTk.jpg", "http://pbs.twimg.com/media/DcVczIUVQAAhVTk.jpg")</f>
        <v/>
      </c>
      <c r="G728" t="s"/>
      <c r="H728" t="s"/>
      <c r="I728" t="s"/>
      <c r="J728" t="n">
        <v>0.4926</v>
      </c>
      <c r="K728" t="n">
        <v>0</v>
      </c>
      <c r="L728" t="n">
        <v>0.6870000000000001</v>
      </c>
      <c r="M728" t="n">
        <v>0.313</v>
      </c>
    </row>
    <row r="729" spans="1:13">
      <c r="A729" s="1">
        <f>HYPERLINK("http://www.twitter.com/NathanBLawrence/status/992300927561359361", "992300927561359361")</f>
        <v/>
      </c>
      <c r="B729" s="2" t="n">
        <v>43224.3003587963</v>
      </c>
      <c r="C729" t="n">
        <v>4</v>
      </c>
      <c r="D729" t="n">
        <v>1</v>
      </c>
      <c r="E729" t="s">
        <v>740</v>
      </c>
      <c r="F729">
        <f>HYPERLINK("http://pbs.twimg.com/media/DcVcZ94UQAEsTCh.jpg", "http://pbs.twimg.com/media/DcVcZ94UQAEsTCh.jpg")</f>
        <v/>
      </c>
      <c r="G729" t="s"/>
      <c r="H729" t="s"/>
      <c r="I729" t="s"/>
      <c r="J729" t="n">
        <v>0.4927</v>
      </c>
      <c r="K729" t="n">
        <v>0</v>
      </c>
      <c r="L729" t="n">
        <v>0.775</v>
      </c>
      <c r="M729" t="n">
        <v>0.225</v>
      </c>
    </row>
    <row r="730" spans="1:13">
      <c r="A730" s="1">
        <f>HYPERLINK("http://www.twitter.com/NathanBLawrence/status/992282635085869056", "992282635085869056")</f>
        <v/>
      </c>
      <c r="B730" s="2" t="n">
        <v>43224.24988425926</v>
      </c>
      <c r="C730" t="n">
        <v>3</v>
      </c>
      <c r="D730" t="n">
        <v>0</v>
      </c>
      <c r="E730" t="s">
        <v>741</v>
      </c>
      <c r="F730">
        <f>HYPERLINK("http://pbs.twimg.com/media/DcVLxe3U0AAYA_h.jpg", "http://pbs.twimg.com/media/DcVLxe3U0AAYA_h.jpg")</f>
        <v/>
      </c>
      <c r="G730" t="s"/>
      <c r="H730" t="s"/>
      <c r="I730" t="s"/>
      <c r="J730" t="n">
        <v>0</v>
      </c>
      <c r="K730" t="n">
        <v>0</v>
      </c>
      <c r="L730" t="n">
        <v>1</v>
      </c>
      <c r="M730" t="n">
        <v>0</v>
      </c>
    </row>
    <row r="731" spans="1:13">
      <c r="A731" s="1">
        <f>HYPERLINK("http://www.twitter.com/NathanBLawrence/status/992260619687505920", "992260619687505920")</f>
        <v/>
      </c>
      <c r="B731" s="2" t="n">
        <v>43224.18913194445</v>
      </c>
      <c r="C731" t="n">
        <v>3</v>
      </c>
      <c r="D731" t="n">
        <v>0</v>
      </c>
      <c r="E731" t="s">
        <v>742</v>
      </c>
      <c r="F731" t="s"/>
      <c r="G731" t="s"/>
      <c r="H731" t="s"/>
      <c r="I731" t="s"/>
      <c r="J731" t="n">
        <v>0</v>
      </c>
      <c r="K731" t="n">
        <v>0</v>
      </c>
      <c r="L731" t="n">
        <v>1</v>
      </c>
      <c r="M731" t="n">
        <v>0</v>
      </c>
    </row>
    <row r="732" spans="1:13">
      <c r="A732" s="1">
        <f>HYPERLINK("http://www.twitter.com/NathanBLawrence/status/992260192472416256", "992260192472416256")</f>
        <v/>
      </c>
      <c r="B732" s="2" t="n">
        <v>43224.18795138889</v>
      </c>
      <c r="C732" t="n">
        <v>1</v>
      </c>
      <c r="D732" t="n">
        <v>0</v>
      </c>
      <c r="E732" t="s">
        <v>743</v>
      </c>
      <c r="F732" t="s"/>
      <c r="G732" t="s"/>
      <c r="H732" t="s"/>
      <c r="I732" t="s"/>
      <c r="J732" t="n">
        <v>0</v>
      </c>
      <c r="K732" t="n">
        <v>0</v>
      </c>
      <c r="L732" t="n">
        <v>1</v>
      </c>
      <c r="M732" t="n">
        <v>0</v>
      </c>
    </row>
    <row r="733" spans="1:13">
      <c r="A733" s="1">
        <f>HYPERLINK("http://www.twitter.com/NathanBLawrence/status/992172371913138177", "992172371913138177")</f>
        <v/>
      </c>
      <c r="B733" s="2" t="n">
        <v>43223.94561342592</v>
      </c>
      <c r="C733" t="n">
        <v>2</v>
      </c>
      <c r="D733" t="n">
        <v>0</v>
      </c>
      <c r="E733" t="s">
        <v>744</v>
      </c>
      <c r="F733" t="s"/>
      <c r="G733" t="s"/>
      <c r="H733" t="s"/>
      <c r="I733" t="s"/>
      <c r="J733" t="n">
        <v>0</v>
      </c>
      <c r="K733" t="n">
        <v>0</v>
      </c>
      <c r="L733" t="n">
        <v>1</v>
      </c>
      <c r="M733" t="n">
        <v>0</v>
      </c>
    </row>
    <row r="734" spans="1:13">
      <c r="A734" s="1">
        <f>HYPERLINK("http://www.twitter.com/NathanBLawrence/status/992153682027405312", "992153682027405312")</f>
        <v/>
      </c>
      <c r="B734" s="2" t="n">
        <v>43223.89403935185</v>
      </c>
      <c r="C734" t="n">
        <v>2</v>
      </c>
      <c r="D734" t="n">
        <v>0</v>
      </c>
      <c r="E734" t="s">
        <v>745</v>
      </c>
      <c r="F734" t="s"/>
      <c r="G734" t="s"/>
      <c r="H734" t="s"/>
      <c r="I734" t="s"/>
      <c r="J734" t="n">
        <v>-0.6563</v>
      </c>
      <c r="K734" t="n">
        <v>0.238</v>
      </c>
      <c r="L734" t="n">
        <v>0.762</v>
      </c>
      <c r="M734" t="n">
        <v>0</v>
      </c>
    </row>
    <row r="735" spans="1:13">
      <c r="A735" s="1">
        <f>HYPERLINK("http://www.twitter.com/NathanBLawrence/status/992153482718302208", "992153482718302208")</f>
        <v/>
      </c>
      <c r="B735" s="2" t="n">
        <v>43223.89349537037</v>
      </c>
      <c r="C735" t="n">
        <v>1</v>
      </c>
      <c r="D735" t="n">
        <v>0</v>
      </c>
      <c r="E735" t="s">
        <v>746</v>
      </c>
      <c r="F735" t="s"/>
      <c r="G735" t="s"/>
      <c r="H735" t="s"/>
      <c r="I735" t="s"/>
      <c r="J735" t="n">
        <v>0</v>
      </c>
      <c r="K735" t="n">
        <v>0</v>
      </c>
      <c r="L735" t="n">
        <v>1</v>
      </c>
      <c r="M735" t="n">
        <v>0</v>
      </c>
    </row>
    <row r="736" spans="1:13">
      <c r="A736" s="1">
        <f>HYPERLINK("http://www.twitter.com/NathanBLawrence/status/992153264983560193", "992153264983560193")</f>
        <v/>
      </c>
      <c r="B736" s="2" t="n">
        <v>43223.89289351852</v>
      </c>
      <c r="C736" t="n">
        <v>2</v>
      </c>
      <c r="D736" t="n">
        <v>0</v>
      </c>
      <c r="E736" t="s">
        <v>747</v>
      </c>
      <c r="F736" t="s"/>
      <c r="G736" t="s"/>
      <c r="H736" t="s"/>
      <c r="I736" t="s"/>
      <c r="J736" t="n">
        <v>0.296</v>
      </c>
      <c r="K736" t="n">
        <v>0</v>
      </c>
      <c r="L736" t="n">
        <v>0.916</v>
      </c>
      <c r="M736" t="n">
        <v>0.08400000000000001</v>
      </c>
    </row>
    <row r="737" spans="1:13">
      <c r="A737" s="1">
        <f>HYPERLINK("http://www.twitter.com/NathanBLawrence/status/992084860633255936", "992084860633255936")</f>
        <v/>
      </c>
      <c r="B737" s="2" t="n">
        <v>43223.70413194445</v>
      </c>
      <c r="C737" t="n">
        <v>1</v>
      </c>
      <c r="D737" t="n">
        <v>0</v>
      </c>
      <c r="E737" t="s">
        <v>748</v>
      </c>
      <c r="F737" t="s"/>
      <c r="G737" t="s"/>
      <c r="H737" t="s"/>
      <c r="I737" t="s"/>
      <c r="J737" t="n">
        <v>0</v>
      </c>
      <c r="K737" t="n">
        <v>0</v>
      </c>
      <c r="L737" t="n">
        <v>1</v>
      </c>
      <c r="M737" t="n">
        <v>0</v>
      </c>
    </row>
    <row r="738" spans="1:13">
      <c r="A738" s="1">
        <f>HYPERLINK("http://www.twitter.com/NathanBLawrence/status/992071066074968065", "992071066074968065")</f>
        <v/>
      </c>
      <c r="B738" s="2" t="n">
        <v>43223.66606481482</v>
      </c>
      <c r="C738" t="n">
        <v>1</v>
      </c>
      <c r="D738" t="n">
        <v>1</v>
      </c>
      <c r="E738" t="s">
        <v>749</v>
      </c>
      <c r="F738" t="s"/>
      <c r="G738" t="s"/>
      <c r="H738" t="s"/>
      <c r="I738" t="s"/>
      <c r="J738" t="n">
        <v>0</v>
      </c>
      <c r="K738" t="n">
        <v>0</v>
      </c>
      <c r="L738" t="n">
        <v>1</v>
      </c>
      <c r="M738" t="n">
        <v>0</v>
      </c>
    </row>
    <row r="739" spans="1:13">
      <c r="A739" s="1">
        <f>HYPERLINK("http://www.twitter.com/NathanBLawrence/status/992070836889837568", "992070836889837568")</f>
        <v/>
      </c>
      <c r="B739" s="2" t="n">
        <v>43223.66542824074</v>
      </c>
      <c r="C739" t="n">
        <v>0</v>
      </c>
      <c r="D739" t="n">
        <v>0</v>
      </c>
      <c r="E739" t="s">
        <v>750</v>
      </c>
      <c r="F739" t="s"/>
      <c r="G739" t="s"/>
      <c r="H739" t="s"/>
      <c r="I739" t="s"/>
      <c r="J739" t="n">
        <v>0</v>
      </c>
      <c r="K739" t="n">
        <v>0</v>
      </c>
      <c r="L739" t="n">
        <v>1</v>
      </c>
      <c r="M739" t="n">
        <v>0</v>
      </c>
    </row>
    <row r="740" spans="1:13">
      <c r="A740" s="1">
        <f>HYPERLINK("http://www.twitter.com/NathanBLawrence/status/992059592959053825", "992059592959053825")</f>
        <v/>
      </c>
      <c r="B740" s="2" t="n">
        <v>43223.63440972222</v>
      </c>
      <c r="C740" t="n">
        <v>1</v>
      </c>
      <c r="D740" t="n">
        <v>0</v>
      </c>
      <c r="E740" t="s">
        <v>751</v>
      </c>
      <c r="F740" t="s"/>
      <c r="G740" t="s"/>
      <c r="H740" t="s"/>
      <c r="I740" t="s"/>
      <c r="J740" t="n">
        <v>0</v>
      </c>
      <c r="K740" t="n">
        <v>0</v>
      </c>
      <c r="L740" t="n">
        <v>1</v>
      </c>
      <c r="M740" t="n">
        <v>0</v>
      </c>
    </row>
    <row r="741" spans="1:13">
      <c r="A741" s="1">
        <f>HYPERLINK("http://www.twitter.com/NathanBLawrence/status/992059329011507203", "992059329011507203")</f>
        <v/>
      </c>
      <c r="B741" s="2" t="n">
        <v>43223.63368055555</v>
      </c>
      <c r="C741" t="n">
        <v>39</v>
      </c>
      <c r="D741" t="n">
        <v>12</v>
      </c>
      <c r="E741" t="s">
        <v>752</v>
      </c>
      <c r="F741" t="s"/>
      <c r="G741" t="s"/>
      <c r="H741" t="s"/>
      <c r="I741" t="s"/>
      <c r="J741" t="n">
        <v>0</v>
      </c>
      <c r="K741" t="n">
        <v>0</v>
      </c>
      <c r="L741" t="n">
        <v>1</v>
      </c>
      <c r="M741" t="n">
        <v>0</v>
      </c>
    </row>
    <row r="742" spans="1:13">
      <c r="A742" s="1">
        <f>HYPERLINK("http://www.twitter.com/NathanBLawrence/status/992059053961555968", "992059053961555968")</f>
        <v/>
      </c>
      <c r="B742" s="2" t="n">
        <v>43223.63291666667</v>
      </c>
      <c r="C742" t="n">
        <v>0</v>
      </c>
      <c r="D742" t="n">
        <v>0</v>
      </c>
      <c r="E742" t="s">
        <v>753</v>
      </c>
      <c r="F742" t="s"/>
      <c r="G742" t="s"/>
      <c r="H742" t="s"/>
      <c r="I742" t="s"/>
      <c r="J742" t="n">
        <v>0</v>
      </c>
      <c r="K742" t="n">
        <v>0</v>
      </c>
      <c r="L742" t="n">
        <v>1</v>
      </c>
      <c r="M742" t="n">
        <v>0</v>
      </c>
    </row>
    <row r="743" spans="1:13">
      <c r="A743" s="1">
        <f>HYPERLINK("http://www.twitter.com/NathanBLawrence/status/992059003403423749", "992059003403423749")</f>
        <v/>
      </c>
      <c r="B743" s="2" t="n">
        <v>43223.63277777778</v>
      </c>
      <c r="C743" t="n">
        <v>0</v>
      </c>
      <c r="D743" t="n">
        <v>0</v>
      </c>
      <c r="E743" t="s">
        <v>754</v>
      </c>
      <c r="F743" t="s"/>
      <c r="G743" t="s"/>
      <c r="H743" t="s"/>
      <c r="I743" t="s"/>
      <c r="J743" t="n">
        <v>0.431</v>
      </c>
      <c r="K743" t="n">
        <v>0.053</v>
      </c>
      <c r="L743" t="n">
        <v>0.852</v>
      </c>
      <c r="M743" t="n">
        <v>0.096</v>
      </c>
    </row>
    <row r="744" spans="1:13">
      <c r="A744" s="1">
        <f>HYPERLINK("http://www.twitter.com/NathanBLawrence/status/992007832299016193", "992007832299016193")</f>
        <v/>
      </c>
      <c r="B744" s="2" t="n">
        <v>43223.49157407408</v>
      </c>
      <c r="C744" t="n">
        <v>1</v>
      </c>
      <c r="D744" t="n">
        <v>0</v>
      </c>
      <c r="E744" t="s">
        <v>755</v>
      </c>
      <c r="F744" t="s"/>
      <c r="G744" t="s"/>
      <c r="H744" t="s"/>
      <c r="I744" t="s"/>
      <c r="J744" t="n">
        <v>0</v>
      </c>
      <c r="K744" t="n">
        <v>0</v>
      </c>
      <c r="L744" t="n">
        <v>1</v>
      </c>
      <c r="M744" t="n">
        <v>0</v>
      </c>
    </row>
    <row r="745" spans="1:13">
      <c r="A745" s="1">
        <f>HYPERLINK("http://www.twitter.com/NathanBLawrence/status/992007007740755968", "992007007740755968")</f>
        <v/>
      </c>
      <c r="B745" s="2" t="n">
        <v>43223.48929398148</v>
      </c>
      <c r="C745" t="n">
        <v>0</v>
      </c>
      <c r="D745" t="n">
        <v>0</v>
      </c>
      <c r="E745" t="s">
        <v>756</v>
      </c>
      <c r="F745" t="s"/>
      <c r="G745" t="s"/>
      <c r="H745" t="s"/>
      <c r="I745" t="s"/>
      <c r="J745" t="n">
        <v>0</v>
      </c>
      <c r="K745" t="n">
        <v>0</v>
      </c>
      <c r="L745" t="n">
        <v>1</v>
      </c>
      <c r="M745" t="n">
        <v>0</v>
      </c>
    </row>
    <row r="746" spans="1:13">
      <c r="A746" s="1">
        <f>HYPERLINK("http://www.twitter.com/NathanBLawrence/status/992006527203586049", "992006527203586049")</f>
        <v/>
      </c>
      <c r="B746" s="2" t="n">
        <v>43223.48797453703</v>
      </c>
      <c r="C746" t="n">
        <v>1</v>
      </c>
      <c r="D746" t="n">
        <v>0</v>
      </c>
      <c r="E746" t="s">
        <v>757</v>
      </c>
      <c r="F746">
        <f>HYPERLINK("http://pbs.twimg.com/media/DcRQrVrU0AAnOYg.jpg", "http://pbs.twimg.com/media/DcRQrVrU0AAnOYg.jpg")</f>
        <v/>
      </c>
      <c r="G746" t="s"/>
      <c r="H746" t="s"/>
      <c r="I746" t="s"/>
      <c r="J746" t="n">
        <v>0</v>
      </c>
      <c r="K746" t="n">
        <v>0</v>
      </c>
      <c r="L746" t="n">
        <v>1</v>
      </c>
      <c r="M746" t="n">
        <v>0</v>
      </c>
    </row>
    <row r="747" spans="1:13">
      <c r="A747" s="1">
        <f>HYPERLINK("http://www.twitter.com/NathanBLawrence/status/992004854288666624", "992004854288666624")</f>
        <v/>
      </c>
      <c r="B747" s="2" t="n">
        <v>43223.48335648148</v>
      </c>
      <c r="C747" t="n">
        <v>0</v>
      </c>
      <c r="D747" t="n">
        <v>0</v>
      </c>
      <c r="E747" t="s">
        <v>758</v>
      </c>
      <c r="F747" t="s"/>
      <c r="G747" t="s"/>
      <c r="H747" t="s"/>
      <c r="I747" t="s"/>
      <c r="J747" t="n">
        <v>0</v>
      </c>
      <c r="K747" t="n">
        <v>0</v>
      </c>
      <c r="L747" t="n">
        <v>1</v>
      </c>
      <c r="M747" t="n">
        <v>0</v>
      </c>
    </row>
    <row r="748" spans="1:13">
      <c r="A748" s="1">
        <f>HYPERLINK("http://www.twitter.com/NathanBLawrence/status/992004390876860416", "992004390876860416")</f>
        <v/>
      </c>
      <c r="B748" s="2" t="n">
        <v>43223.48207175926</v>
      </c>
      <c r="C748" t="n">
        <v>0</v>
      </c>
      <c r="D748" t="n">
        <v>0</v>
      </c>
      <c r="E748" t="s">
        <v>759</v>
      </c>
      <c r="F748" t="s"/>
      <c r="G748" t="s"/>
      <c r="H748" t="s"/>
      <c r="I748" t="s"/>
      <c r="J748" t="n">
        <v>0</v>
      </c>
      <c r="K748" t="n">
        <v>0</v>
      </c>
      <c r="L748" t="n">
        <v>1</v>
      </c>
      <c r="M748" t="n">
        <v>0</v>
      </c>
    </row>
    <row r="749" spans="1:13">
      <c r="A749" s="1">
        <f>HYPERLINK("http://www.twitter.com/NathanBLawrence/status/992002995050172417", "992002995050172417")</f>
        <v/>
      </c>
      <c r="B749" s="2" t="n">
        <v>43223.47822916666</v>
      </c>
      <c r="C749" t="n">
        <v>10</v>
      </c>
      <c r="D749" t="n">
        <v>5</v>
      </c>
      <c r="E749" t="s">
        <v>760</v>
      </c>
      <c r="F749" t="s"/>
      <c r="G749" t="s"/>
      <c r="H749" t="s"/>
      <c r="I749" t="s"/>
      <c r="J749" t="n">
        <v>0.2732</v>
      </c>
      <c r="K749" t="n">
        <v>0</v>
      </c>
      <c r="L749" t="n">
        <v>0.923</v>
      </c>
      <c r="M749" t="n">
        <v>0.077</v>
      </c>
    </row>
    <row r="750" spans="1:13">
      <c r="A750" s="1">
        <f>HYPERLINK("http://www.twitter.com/NathanBLawrence/status/992002223151484928", "992002223151484928")</f>
        <v/>
      </c>
      <c r="B750" s="2" t="n">
        <v>43223.47609953704</v>
      </c>
      <c r="C750" t="n">
        <v>0</v>
      </c>
      <c r="D750" t="n">
        <v>0</v>
      </c>
      <c r="E750" t="s">
        <v>761</v>
      </c>
      <c r="F750" t="s"/>
      <c r="G750" t="s"/>
      <c r="H750" t="s"/>
      <c r="I750" t="s"/>
      <c r="J750" t="n">
        <v>-0.7667</v>
      </c>
      <c r="K750" t="n">
        <v>0.413</v>
      </c>
      <c r="L750" t="n">
        <v>0.587</v>
      </c>
      <c r="M750" t="n">
        <v>0</v>
      </c>
    </row>
    <row r="751" spans="1:13">
      <c r="A751" s="1">
        <f>HYPERLINK("http://www.twitter.com/NathanBLawrence/status/991888033396985858", "991888033396985858")</f>
        <v/>
      </c>
      <c r="B751" s="2" t="n">
        <v>43223.16099537037</v>
      </c>
      <c r="C751" t="n">
        <v>2</v>
      </c>
      <c r="D751" t="n">
        <v>0</v>
      </c>
      <c r="E751" t="s">
        <v>762</v>
      </c>
      <c r="F751" t="s"/>
      <c r="G751" t="s"/>
      <c r="H751" t="s"/>
      <c r="I751" t="s"/>
      <c r="J751" t="n">
        <v>-0.5983000000000001</v>
      </c>
      <c r="K751" t="n">
        <v>0.302</v>
      </c>
      <c r="L751" t="n">
        <v>0.698</v>
      </c>
      <c r="M751" t="n">
        <v>0</v>
      </c>
    </row>
    <row r="752" spans="1:13">
      <c r="A752" s="1">
        <f>HYPERLINK("http://www.twitter.com/NathanBLawrence/status/991870787119407105", "991870787119407105")</f>
        <v/>
      </c>
      <c r="B752" s="2" t="n">
        <v>43223.11340277778</v>
      </c>
      <c r="C752" t="n">
        <v>1</v>
      </c>
      <c r="D752" t="n">
        <v>0</v>
      </c>
      <c r="E752" t="s">
        <v>763</v>
      </c>
      <c r="F752" t="s"/>
      <c r="G752" t="s"/>
      <c r="H752" t="s"/>
      <c r="I752" t="s"/>
      <c r="J752" t="n">
        <v>0.6633</v>
      </c>
      <c r="K752" t="n">
        <v>0</v>
      </c>
      <c r="L752" t="n">
        <v>0.311</v>
      </c>
      <c r="M752" t="n">
        <v>0.6889999999999999</v>
      </c>
    </row>
    <row r="753" spans="1:13">
      <c r="A753" s="1">
        <f>HYPERLINK("http://www.twitter.com/NathanBLawrence/status/991867424046813184", "991867424046813184")</f>
        <v/>
      </c>
      <c r="B753" s="2" t="n">
        <v>43223.10412037037</v>
      </c>
      <c r="C753" t="n">
        <v>2</v>
      </c>
      <c r="D753" t="n">
        <v>0</v>
      </c>
      <c r="E753" t="s">
        <v>764</v>
      </c>
      <c r="F753" t="s"/>
      <c r="G753" t="s"/>
      <c r="H753" t="s"/>
      <c r="I753" t="s"/>
      <c r="J753" t="n">
        <v>0</v>
      </c>
      <c r="K753" t="n">
        <v>0</v>
      </c>
      <c r="L753" t="n">
        <v>1</v>
      </c>
      <c r="M753" t="n">
        <v>0</v>
      </c>
    </row>
    <row r="754" spans="1:13">
      <c r="A754" s="1">
        <f>HYPERLINK("http://www.twitter.com/NathanBLawrence/status/991864603645751296", "991864603645751296")</f>
        <v/>
      </c>
      <c r="B754" s="2" t="n">
        <v>43223.09634259259</v>
      </c>
      <c r="C754" t="n">
        <v>2</v>
      </c>
      <c r="D754" t="n">
        <v>0</v>
      </c>
      <c r="E754" t="s">
        <v>765</v>
      </c>
      <c r="F754" t="s"/>
      <c r="G754" t="s"/>
      <c r="H754" t="s"/>
      <c r="I754" t="s"/>
      <c r="J754" t="n">
        <v>0</v>
      </c>
      <c r="K754" t="n">
        <v>0</v>
      </c>
      <c r="L754" t="n">
        <v>1</v>
      </c>
      <c r="M754" t="n">
        <v>0</v>
      </c>
    </row>
    <row r="755" spans="1:13">
      <c r="A755" s="1">
        <f>HYPERLINK("http://www.twitter.com/NathanBLawrence/status/991835275931381760", "991835275931381760")</f>
        <v/>
      </c>
      <c r="B755" s="2" t="n">
        <v>43223.01540509259</v>
      </c>
      <c r="C755" t="n">
        <v>2</v>
      </c>
      <c r="D755" t="n">
        <v>0</v>
      </c>
      <c r="E755" t="s">
        <v>766</v>
      </c>
      <c r="F755" t="s"/>
      <c r="G755" t="s"/>
      <c r="H755" t="s"/>
      <c r="I755" t="s"/>
      <c r="J755" t="n">
        <v>0</v>
      </c>
      <c r="K755" t="n">
        <v>0</v>
      </c>
      <c r="L755" t="n">
        <v>1</v>
      </c>
      <c r="M755" t="n">
        <v>0</v>
      </c>
    </row>
    <row r="756" spans="1:13">
      <c r="A756" s="1">
        <f>HYPERLINK("http://www.twitter.com/NathanBLawrence/status/991833669072556033", "991833669072556033")</f>
        <v/>
      </c>
      <c r="B756" s="2" t="n">
        <v>43223.01097222222</v>
      </c>
      <c r="C756" t="n">
        <v>2</v>
      </c>
      <c r="D756" t="n">
        <v>0</v>
      </c>
      <c r="E756" t="s">
        <v>767</v>
      </c>
      <c r="F756" t="s"/>
      <c r="G756" t="s"/>
      <c r="H756" t="s"/>
      <c r="I756" t="s"/>
      <c r="J756" t="n">
        <v>0.4696</v>
      </c>
      <c r="K756" t="n">
        <v>0</v>
      </c>
      <c r="L756" t="n">
        <v>0.821</v>
      </c>
      <c r="M756" t="n">
        <v>0.179</v>
      </c>
    </row>
    <row r="757" spans="1:13">
      <c r="A757" s="1">
        <f>HYPERLINK("http://www.twitter.com/NathanBLawrence/status/991833418227965952", "991833418227965952")</f>
        <v/>
      </c>
      <c r="B757" s="2" t="n">
        <v>43223.01027777778</v>
      </c>
      <c r="C757" t="n">
        <v>2</v>
      </c>
      <c r="D757" t="n">
        <v>0</v>
      </c>
      <c r="E757" t="s">
        <v>768</v>
      </c>
      <c r="F757" t="s"/>
      <c r="G757" t="s"/>
      <c r="H757" t="s"/>
      <c r="I757" t="s"/>
      <c r="J757" t="n">
        <v>0.4767</v>
      </c>
      <c r="K757" t="n">
        <v>0</v>
      </c>
      <c r="L757" t="n">
        <v>0.868</v>
      </c>
      <c r="M757" t="n">
        <v>0.132</v>
      </c>
    </row>
    <row r="758" spans="1:13">
      <c r="A758" s="1">
        <f>HYPERLINK("http://www.twitter.com/NathanBLawrence/status/991828832540921856", "991828832540921856")</f>
        <v/>
      </c>
      <c r="B758" s="2" t="n">
        <v>43222.99762731481</v>
      </c>
      <c r="C758" t="n">
        <v>2</v>
      </c>
      <c r="D758" t="n">
        <v>0</v>
      </c>
      <c r="E758" t="s">
        <v>769</v>
      </c>
      <c r="F758" t="s"/>
      <c r="G758" t="s"/>
      <c r="H758" t="s"/>
      <c r="I758" t="s"/>
      <c r="J758" t="n">
        <v>0</v>
      </c>
      <c r="K758" t="n">
        <v>0</v>
      </c>
      <c r="L758" t="n">
        <v>1</v>
      </c>
      <c r="M758" t="n">
        <v>0</v>
      </c>
    </row>
    <row r="759" spans="1:13">
      <c r="A759" s="1">
        <f>HYPERLINK("http://www.twitter.com/NathanBLawrence/status/991828497302802433", "991828497302802433")</f>
        <v/>
      </c>
      <c r="B759" s="2" t="n">
        <v>43222.99670138889</v>
      </c>
      <c r="C759" t="n">
        <v>1</v>
      </c>
      <c r="D759" t="n">
        <v>0</v>
      </c>
      <c r="E759" t="s">
        <v>770</v>
      </c>
      <c r="F759" t="s"/>
      <c r="G759" t="s"/>
      <c r="H759" t="s"/>
      <c r="I759" t="s"/>
      <c r="J759" t="n">
        <v>0.4404</v>
      </c>
      <c r="K759" t="n">
        <v>0</v>
      </c>
      <c r="L759" t="n">
        <v>0.734</v>
      </c>
      <c r="M759" t="n">
        <v>0.266</v>
      </c>
    </row>
    <row r="760" spans="1:13">
      <c r="A760" s="1">
        <f>HYPERLINK("http://www.twitter.com/NathanBLawrence/status/991828328423313408", "991828328423313408")</f>
        <v/>
      </c>
      <c r="B760" s="2" t="n">
        <v>43222.99623842593</v>
      </c>
      <c r="C760" t="n">
        <v>1</v>
      </c>
      <c r="D760" t="n">
        <v>0</v>
      </c>
      <c r="E760" t="s">
        <v>771</v>
      </c>
      <c r="F760" t="s"/>
      <c r="G760" t="s"/>
      <c r="H760" t="s"/>
      <c r="I760" t="s"/>
      <c r="J760" t="n">
        <v>0.347</v>
      </c>
      <c r="K760" t="n">
        <v>0.061</v>
      </c>
      <c r="L760" t="n">
        <v>0.837</v>
      </c>
      <c r="M760" t="n">
        <v>0.102</v>
      </c>
    </row>
    <row r="761" spans="1:13">
      <c r="A761" s="1">
        <f>HYPERLINK("http://www.twitter.com/NathanBLawrence/status/991827716658917376", "991827716658917376")</f>
        <v/>
      </c>
      <c r="B761" s="2" t="n">
        <v>43222.99454861111</v>
      </c>
      <c r="C761" t="n">
        <v>2</v>
      </c>
      <c r="D761" t="n">
        <v>0</v>
      </c>
      <c r="E761" t="s">
        <v>772</v>
      </c>
      <c r="F761" t="s"/>
      <c r="G761" t="s"/>
      <c r="H761" t="s"/>
      <c r="I761" t="s"/>
      <c r="J761" t="n">
        <v>0.632</v>
      </c>
      <c r="K761" t="n">
        <v>0</v>
      </c>
      <c r="L761" t="n">
        <v>0.546</v>
      </c>
      <c r="M761" t="n">
        <v>0.454</v>
      </c>
    </row>
    <row r="762" spans="1:13">
      <c r="A762" s="1">
        <f>HYPERLINK("http://www.twitter.com/NathanBLawrence/status/991827035633995777", "991827035633995777")</f>
        <v/>
      </c>
      <c r="B762" s="2" t="n">
        <v>43222.99267361111</v>
      </c>
      <c r="C762" t="n">
        <v>4</v>
      </c>
      <c r="D762" t="n">
        <v>1</v>
      </c>
      <c r="E762" t="s">
        <v>773</v>
      </c>
      <c r="F762" t="s"/>
      <c r="G762" t="s"/>
      <c r="H762" t="s"/>
      <c r="I762" t="s"/>
      <c r="J762" t="n">
        <v>0.5251</v>
      </c>
      <c r="K762" t="n">
        <v>0</v>
      </c>
      <c r="L762" t="n">
        <v>0.849</v>
      </c>
      <c r="M762" t="n">
        <v>0.151</v>
      </c>
    </row>
    <row r="763" spans="1:13">
      <c r="A763" s="1">
        <f>HYPERLINK("http://www.twitter.com/NathanBLawrence/status/991825908381224965", "991825908381224965")</f>
        <v/>
      </c>
      <c r="B763" s="2" t="n">
        <v>43222.98956018518</v>
      </c>
      <c r="C763" t="n">
        <v>1</v>
      </c>
      <c r="D763" t="n">
        <v>1</v>
      </c>
      <c r="E763" t="s">
        <v>774</v>
      </c>
      <c r="F763" t="s"/>
      <c r="G763" t="s"/>
      <c r="H763" t="s"/>
      <c r="I763" t="s"/>
      <c r="J763" t="n">
        <v>0</v>
      </c>
      <c r="K763" t="n">
        <v>0</v>
      </c>
      <c r="L763" t="n">
        <v>1</v>
      </c>
      <c r="M763" t="n">
        <v>0</v>
      </c>
    </row>
    <row r="764" spans="1:13">
      <c r="A764" s="1">
        <f>HYPERLINK("http://www.twitter.com/NathanBLawrence/status/991825551672401921", "991825551672401921")</f>
        <v/>
      </c>
      <c r="B764" s="2" t="n">
        <v>43222.98857638889</v>
      </c>
      <c r="C764" t="n">
        <v>0</v>
      </c>
      <c r="D764" t="n">
        <v>0</v>
      </c>
      <c r="E764" t="s">
        <v>775</v>
      </c>
      <c r="F764" t="s"/>
      <c r="G764" t="s"/>
      <c r="H764" t="s"/>
      <c r="I764" t="s"/>
      <c r="J764" t="n">
        <v>0</v>
      </c>
      <c r="K764" t="n">
        <v>0</v>
      </c>
      <c r="L764" t="n">
        <v>1</v>
      </c>
      <c r="M764" t="n">
        <v>0</v>
      </c>
    </row>
    <row r="765" spans="1:13">
      <c r="A765" s="1">
        <f>HYPERLINK("http://www.twitter.com/NathanBLawrence/status/991823916871143424", "991823916871143424")</f>
        <v/>
      </c>
      <c r="B765" s="2" t="n">
        <v>43222.9840625</v>
      </c>
      <c r="C765" t="n">
        <v>1</v>
      </c>
      <c r="D765" t="n">
        <v>1</v>
      </c>
      <c r="E765" t="s">
        <v>776</v>
      </c>
      <c r="F765" t="s"/>
      <c r="G765" t="s"/>
      <c r="H765" t="s"/>
      <c r="I765" t="s"/>
      <c r="J765" t="n">
        <v>0</v>
      </c>
      <c r="K765" t="n">
        <v>0</v>
      </c>
      <c r="L765" t="n">
        <v>1</v>
      </c>
      <c r="M765" t="n">
        <v>0</v>
      </c>
    </row>
    <row r="766" spans="1:13">
      <c r="A766" s="1">
        <f>HYPERLINK("http://www.twitter.com/NathanBLawrence/status/991823382642642944", "991823382642642944")</f>
        <v/>
      </c>
      <c r="B766" s="2" t="n">
        <v>43222.98259259259</v>
      </c>
      <c r="C766" t="n">
        <v>4</v>
      </c>
      <c r="D766" t="n">
        <v>1</v>
      </c>
      <c r="E766" t="s">
        <v>777</v>
      </c>
      <c r="F766" t="s"/>
      <c r="G766" t="s"/>
      <c r="H766" t="s"/>
      <c r="I766" t="s"/>
      <c r="J766" t="n">
        <v>-0.7088</v>
      </c>
      <c r="K766" t="n">
        <v>0.308</v>
      </c>
      <c r="L766" t="n">
        <v>0.6919999999999999</v>
      </c>
      <c r="M766" t="n">
        <v>0</v>
      </c>
    </row>
    <row r="767" spans="1:13">
      <c r="A767" s="1">
        <f>HYPERLINK("http://www.twitter.com/NathanBLawrence/status/991822999505526785", "991822999505526785")</f>
        <v/>
      </c>
      <c r="B767" s="2" t="n">
        <v>43222.98152777777</v>
      </c>
      <c r="C767" t="n">
        <v>1</v>
      </c>
      <c r="D767" t="n">
        <v>1</v>
      </c>
      <c r="E767" t="s">
        <v>778</v>
      </c>
      <c r="F767" t="s"/>
      <c r="G767" t="s"/>
      <c r="H767" t="s"/>
      <c r="I767" t="s"/>
      <c r="J767" t="n">
        <v>0.6705</v>
      </c>
      <c r="K767" t="n">
        <v>0</v>
      </c>
      <c r="L767" t="n">
        <v>0.667</v>
      </c>
      <c r="M767" t="n">
        <v>0.333</v>
      </c>
    </row>
    <row r="768" spans="1:13">
      <c r="A768" s="1">
        <f>HYPERLINK("http://www.twitter.com/NathanBLawrence/status/991822508339941376", "991822508339941376")</f>
        <v/>
      </c>
      <c r="B768" s="2" t="n">
        <v>43222.98017361111</v>
      </c>
      <c r="C768" t="n">
        <v>8</v>
      </c>
      <c r="D768" t="n">
        <v>5</v>
      </c>
      <c r="E768" t="s">
        <v>779</v>
      </c>
      <c r="F768" t="s"/>
      <c r="G768" t="s"/>
      <c r="H768" t="s"/>
      <c r="I768" t="s"/>
      <c r="J768" t="n">
        <v>-0.0516</v>
      </c>
      <c r="K768" t="n">
        <v>0.062</v>
      </c>
      <c r="L768" t="n">
        <v>0.9379999999999999</v>
      </c>
      <c r="M768" t="n">
        <v>0</v>
      </c>
    </row>
    <row r="769" spans="1:13">
      <c r="A769" s="1">
        <f>HYPERLINK("http://www.twitter.com/NathanBLawrence/status/991821035896008704", "991821035896008704")</f>
        <v/>
      </c>
      <c r="B769" s="2" t="n">
        <v>43222.97611111111</v>
      </c>
      <c r="C769" t="n">
        <v>3</v>
      </c>
      <c r="D769" t="n">
        <v>0</v>
      </c>
      <c r="E769" t="s">
        <v>780</v>
      </c>
      <c r="F769" t="s"/>
      <c r="G769" t="s"/>
      <c r="H769" t="s"/>
      <c r="I769" t="s"/>
      <c r="J769" t="n">
        <v>-0.0258</v>
      </c>
      <c r="K769" t="n">
        <v>0.064</v>
      </c>
      <c r="L769" t="n">
        <v>0.9360000000000001</v>
      </c>
      <c r="M769" t="n">
        <v>0</v>
      </c>
    </row>
    <row r="770" spans="1:13">
      <c r="A770" s="1">
        <f>HYPERLINK("http://www.twitter.com/NathanBLawrence/status/991816731936067585", "991816731936067585")</f>
        <v/>
      </c>
      <c r="B770" s="2" t="n">
        <v>43222.96423611111</v>
      </c>
      <c r="C770" t="n">
        <v>6</v>
      </c>
      <c r="D770" t="n">
        <v>5</v>
      </c>
      <c r="E770" t="s">
        <v>781</v>
      </c>
      <c r="F770" t="s"/>
      <c r="G770" t="s"/>
      <c r="H770" t="s"/>
      <c r="I770" t="s"/>
      <c r="J770" t="n">
        <v>-0.5411</v>
      </c>
      <c r="K770" t="n">
        <v>0.189</v>
      </c>
      <c r="L770" t="n">
        <v>0.8110000000000001</v>
      </c>
      <c r="M770" t="n">
        <v>0</v>
      </c>
    </row>
    <row r="771" spans="1:13">
      <c r="A771" s="1">
        <f>HYPERLINK("http://www.twitter.com/NathanBLawrence/status/991815451360538625", "991815451360538625")</f>
        <v/>
      </c>
      <c r="B771" s="2" t="n">
        <v>43222.96070601852</v>
      </c>
      <c r="C771" t="n">
        <v>1</v>
      </c>
      <c r="D771" t="n">
        <v>0</v>
      </c>
      <c r="E771" t="s">
        <v>782</v>
      </c>
      <c r="F771">
        <f>HYPERLINK("http://pbs.twimg.com/media/DcOi5R9VMAA8tYm.jpg", "http://pbs.twimg.com/media/DcOi5R9VMAA8tYm.jpg")</f>
        <v/>
      </c>
      <c r="G771" t="s"/>
      <c r="H771" t="s"/>
      <c r="I771" t="s"/>
      <c r="J771" t="n">
        <v>0.6124000000000001</v>
      </c>
      <c r="K771" t="n">
        <v>0</v>
      </c>
      <c r="L771" t="n">
        <v>0.875</v>
      </c>
      <c r="M771" t="n">
        <v>0.125</v>
      </c>
    </row>
    <row r="772" spans="1:13">
      <c r="A772" s="1">
        <f>HYPERLINK("http://www.twitter.com/NathanBLawrence/status/991815068705837056", "991815068705837056")</f>
        <v/>
      </c>
      <c r="B772" s="2" t="n">
        <v>43222.95965277778</v>
      </c>
      <c r="C772" t="n">
        <v>1</v>
      </c>
      <c r="D772" t="n">
        <v>0</v>
      </c>
      <c r="E772" t="s">
        <v>783</v>
      </c>
      <c r="F772">
        <f>HYPERLINK("http://pbs.twimg.com/media/DcOiit7VAAA9pPX.jpg", "http://pbs.twimg.com/media/DcOiit7VAAA9pPX.jpg")</f>
        <v/>
      </c>
      <c r="G772" t="s"/>
      <c r="H772" t="s"/>
      <c r="I772" t="s"/>
      <c r="J772" t="n">
        <v>0.5859</v>
      </c>
      <c r="K772" t="n">
        <v>0</v>
      </c>
      <c r="L772" t="n">
        <v>0.5679999999999999</v>
      </c>
      <c r="M772" t="n">
        <v>0.432</v>
      </c>
    </row>
    <row r="773" spans="1:13">
      <c r="A773" s="1">
        <f>HYPERLINK("http://www.twitter.com/NathanBLawrence/status/991805283830845441", "991805283830845441")</f>
        <v/>
      </c>
      <c r="B773" s="2" t="n">
        <v>43222.93265046296</v>
      </c>
      <c r="C773" t="n">
        <v>3</v>
      </c>
      <c r="D773" t="n">
        <v>0</v>
      </c>
      <c r="E773" t="s">
        <v>784</v>
      </c>
      <c r="F773">
        <f>HYPERLINK("http://pbs.twimg.com/media/DcOZpB0V4AApwBH.jpg", "http://pbs.twimg.com/media/DcOZpB0V4AApwBH.jpg")</f>
        <v/>
      </c>
      <c r="G773" t="s"/>
      <c r="H773" t="s"/>
      <c r="I773" t="s"/>
      <c r="J773" t="n">
        <v>-0.6571</v>
      </c>
      <c r="K773" t="n">
        <v>0.226</v>
      </c>
      <c r="L773" t="n">
        <v>0.774</v>
      </c>
      <c r="M773" t="n">
        <v>0</v>
      </c>
    </row>
    <row r="774" spans="1:13">
      <c r="A774" s="1">
        <f>HYPERLINK("http://www.twitter.com/NathanBLawrence/status/991804466470051843", "991804466470051843")</f>
        <v/>
      </c>
      <c r="B774" s="2" t="n">
        <v>43222.93039351852</v>
      </c>
      <c r="C774" t="n">
        <v>0</v>
      </c>
      <c r="D774" t="n">
        <v>0</v>
      </c>
      <c r="E774" t="s">
        <v>785</v>
      </c>
      <c r="F774" t="s"/>
      <c r="G774" t="s"/>
      <c r="H774" t="s"/>
      <c r="I774" t="s"/>
      <c r="J774" t="n">
        <v>0</v>
      </c>
      <c r="K774" t="n">
        <v>0</v>
      </c>
      <c r="L774" t="n">
        <v>1</v>
      </c>
      <c r="M774" t="n">
        <v>0</v>
      </c>
    </row>
    <row r="775" spans="1:13">
      <c r="A775" s="1">
        <f>HYPERLINK("http://www.twitter.com/NathanBLawrence/status/991797751917793281", "991797751917793281")</f>
        <v/>
      </c>
      <c r="B775" s="2" t="n">
        <v>43222.91186342593</v>
      </c>
      <c r="C775" t="n">
        <v>2</v>
      </c>
      <c r="D775" t="n">
        <v>0</v>
      </c>
      <c r="E775" t="s">
        <v>786</v>
      </c>
      <c r="F775" t="s"/>
      <c r="G775" t="s"/>
      <c r="H775" t="s"/>
      <c r="I775" t="s"/>
      <c r="J775" t="n">
        <v>0.2732</v>
      </c>
      <c r="K775" t="n">
        <v>0</v>
      </c>
      <c r="L775" t="n">
        <v>0.84</v>
      </c>
      <c r="M775" t="n">
        <v>0.16</v>
      </c>
    </row>
    <row r="776" spans="1:13">
      <c r="A776" s="1">
        <f>HYPERLINK("http://www.twitter.com/NathanBLawrence/status/991797665108283392", "991797665108283392")</f>
        <v/>
      </c>
      <c r="B776" s="2" t="n">
        <v>43222.91162037037</v>
      </c>
      <c r="C776" t="n">
        <v>3</v>
      </c>
      <c r="D776" t="n">
        <v>0</v>
      </c>
      <c r="E776" t="s">
        <v>787</v>
      </c>
      <c r="F776">
        <f>HYPERLINK("http://pbs.twimg.com/media/DcOStp_WkAAtBYb.jpg", "http://pbs.twimg.com/media/DcOStp_WkAAtBYb.jpg")</f>
        <v/>
      </c>
      <c r="G776" t="s"/>
      <c r="H776" t="s"/>
      <c r="I776" t="s"/>
      <c r="J776" t="n">
        <v>0.4753</v>
      </c>
      <c r="K776" t="n">
        <v>0</v>
      </c>
      <c r="L776" t="n">
        <v>0.8080000000000001</v>
      </c>
      <c r="M776" t="n">
        <v>0.192</v>
      </c>
    </row>
    <row r="777" spans="1:13">
      <c r="A777" s="1">
        <f>HYPERLINK("http://www.twitter.com/NathanBLawrence/status/991794298415919104", "991794298415919104")</f>
        <v/>
      </c>
      <c r="B777" s="2" t="n">
        <v>43222.90233796297</v>
      </c>
      <c r="C777" t="n">
        <v>5</v>
      </c>
      <c r="D777" t="n">
        <v>0</v>
      </c>
      <c r="E777" t="s">
        <v>788</v>
      </c>
      <c r="F777">
        <f>HYPERLINK("http://pbs.twimg.com/media/DcOPlZ1XkAMUhH5.jpg", "http://pbs.twimg.com/media/DcOPlZ1XkAMUhH5.jpg")</f>
        <v/>
      </c>
      <c r="G777" t="s"/>
      <c r="H777" t="s"/>
      <c r="I777" t="s"/>
      <c r="J777" t="n">
        <v>0</v>
      </c>
      <c r="K777" t="n">
        <v>0</v>
      </c>
      <c r="L777" t="n">
        <v>1</v>
      </c>
      <c r="M777" t="n">
        <v>0</v>
      </c>
    </row>
    <row r="778" spans="1:13">
      <c r="A778" s="1">
        <f>HYPERLINK("http://www.twitter.com/NathanBLawrence/status/991793555009138690", "991793555009138690")</f>
        <v/>
      </c>
      <c r="B778" s="2" t="n">
        <v>43222.90027777778</v>
      </c>
      <c r="C778" t="n">
        <v>0</v>
      </c>
      <c r="D778" t="n">
        <v>0</v>
      </c>
      <c r="E778" t="s">
        <v>789</v>
      </c>
      <c r="F778" t="s"/>
      <c r="G778" t="s"/>
      <c r="H778" t="s"/>
      <c r="I778" t="s"/>
      <c r="J778" t="n">
        <v>0</v>
      </c>
      <c r="K778" t="n">
        <v>0</v>
      </c>
      <c r="L778" t="n">
        <v>1</v>
      </c>
      <c r="M778" t="n">
        <v>0</v>
      </c>
    </row>
    <row r="779" spans="1:13">
      <c r="A779" s="1">
        <f>HYPERLINK("http://www.twitter.com/NathanBLawrence/status/991793408351105024", "991793408351105024")</f>
        <v/>
      </c>
      <c r="B779" s="2" t="n">
        <v>43222.89987268519</v>
      </c>
      <c r="C779" t="n">
        <v>2</v>
      </c>
      <c r="D779" t="n">
        <v>0</v>
      </c>
      <c r="E779" t="s">
        <v>790</v>
      </c>
      <c r="F779">
        <f>HYPERLINK("http://pbs.twimg.com/media/DcOO1ytVQAA0dV8.jpg", "http://pbs.twimg.com/media/DcOO1ytVQAA0dV8.jpg")</f>
        <v/>
      </c>
      <c r="G779" t="s"/>
      <c r="H779" t="s"/>
      <c r="I779" t="s"/>
      <c r="J779" t="n">
        <v>0</v>
      </c>
      <c r="K779" t="n">
        <v>0</v>
      </c>
      <c r="L779" t="n">
        <v>1</v>
      </c>
      <c r="M779" t="n">
        <v>0</v>
      </c>
    </row>
    <row r="780" spans="1:13">
      <c r="A780" s="1">
        <f>HYPERLINK("http://www.twitter.com/NathanBLawrence/status/991772702242418692", "991772702242418692")</f>
        <v/>
      </c>
      <c r="B780" s="2" t="n">
        <v>43222.84274305555</v>
      </c>
      <c r="C780" t="n">
        <v>1</v>
      </c>
      <c r="D780" t="n">
        <v>0</v>
      </c>
      <c r="E780" t="s">
        <v>791</v>
      </c>
      <c r="F780" t="s"/>
      <c r="G780" t="s"/>
      <c r="H780" t="s"/>
      <c r="I780" t="s"/>
      <c r="J780" t="n">
        <v>0</v>
      </c>
      <c r="K780" t="n">
        <v>0</v>
      </c>
      <c r="L780" t="n">
        <v>1</v>
      </c>
      <c r="M780" t="n">
        <v>0</v>
      </c>
    </row>
    <row r="781" spans="1:13">
      <c r="A781" s="1">
        <f>HYPERLINK("http://www.twitter.com/NathanBLawrence/status/991772629718708225", "991772629718708225")</f>
        <v/>
      </c>
      <c r="B781" s="2" t="n">
        <v>43222.84253472222</v>
      </c>
      <c r="C781" t="n">
        <v>0</v>
      </c>
      <c r="D781" t="n">
        <v>11</v>
      </c>
      <c r="E781" t="s">
        <v>792</v>
      </c>
      <c r="F781" t="s"/>
      <c r="G781" t="s"/>
      <c r="H781" t="s"/>
      <c r="I781" t="s"/>
      <c r="J781" t="n">
        <v>0</v>
      </c>
      <c r="K781" t="n">
        <v>0</v>
      </c>
      <c r="L781" t="n">
        <v>1</v>
      </c>
      <c r="M781" t="n">
        <v>0</v>
      </c>
    </row>
    <row r="782" spans="1:13">
      <c r="A782" s="1">
        <f>HYPERLINK("http://www.twitter.com/NathanBLawrence/status/991772384100274176", "991772384100274176")</f>
        <v/>
      </c>
      <c r="B782" s="2" t="n">
        <v>43222.84186342593</v>
      </c>
      <c r="C782" t="n">
        <v>0</v>
      </c>
      <c r="D782" t="n">
        <v>81</v>
      </c>
      <c r="E782" t="s">
        <v>793</v>
      </c>
      <c r="F782">
        <f>HYPERLINK("http://pbs.twimg.com/media/DcILChGWAAIcWuf.jpg", "http://pbs.twimg.com/media/DcILChGWAAIcWuf.jpg")</f>
        <v/>
      </c>
      <c r="G782" t="s"/>
      <c r="H782" t="s"/>
      <c r="I782" t="s"/>
      <c r="J782" t="n">
        <v>0</v>
      </c>
      <c r="K782" t="n">
        <v>0</v>
      </c>
      <c r="L782" t="n">
        <v>1</v>
      </c>
      <c r="M782" t="n">
        <v>0</v>
      </c>
    </row>
    <row r="783" spans="1:13">
      <c r="A783" s="1">
        <f>HYPERLINK("http://www.twitter.com/NathanBLawrence/status/991772323350007808", "991772323350007808")</f>
        <v/>
      </c>
      <c r="B783" s="2" t="n">
        <v>43222.84168981481</v>
      </c>
      <c r="C783" t="n">
        <v>0</v>
      </c>
      <c r="D783" t="n">
        <v>0</v>
      </c>
      <c r="E783" t="s">
        <v>794</v>
      </c>
      <c r="F783" t="s"/>
      <c r="G783" t="s"/>
      <c r="H783" t="s"/>
      <c r="I783" t="s"/>
      <c r="J783" t="n">
        <v>-0.6705</v>
      </c>
      <c r="K783" t="n">
        <v>0.193</v>
      </c>
      <c r="L783" t="n">
        <v>0.8070000000000001</v>
      </c>
      <c r="M783" t="n">
        <v>0</v>
      </c>
    </row>
    <row r="784" spans="1:13">
      <c r="A784" s="1">
        <f>HYPERLINK("http://www.twitter.com/NathanBLawrence/status/991771211620372482", "991771211620372482")</f>
        <v/>
      </c>
      <c r="B784" s="2" t="n">
        <v>43222.83862268519</v>
      </c>
      <c r="C784" t="n">
        <v>3</v>
      </c>
      <c r="D784" t="n">
        <v>1</v>
      </c>
      <c r="E784" t="s">
        <v>795</v>
      </c>
      <c r="F784" t="s"/>
      <c r="G784" t="s"/>
      <c r="H784" t="s"/>
      <c r="I784" t="s"/>
      <c r="J784" t="n">
        <v>0</v>
      </c>
      <c r="K784" t="n">
        <v>0</v>
      </c>
      <c r="L784" t="n">
        <v>1</v>
      </c>
      <c r="M784" t="n">
        <v>0</v>
      </c>
    </row>
    <row r="785" spans="1:13">
      <c r="A785" s="1">
        <f>HYPERLINK("http://www.twitter.com/NathanBLawrence/status/991770403419967500", "991770403419967500")</f>
        <v/>
      </c>
      <c r="B785" s="2" t="n">
        <v>43222.83640046296</v>
      </c>
      <c r="C785" t="n">
        <v>1</v>
      </c>
      <c r="D785" t="n">
        <v>0</v>
      </c>
      <c r="E785" t="s">
        <v>796</v>
      </c>
      <c r="F785" t="s"/>
      <c r="G785" t="s"/>
      <c r="H785" t="s"/>
      <c r="I785" t="s"/>
      <c r="J785" t="n">
        <v>0.4404</v>
      </c>
      <c r="K785" t="n">
        <v>0</v>
      </c>
      <c r="L785" t="n">
        <v>0.58</v>
      </c>
      <c r="M785" t="n">
        <v>0.42</v>
      </c>
    </row>
    <row r="786" spans="1:13">
      <c r="A786" s="1">
        <f>HYPERLINK("http://www.twitter.com/NathanBLawrence/status/991770298327490560", "991770298327490560")</f>
        <v/>
      </c>
      <c r="B786" s="2" t="n">
        <v>43222.83609953704</v>
      </c>
      <c r="C786" t="n">
        <v>3</v>
      </c>
      <c r="D786" t="n">
        <v>1</v>
      </c>
      <c r="E786" t="s">
        <v>797</v>
      </c>
      <c r="F786" t="s"/>
      <c r="G786" t="s"/>
      <c r="H786" t="s"/>
      <c r="I786" t="s"/>
      <c r="J786" t="n">
        <v>-0.8074</v>
      </c>
      <c r="K786" t="n">
        <v>0.509</v>
      </c>
      <c r="L786" t="n">
        <v>0.491</v>
      </c>
      <c r="M786" t="n">
        <v>0</v>
      </c>
    </row>
    <row r="787" spans="1:13">
      <c r="A787" s="1">
        <f>HYPERLINK("http://www.twitter.com/NathanBLawrence/status/991770107243319296", "991770107243319296")</f>
        <v/>
      </c>
      <c r="B787" s="2" t="n">
        <v>43222.83557870371</v>
      </c>
      <c r="C787" t="n">
        <v>0</v>
      </c>
      <c r="D787" t="n">
        <v>25</v>
      </c>
      <c r="E787" t="s">
        <v>798</v>
      </c>
      <c r="F787" t="s"/>
      <c r="G787" t="s"/>
      <c r="H787" t="s"/>
      <c r="I787" t="s"/>
      <c r="J787" t="n">
        <v>0.4137</v>
      </c>
      <c r="K787" t="n">
        <v>0.121</v>
      </c>
      <c r="L787" t="n">
        <v>0.658</v>
      </c>
      <c r="M787" t="n">
        <v>0.221</v>
      </c>
    </row>
    <row r="788" spans="1:13">
      <c r="A788" s="1">
        <f>HYPERLINK("http://www.twitter.com/NathanBLawrence/status/991769964074995712", "991769964074995712")</f>
        <v/>
      </c>
      <c r="B788" s="2" t="n">
        <v>43222.83518518518</v>
      </c>
      <c r="C788" t="n">
        <v>0</v>
      </c>
      <c r="D788" t="n">
        <v>14</v>
      </c>
      <c r="E788" t="s">
        <v>799</v>
      </c>
      <c r="F788">
        <f>HYPERLINK("http://pbs.twimg.com/media/DcMjTqrUQAAkxoj.jpg", "http://pbs.twimg.com/media/DcMjTqrUQAAkxoj.jpg")</f>
        <v/>
      </c>
      <c r="G788" t="s"/>
      <c r="H788" t="s"/>
      <c r="I788" t="s"/>
      <c r="J788" t="n">
        <v>-0.1027</v>
      </c>
      <c r="K788" t="n">
        <v>0.116</v>
      </c>
      <c r="L788" t="n">
        <v>0.784</v>
      </c>
      <c r="M788" t="n">
        <v>0.101</v>
      </c>
    </row>
    <row r="789" spans="1:13">
      <c r="A789" s="1">
        <f>HYPERLINK("http://www.twitter.com/NathanBLawrence/status/991769861515890689", "991769861515890689")</f>
        <v/>
      </c>
      <c r="B789" s="2" t="n">
        <v>43222.83489583333</v>
      </c>
      <c r="C789" t="n">
        <v>0</v>
      </c>
      <c r="D789" t="n">
        <v>3514</v>
      </c>
      <c r="E789" t="s">
        <v>800</v>
      </c>
      <c r="F789">
        <f>HYPERLINK("http://pbs.twimg.com/media/DcNS0nLW4AAYppR.jpg", "http://pbs.twimg.com/media/DcNS0nLW4AAYppR.jpg")</f>
        <v/>
      </c>
      <c r="G789">
        <f>HYPERLINK("http://pbs.twimg.com/media/DcNS1b8W4AAHJEq.jpg", "http://pbs.twimg.com/media/DcNS1b8W4AAHJEq.jpg")</f>
        <v/>
      </c>
      <c r="H789" t="s"/>
      <c r="I789" t="s"/>
      <c r="J789" t="n">
        <v>0</v>
      </c>
      <c r="K789" t="n">
        <v>0</v>
      </c>
      <c r="L789" t="n">
        <v>1</v>
      </c>
      <c r="M789" t="n">
        <v>0</v>
      </c>
    </row>
    <row r="790" spans="1:13">
      <c r="A790" s="1">
        <f>HYPERLINK("http://www.twitter.com/NathanBLawrence/status/991766886894505985", "991766886894505985")</f>
        <v/>
      </c>
      <c r="B790" s="2" t="n">
        <v>43222.82668981481</v>
      </c>
      <c r="C790" t="n">
        <v>1</v>
      </c>
      <c r="D790" t="n">
        <v>0</v>
      </c>
      <c r="E790" t="s">
        <v>801</v>
      </c>
      <c r="F790" t="s"/>
      <c r="G790" t="s"/>
      <c r="H790" t="s"/>
      <c r="I790" t="s"/>
      <c r="J790" t="n">
        <v>0.5473</v>
      </c>
      <c r="K790" t="n">
        <v>0</v>
      </c>
      <c r="L790" t="n">
        <v>0.361</v>
      </c>
      <c r="M790" t="n">
        <v>0.639</v>
      </c>
    </row>
    <row r="791" spans="1:13">
      <c r="A791" s="1">
        <f>HYPERLINK("http://www.twitter.com/NathanBLawrence/status/991766652667785216", "991766652667785216")</f>
        <v/>
      </c>
      <c r="B791" s="2" t="n">
        <v>43222.82604166667</v>
      </c>
      <c r="C791" t="n">
        <v>1</v>
      </c>
      <c r="D791" t="n">
        <v>0</v>
      </c>
      <c r="E791" t="s">
        <v>802</v>
      </c>
      <c r="F791" t="s"/>
      <c r="G791" t="s"/>
      <c r="H791" t="s"/>
      <c r="I791" t="s"/>
      <c r="J791" t="n">
        <v>0.0772</v>
      </c>
      <c r="K791" t="n">
        <v>0</v>
      </c>
      <c r="L791" t="n">
        <v>0.794</v>
      </c>
      <c r="M791" t="n">
        <v>0.206</v>
      </c>
    </row>
    <row r="792" spans="1:13">
      <c r="A792" s="1">
        <f>HYPERLINK("http://www.twitter.com/NathanBLawrence/status/991766391995977729", "991766391995977729")</f>
        <v/>
      </c>
      <c r="B792" s="2" t="n">
        <v>43222.82532407407</v>
      </c>
      <c r="C792" t="n">
        <v>5</v>
      </c>
      <c r="D792" t="n">
        <v>1</v>
      </c>
      <c r="E792" t="s">
        <v>803</v>
      </c>
      <c r="F792" t="s"/>
      <c r="G792" t="s"/>
      <c r="H792" t="s"/>
      <c r="I792" t="s"/>
      <c r="J792" t="n">
        <v>0.4588</v>
      </c>
      <c r="K792" t="n">
        <v>0</v>
      </c>
      <c r="L792" t="n">
        <v>0.769</v>
      </c>
      <c r="M792" t="n">
        <v>0.231</v>
      </c>
    </row>
    <row r="793" spans="1:13">
      <c r="A793" s="1">
        <f>HYPERLINK("http://www.twitter.com/NathanBLawrence/status/991753740154699777", "991753740154699777")</f>
        <v/>
      </c>
      <c r="B793" s="2" t="n">
        <v>43222.79041666666</v>
      </c>
      <c r="C793" t="n">
        <v>1</v>
      </c>
      <c r="D793" t="n">
        <v>0</v>
      </c>
      <c r="E793" t="s">
        <v>804</v>
      </c>
      <c r="F793" t="s"/>
      <c r="G793" t="s"/>
      <c r="H793" t="s"/>
      <c r="I793" t="s"/>
      <c r="J793" t="n">
        <v>0</v>
      </c>
      <c r="K793" t="n">
        <v>0</v>
      </c>
      <c r="L793" t="n">
        <v>1</v>
      </c>
      <c r="M793" t="n">
        <v>0</v>
      </c>
    </row>
    <row r="794" spans="1:13">
      <c r="A794" s="1">
        <f>HYPERLINK("http://www.twitter.com/NathanBLawrence/status/991753343147048960", "991753343147048960")</f>
        <v/>
      </c>
      <c r="B794" s="2" t="n">
        <v>43222.78931712963</v>
      </c>
      <c r="C794" t="n">
        <v>0</v>
      </c>
      <c r="D794" t="n">
        <v>0</v>
      </c>
      <c r="E794" t="s">
        <v>805</v>
      </c>
      <c r="F794" t="s"/>
      <c r="G794" t="s"/>
      <c r="H794" t="s"/>
      <c r="I794" t="s"/>
      <c r="J794" t="n">
        <v>0</v>
      </c>
      <c r="K794" t="n">
        <v>0</v>
      </c>
      <c r="L794" t="n">
        <v>1</v>
      </c>
      <c r="M794" t="n">
        <v>0</v>
      </c>
    </row>
    <row r="795" spans="1:13">
      <c r="A795" s="1">
        <f>HYPERLINK("http://www.twitter.com/NathanBLawrence/status/991752866393214977", "991752866393214977")</f>
        <v/>
      </c>
      <c r="B795" s="2" t="n">
        <v>43222.78799768518</v>
      </c>
      <c r="C795" t="n">
        <v>2</v>
      </c>
      <c r="D795" t="n">
        <v>0</v>
      </c>
      <c r="E795" t="s">
        <v>806</v>
      </c>
      <c r="F795" t="s"/>
      <c r="G795" t="s"/>
      <c r="H795" t="s"/>
      <c r="I795" t="s"/>
      <c r="J795" t="n">
        <v>0.5719</v>
      </c>
      <c r="K795" t="n">
        <v>0</v>
      </c>
      <c r="L795" t="n">
        <v>0.6840000000000001</v>
      </c>
      <c r="M795" t="n">
        <v>0.316</v>
      </c>
    </row>
    <row r="796" spans="1:13">
      <c r="A796" s="1">
        <f>HYPERLINK("http://www.twitter.com/NathanBLawrence/status/991752653251268608", "991752653251268608")</f>
        <v/>
      </c>
      <c r="B796" s="2" t="n">
        <v>43222.78741898148</v>
      </c>
      <c r="C796" t="n">
        <v>3</v>
      </c>
      <c r="D796" t="n">
        <v>0</v>
      </c>
      <c r="E796" t="s">
        <v>807</v>
      </c>
      <c r="F796" t="s"/>
      <c r="G796" t="s"/>
      <c r="H796" t="s"/>
      <c r="I796" t="s"/>
      <c r="J796" t="n">
        <v>-0.25</v>
      </c>
      <c r="K796" t="n">
        <v>0.167</v>
      </c>
      <c r="L796" t="n">
        <v>0.833</v>
      </c>
      <c r="M796" t="n">
        <v>0</v>
      </c>
    </row>
    <row r="797" spans="1:13">
      <c r="A797" s="1">
        <f>HYPERLINK("http://www.twitter.com/NathanBLawrence/status/991751789191057408", "991751789191057408")</f>
        <v/>
      </c>
      <c r="B797" s="2" t="n">
        <v>43222.78503472222</v>
      </c>
      <c r="C797" t="n">
        <v>1</v>
      </c>
      <c r="D797" t="n">
        <v>0</v>
      </c>
      <c r="E797" t="s">
        <v>808</v>
      </c>
      <c r="F797" t="s"/>
      <c r="G797" t="s"/>
      <c r="H797" t="s"/>
      <c r="I797" t="s"/>
      <c r="J797" t="n">
        <v>-0.1027</v>
      </c>
      <c r="K797" t="n">
        <v>0.275</v>
      </c>
      <c r="L797" t="n">
        <v>0.49</v>
      </c>
      <c r="M797" t="n">
        <v>0.235</v>
      </c>
    </row>
    <row r="798" spans="1:13">
      <c r="A798" s="1">
        <f>HYPERLINK("http://www.twitter.com/NathanBLawrence/status/991751668076335104", "991751668076335104")</f>
        <v/>
      </c>
      <c r="B798" s="2" t="n">
        <v>43222.78469907407</v>
      </c>
      <c r="C798" t="n">
        <v>0</v>
      </c>
      <c r="D798" t="n">
        <v>6</v>
      </c>
      <c r="E798" t="s">
        <v>809</v>
      </c>
      <c r="F798" t="s"/>
      <c r="G798" t="s"/>
      <c r="H798" t="s"/>
      <c r="I798" t="s"/>
      <c r="J798" t="n">
        <v>0</v>
      </c>
      <c r="K798" t="n">
        <v>0</v>
      </c>
      <c r="L798" t="n">
        <v>1</v>
      </c>
      <c r="M798" t="n">
        <v>0</v>
      </c>
    </row>
    <row r="799" spans="1:13">
      <c r="A799" s="1">
        <f>HYPERLINK("http://www.twitter.com/NathanBLawrence/status/991748611020124160", "991748611020124160")</f>
        <v/>
      </c>
      <c r="B799" s="2" t="n">
        <v>43222.77626157407</v>
      </c>
      <c r="C799" t="n">
        <v>4</v>
      </c>
      <c r="D799" t="n">
        <v>1</v>
      </c>
      <c r="E799" t="s">
        <v>810</v>
      </c>
      <c r="F799" t="s"/>
      <c r="G799" t="s"/>
      <c r="H799" t="s"/>
      <c r="I799" t="s"/>
      <c r="J799" t="n">
        <v>0.9004</v>
      </c>
      <c r="K799" t="n">
        <v>0</v>
      </c>
      <c r="L799" t="n">
        <v>0.586</v>
      </c>
      <c r="M799" t="n">
        <v>0.414</v>
      </c>
    </row>
    <row r="800" spans="1:13">
      <c r="A800" s="1">
        <f>HYPERLINK("http://www.twitter.com/NathanBLawrence/status/991741304089477120", "991741304089477120")</f>
        <v/>
      </c>
      <c r="B800" s="2" t="n">
        <v>43222.75609953704</v>
      </c>
      <c r="C800" t="n">
        <v>0</v>
      </c>
      <c r="D800" t="n">
        <v>0</v>
      </c>
      <c r="E800" t="s">
        <v>811</v>
      </c>
      <c r="F800" t="s"/>
      <c r="G800" t="s"/>
      <c r="H800" t="s"/>
      <c r="I800" t="s"/>
      <c r="J800" t="n">
        <v>0</v>
      </c>
      <c r="K800" t="n">
        <v>0</v>
      </c>
      <c r="L800" t="n">
        <v>1</v>
      </c>
      <c r="M800" t="n">
        <v>0</v>
      </c>
    </row>
    <row r="801" spans="1:13">
      <c r="A801" s="1">
        <f>HYPERLINK("http://www.twitter.com/NathanBLawrence/status/991740645969743873", "991740645969743873")</f>
        <v/>
      </c>
      <c r="B801" s="2" t="n">
        <v>43222.7542824074</v>
      </c>
      <c r="C801" t="n">
        <v>2</v>
      </c>
      <c r="D801" t="n">
        <v>0</v>
      </c>
      <c r="E801" t="s">
        <v>812</v>
      </c>
      <c r="F801" t="s"/>
      <c r="G801" t="s"/>
      <c r="H801" t="s"/>
      <c r="I801" t="s"/>
      <c r="J801" t="n">
        <v>0.4854</v>
      </c>
      <c r="K801" t="n">
        <v>0</v>
      </c>
      <c r="L801" t="n">
        <v>0.794</v>
      </c>
      <c r="M801" t="n">
        <v>0.206</v>
      </c>
    </row>
    <row r="802" spans="1:13">
      <c r="A802" s="1">
        <f>HYPERLINK("http://www.twitter.com/NathanBLawrence/status/991739900709031936", "991739900709031936")</f>
        <v/>
      </c>
      <c r="B802" s="2" t="n">
        <v>43222.75222222223</v>
      </c>
      <c r="C802" t="n">
        <v>3</v>
      </c>
      <c r="D802" t="n">
        <v>0</v>
      </c>
      <c r="E802" t="s">
        <v>813</v>
      </c>
      <c r="F802" t="s"/>
      <c r="G802" t="s"/>
      <c r="H802" t="s"/>
      <c r="I802" t="s"/>
      <c r="J802" t="n">
        <v>0</v>
      </c>
      <c r="K802" t="n">
        <v>0</v>
      </c>
      <c r="L802" t="n">
        <v>1</v>
      </c>
      <c r="M802" t="n">
        <v>0</v>
      </c>
    </row>
    <row r="803" spans="1:13">
      <c r="A803" s="1">
        <f>HYPERLINK("http://www.twitter.com/NathanBLawrence/status/991739759956553728", "991739759956553728")</f>
        <v/>
      </c>
      <c r="B803" s="2" t="n">
        <v>43222.75184027778</v>
      </c>
      <c r="C803" t="n">
        <v>0</v>
      </c>
      <c r="D803" t="n">
        <v>0</v>
      </c>
      <c r="E803" t="s">
        <v>814</v>
      </c>
      <c r="F803" t="s"/>
      <c r="G803" t="s"/>
      <c r="H803" t="s"/>
      <c r="I803" t="s"/>
      <c r="J803" t="n">
        <v>0</v>
      </c>
      <c r="K803" t="n">
        <v>0</v>
      </c>
      <c r="L803" t="n">
        <v>1</v>
      </c>
      <c r="M803" t="n">
        <v>0</v>
      </c>
    </row>
    <row r="804" spans="1:13">
      <c r="A804" s="1">
        <f>HYPERLINK("http://www.twitter.com/NathanBLawrence/status/991732218614738944", "991732218614738944")</f>
        <v/>
      </c>
      <c r="B804" s="2" t="n">
        <v>43222.73103009259</v>
      </c>
      <c r="C804" t="n">
        <v>0</v>
      </c>
      <c r="D804" t="n">
        <v>2</v>
      </c>
      <c r="E804" t="s">
        <v>815</v>
      </c>
      <c r="F804" t="s"/>
      <c r="G804" t="s"/>
      <c r="H804" t="s"/>
      <c r="I804" t="s"/>
      <c r="J804" t="n">
        <v>0</v>
      </c>
      <c r="K804" t="n">
        <v>0</v>
      </c>
      <c r="L804" t="n">
        <v>1</v>
      </c>
      <c r="M804" t="n">
        <v>0</v>
      </c>
    </row>
    <row r="805" spans="1:13">
      <c r="A805" s="1">
        <f>HYPERLINK("http://www.twitter.com/NathanBLawrence/status/991726655042392066", "991726655042392066")</f>
        <v/>
      </c>
      <c r="B805" s="2" t="n">
        <v>43222.7156712963</v>
      </c>
      <c r="C805" t="n">
        <v>0</v>
      </c>
      <c r="D805" t="n">
        <v>0</v>
      </c>
      <c r="E805" t="s">
        <v>816</v>
      </c>
      <c r="F805" t="s"/>
      <c r="G805" t="s"/>
      <c r="H805" t="s"/>
      <c r="I805" t="s"/>
      <c r="J805" t="n">
        <v>0</v>
      </c>
      <c r="K805" t="n">
        <v>0</v>
      </c>
      <c r="L805" t="n">
        <v>1</v>
      </c>
      <c r="M805" t="n">
        <v>0</v>
      </c>
    </row>
    <row r="806" spans="1:13">
      <c r="A806" s="1">
        <f>HYPERLINK("http://www.twitter.com/NathanBLawrence/status/991726297494839301", "991726297494839301")</f>
        <v/>
      </c>
      <c r="B806" s="2" t="n">
        <v>43222.7146875</v>
      </c>
      <c r="C806" t="n">
        <v>6</v>
      </c>
      <c r="D806" t="n">
        <v>0</v>
      </c>
      <c r="E806" t="s">
        <v>817</v>
      </c>
      <c r="F806" t="s"/>
      <c r="G806" t="s"/>
      <c r="H806" t="s"/>
      <c r="I806" t="s"/>
      <c r="J806" t="n">
        <v>0</v>
      </c>
      <c r="K806" t="n">
        <v>0</v>
      </c>
      <c r="L806" t="n">
        <v>1</v>
      </c>
      <c r="M806" t="n">
        <v>0</v>
      </c>
    </row>
    <row r="807" spans="1:13">
      <c r="A807" s="1">
        <f>HYPERLINK("http://www.twitter.com/NathanBLawrence/status/991694368733048832", "991694368733048832")</f>
        <v/>
      </c>
      <c r="B807" s="2" t="n">
        <v>43222.62657407407</v>
      </c>
      <c r="C807" t="n">
        <v>1</v>
      </c>
      <c r="D807" t="n">
        <v>0</v>
      </c>
      <c r="E807" t="s">
        <v>818</v>
      </c>
      <c r="F807" t="s"/>
      <c r="G807" t="s"/>
      <c r="H807" t="s"/>
      <c r="I807" t="s"/>
      <c r="J807" t="n">
        <v>0.6351</v>
      </c>
      <c r="K807" t="n">
        <v>0</v>
      </c>
      <c r="L807" t="n">
        <v>0.626</v>
      </c>
      <c r="M807" t="n">
        <v>0.374</v>
      </c>
    </row>
    <row r="808" spans="1:13">
      <c r="A808" s="1">
        <f>HYPERLINK("http://www.twitter.com/NathanBLawrence/status/991693945972379649", "991693945972379649")</f>
        <v/>
      </c>
      <c r="B808" s="2" t="n">
        <v>43222.62541666667</v>
      </c>
      <c r="C808" t="n">
        <v>1</v>
      </c>
      <c r="D808" t="n">
        <v>0</v>
      </c>
      <c r="E808" t="s">
        <v>819</v>
      </c>
      <c r="F808" t="s"/>
      <c r="G808" t="s"/>
      <c r="H808" t="s"/>
      <c r="I808" t="s"/>
      <c r="J808" t="n">
        <v>0.4215</v>
      </c>
      <c r="K808" t="n">
        <v>0</v>
      </c>
      <c r="L808" t="n">
        <v>0.763</v>
      </c>
      <c r="M808" t="n">
        <v>0.237</v>
      </c>
    </row>
    <row r="809" spans="1:13">
      <c r="A809" s="1">
        <f>HYPERLINK("http://www.twitter.com/NathanBLawrence/status/991693647816077313", "991693647816077313")</f>
        <v/>
      </c>
      <c r="B809" s="2" t="n">
        <v>43222.62459490741</v>
      </c>
      <c r="C809" t="n">
        <v>3</v>
      </c>
      <c r="D809" t="n">
        <v>0</v>
      </c>
      <c r="E809" t="s">
        <v>820</v>
      </c>
      <c r="F809" t="s"/>
      <c r="G809" t="s"/>
      <c r="H809" t="s"/>
      <c r="I809" t="s"/>
      <c r="J809" t="n">
        <v>-0.8979</v>
      </c>
      <c r="K809" t="n">
        <v>0.232</v>
      </c>
      <c r="L809" t="n">
        <v>0.768</v>
      </c>
      <c r="M809" t="n">
        <v>0</v>
      </c>
    </row>
    <row r="810" spans="1:13">
      <c r="A810" s="1">
        <f>HYPERLINK("http://www.twitter.com/NathanBLawrence/status/991692466108731395", "991692466108731395")</f>
        <v/>
      </c>
      <c r="B810" s="2" t="n">
        <v>43222.62133101852</v>
      </c>
      <c r="C810" t="n">
        <v>0</v>
      </c>
      <c r="D810" t="n">
        <v>0</v>
      </c>
      <c r="E810" t="s">
        <v>821</v>
      </c>
      <c r="F810" t="s"/>
      <c r="G810" t="s"/>
      <c r="H810" t="s"/>
      <c r="I810" t="s"/>
      <c r="J810" t="n">
        <v>0</v>
      </c>
      <c r="K810" t="n">
        <v>0</v>
      </c>
      <c r="L810" t="n">
        <v>1</v>
      </c>
      <c r="M810" t="n">
        <v>0</v>
      </c>
    </row>
    <row r="811" spans="1:13">
      <c r="A811" s="1">
        <f>HYPERLINK("http://www.twitter.com/NathanBLawrence/status/991664188631273474", "991664188631273474")</f>
        <v/>
      </c>
      <c r="B811" s="2" t="n">
        <v>43222.54329861111</v>
      </c>
      <c r="C811" t="n">
        <v>1</v>
      </c>
      <c r="D811" t="n">
        <v>0</v>
      </c>
      <c r="E811" t="s">
        <v>822</v>
      </c>
      <c r="F811" t="s"/>
      <c r="G811" t="s"/>
      <c r="H811" t="s"/>
      <c r="I811" t="s"/>
      <c r="J811" t="n">
        <v>0</v>
      </c>
      <c r="K811" t="n">
        <v>0</v>
      </c>
      <c r="L811" t="n">
        <v>1</v>
      </c>
      <c r="M811" t="n">
        <v>0</v>
      </c>
    </row>
    <row r="812" spans="1:13">
      <c r="A812" s="1">
        <f>HYPERLINK("http://www.twitter.com/NathanBLawrence/status/991653716154515456", "991653716154515456")</f>
        <v/>
      </c>
      <c r="B812" s="2" t="n">
        <v>43222.51439814815</v>
      </c>
      <c r="C812" t="n">
        <v>0</v>
      </c>
      <c r="D812" t="n">
        <v>19</v>
      </c>
      <c r="E812" t="s">
        <v>823</v>
      </c>
      <c r="F812">
        <f>HYPERLINK("http://pbs.twimg.com/media/DcCCRMnWAAApJ09.jpg", "http://pbs.twimg.com/media/DcCCRMnWAAApJ09.jpg")</f>
        <v/>
      </c>
      <c r="G812" t="s"/>
      <c r="H812" t="s"/>
      <c r="I812" t="s"/>
      <c r="J812" t="n">
        <v>0</v>
      </c>
      <c r="K812" t="n">
        <v>0</v>
      </c>
      <c r="L812" t="n">
        <v>1</v>
      </c>
      <c r="M812" t="n">
        <v>0</v>
      </c>
    </row>
    <row r="813" spans="1:13">
      <c r="A813" s="1">
        <f>HYPERLINK("http://www.twitter.com/NathanBLawrence/status/991653327250313216", "991653327250313216")</f>
        <v/>
      </c>
      <c r="B813" s="2" t="n">
        <v>43222.51332175926</v>
      </c>
      <c r="C813" t="n">
        <v>3</v>
      </c>
      <c r="D813" t="n">
        <v>0</v>
      </c>
      <c r="E813" t="s">
        <v>824</v>
      </c>
      <c r="F813" t="s"/>
      <c r="G813" t="s"/>
      <c r="H813" t="s"/>
      <c r="I813" t="s"/>
      <c r="J813" t="n">
        <v>0.636</v>
      </c>
      <c r="K813" t="n">
        <v>0</v>
      </c>
      <c r="L813" t="n">
        <v>0.724</v>
      </c>
      <c r="M813" t="n">
        <v>0.276</v>
      </c>
    </row>
    <row r="814" spans="1:13">
      <c r="A814" s="1">
        <f>HYPERLINK("http://www.twitter.com/NathanBLawrence/status/991650934592811008", "991650934592811008")</f>
        <v/>
      </c>
      <c r="B814" s="2" t="n">
        <v>43222.50672453704</v>
      </c>
      <c r="C814" t="n">
        <v>1</v>
      </c>
      <c r="D814" t="n">
        <v>0</v>
      </c>
      <c r="E814" t="s">
        <v>825</v>
      </c>
      <c r="F814" t="s"/>
      <c r="G814" t="s"/>
      <c r="H814" t="s"/>
      <c r="I814" t="s"/>
      <c r="J814" t="n">
        <v>0</v>
      </c>
      <c r="K814" t="n">
        <v>0</v>
      </c>
      <c r="L814" t="n">
        <v>1</v>
      </c>
      <c r="M814" t="n">
        <v>0</v>
      </c>
    </row>
    <row r="815" spans="1:13">
      <c r="A815" s="1">
        <f>HYPERLINK("http://www.twitter.com/NathanBLawrence/status/991650769781907456", "991650769781907456")</f>
        <v/>
      </c>
      <c r="B815" s="2" t="n">
        <v>43222.50627314814</v>
      </c>
      <c r="C815" t="n">
        <v>0</v>
      </c>
      <c r="D815" t="n">
        <v>2</v>
      </c>
      <c r="E815" t="s">
        <v>826</v>
      </c>
      <c r="F815" t="s"/>
      <c r="G815" t="s"/>
      <c r="H815" t="s"/>
      <c r="I815" t="s"/>
      <c r="J815" t="n">
        <v>0</v>
      </c>
      <c r="K815" t="n">
        <v>0</v>
      </c>
      <c r="L815" t="n">
        <v>1</v>
      </c>
      <c r="M815" t="n">
        <v>0</v>
      </c>
    </row>
    <row r="816" spans="1:13">
      <c r="A816" s="1">
        <f>HYPERLINK("http://www.twitter.com/NathanBLawrence/status/991643141714468864", "991643141714468864")</f>
        <v/>
      </c>
      <c r="B816" s="2" t="n">
        <v>43222.48521990741</v>
      </c>
      <c r="C816" t="n">
        <v>6</v>
      </c>
      <c r="D816" t="n">
        <v>0</v>
      </c>
      <c r="E816" t="s">
        <v>827</v>
      </c>
      <c r="F816" t="s"/>
      <c r="G816" t="s"/>
      <c r="H816" t="s"/>
      <c r="I816" t="s"/>
      <c r="J816" t="n">
        <v>0.3818</v>
      </c>
      <c r="K816" t="n">
        <v>0</v>
      </c>
      <c r="L816" t="n">
        <v>0.909</v>
      </c>
      <c r="M816" t="n">
        <v>0.091</v>
      </c>
    </row>
    <row r="817" spans="1:13">
      <c r="A817" s="1">
        <f>HYPERLINK("http://www.twitter.com/NathanBLawrence/status/991642749198913536", "991642749198913536")</f>
        <v/>
      </c>
      <c r="B817" s="2" t="n">
        <v>43222.48413194445</v>
      </c>
      <c r="C817" t="n">
        <v>1</v>
      </c>
      <c r="D817" t="n">
        <v>2</v>
      </c>
      <c r="E817" t="s">
        <v>828</v>
      </c>
      <c r="F817" t="s"/>
      <c r="G817" t="s"/>
      <c r="H817" t="s"/>
      <c r="I817" t="s"/>
      <c r="J817" t="n">
        <v>0.7871</v>
      </c>
      <c r="K817" t="n">
        <v>0</v>
      </c>
      <c r="L817" t="n">
        <v>0.771</v>
      </c>
      <c r="M817" t="n">
        <v>0.229</v>
      </c>
    </row>
    <row r="818" spans="1:13">
      <c r="A818" s="1">
        <f>HYPERLINK("http://www.twitter.com/NathanBLawrence/status/991530460055588866", "991530460055588866")</f>
        <v/>
      </c>
      <c r="B818" s="2" t="n">
        <v>43222.17428240741</v>
      </c>
      <c r="C818" t="n">
        <v>3</v>
      </c>
      <c r="D818" t="n">
        <v>1</v>
      </c>
      <c r="E818" t="s">
        <v>829</v>
      </c>
      <c r="F818" t="s"/>
      <c r="G818" t="s"/>
      <c r="H818" t="s"/>
      <c r="I818" t="s"/>
      <c r="J818" t="n">
        <v>0</v>
      </c>
      <c r="K818" t="n">
        <v>0</v>
      </c>
      <c r="L818" t="n">
        <v>1</v>
      </c>
      <c r="M818" t="n">
        <v>0</v>
      </c>
    </row>
    <row r="819" spans="1:13">
      <c r="A819" s="1">
        <f>HYPERLINK("http://www.twitter.com/NathanBLawrence/status/991530211102642177", "991530211102642177")</f>
        <v/>
      </c>
      <c r="B819" s="2" t="n">
        <v>43222.17358796296</v>
      </c>
      <c r="C819" t="n">
        <v>2</v>
      </c>
      <c r="D819" t="n">
        <v>1</v>
      </c>
      <c r="E819" t="s">
        <v>830</v>
      </c>
      <c r="F819" t="s"/>
      <c r="G819" t="s"/>
      <c r="H819" t="s"/>
      <c r="I819" t="s"/>
      <c r="J819" t="n">
        <v>0.296</v>
      </c>
      <c r="K819" t="n">
        <v>0.023</v>
      </c>
      <c r="L819" t="n">
        <v>0.93</v>
      </c>
      <c r="M819" t="n">
        <v>0.047</v>
      </c>
    </row>
    <row r="820" spans="1:13">
      <c r="A820" s="1">
        <f>HYPERLINK("http://www.twitter.com/NathanBLawrence/status/991528811438145536", "991528811438145536")</f>
        <v/>
      </c>
      <c r="B820" s="2" t="n">
        <v>43222.1697337963</v>
      </c>
      <c r="C820" t="n">
        <v>2</v>
      </c>
      <c r="D820" t="n">
        <v>1</v>
      </c>
      <c r="E820" t="s">
        <v>831</v>
      </c>
      <c r="F820" t="s"/>
      <c r="G820" t="s"/>
      <c r="H820" t="s"/>
      <c r="I820" t="s"/>
      <c r="J820" t="n">
        <v>0.4404</v>
      </c>
      <c r="K820" t="n">
        <v>0</v>
      </c>
      <c r="L820" t="n">
        <v>0.828</v>
      </c>
      <c r="M820" t="n">
        <v>0.172</v>
      </c>
    </row>
    <row r="821" spans="1:13">
      <c r="A821" s="1">
        <f>HYPERLINK("http://www.twitter.com/NathanBLawrence/status/991528173220265984", "991528173220265984")</f>
        <v/>
      </c>
      <c r="B821" s="2" t="n">
        <v>43222.16796296297</v>
      </c>
      <c r="C821" t="n">
        <v>1</v>
      </c>
      <c r="D821" t="n">
        <v>2</v>
      </c>
      <c r="E821" t="s">
        <v>832</v>
      </c>
      <c r="F821" t="s"/>
      <c r="G821" t="s"/>
      <c r="H821" t="s"/>
      <c r="I821" t="s"/>
      <c r="J821" t="n">
        <v>0</v>
      </c>
      <c r="K821" t="n">
        <v>0</v>
      </c>
      <c r="L821" t="n">
        <v>1</v>
      </c>
      <c r="M821" t="n">
        <v>0</v>
      </c>
    </row>
    <row r="822" spans="1:13">
      <c r="A822" s="1">
        <f>HYPERLINK("http://www.twitter.com/NathanBLawrence/status/991498649116073985", "991498649116073985")</f>
        <v/>
      </c>
      <c r="B822" s="2" t="n">
        <v>43222.08649305555</v>
      </c>
      <c r="C822" t="n">
        <v>1</v>
      </c>
      <c r="D822" t="n">
        <v>0</v>
      </c>
      <c r="E822" t="s">
        <v>833</v>
      </c>
      <c r="F822" t="s"/>
      <c r="G822" t="s"/>
      <c r="H822" t="s"/>
      <c r="I822" t="s"/>
      <c r="J822" t="n">
        <v>-0.1759</v>
      </c>
      <c r="K822" t="n">
        <v>0.096</v>
      </c>
      <c r="L822" t="n">
        <v>0.904</v>
      </c>
      <c r="M822" t="n">
        <v>0</v>
      </c>
    </row>
    <row r="823" spans="1:13">
      <c r="A823" s="1">
        <f>HYPERLINK("http://www.twitter.com/NathanBLawrence/status/991498133912907776", "991498133912907776")</f>
        <v/>
      </c>
      <c r="B823" s="2" t="n">
        <v>43222.08506944445</v>
      </c>
      <c r="C823" t="n">
        <v>2</v>
      </c>
      <c r="D823" t="n">
        <v>1</v>
      </c>
      <c r="E823" t="s">
        <v>834</v>
      </c>
      <c r="F823" t="s"/>
      <c r="G823" t="s"/>
      <c r="H823" t="s"/>
      <c r="I823" t="s"/>
      <c r="J823" t="n">
        <v>0.8953</v>
      </c>
      <c r="K823" t="n">
        <v>0</v>
      </c>
      <c r="L823" t="n">
        <v>0.704</v>
      </c>
      <c r="M823" t="n">
        <v>0.296</v>
      </c>
    </row>
    <row r="824" spans="1:13">
      <c r="A824" s="1">
        <f>HYPERLINK("http://www.twitter.com/NathanBLawrence/status/991497656810770433", "991497656810770433")</f>
        <v/>
      </c>
      <c r="B824" s="2" t="n">
        <v>43222.08376157407</v>
      </c>
      <c r="C824" t="n">
        <v>2</v>
      </c>
      <c r="D824" t="n">
        <v>1</v>
      </c>
      <c r="E824" t="s">
        <v>835</v>
      </c>
      <c r="F824" t="s"/>
      <c r="G824" t="s"/>
      <c r="H824" t="s"/>
      <c r="I824" t="s"/>
      <c r="J824" t="n">
        <v>0</v>
      </c>
      <c r="K824" t="n">
        <v>0</v>
      </c>
      <c r="L824" t="n">
        <v>1</v>
      </c>
      <c r="M824" t="n">
        <v>0</v>
      </c>
    </row>
    <row r="825" spans="1:13">
      <c r="A825" s="1">
        <f>HYPERLINK("http://www.twitter.com/NathanBLawrence/status/991497427176878082", "991497427176878082")</f>
        <v/>
      </c>
      <c r="B825" s="2" t="n">
        <v>43222.083125</v>
      </c>
      <c r="C825" t="n">
        <v>1</v>
      </c>
      <c r="D825" t="n">
        <v>1</v>
      </c>
      <c r="E825" t="s">
        <v>836</v>
      </c>
      <c r="F825" t="s"/>
      <c r="G825" t="s"/>
      <c r="H825" t="s"/>
      <c r="I825" t="s"/>
      <c r="J825" t="n">
        <v>0</v>
      </c>
      <c r="K825" t="n">
        <v>0</v>
      </c>
      <c r="L825" t="n">
        <v>1</v>
      </c>
      <c r="M825" t="n">
        <v>0</v>
      </c>
    </row>
    <row r="826" spans="1:13">
      <c r="A826" s="1">
        <f>HYPERLINK("http://www.twitter.com/NathanBLawrence/status/991496914762952704", "991496914762952704")</f>
        <v/>
      </c>
      <c r="B826" s="2" t="n">
        <v>43222.08171296296</v>
      </c>
      <c r="C826" t="n">
        <v>0</v>
      </c>
      <c r="D826" t="n">
        <v>0</v>
      </c>
      <c r="E826" t="s">
        <v>837</v>
      </c>
      <c r="F826">
        <f>HYPERLINK("http://pbs.twimg.com/media/DcKBLknU0AI5QAu.jpg", "http://pbs.twimg.com/media/DcKBLknU0AI5QAu.jpg")</f>
        <v/>
      </c>
      <c r="G826" t="s"/>
      <c r="H826" t="s"/>
      <c r="I826" t="s"/>
      <c r="J826" t="n">
        <v>0</v>
      </c>
      <c r="K826" t="n">
        <v>0</v>
      </c>
      <c r="L826" t="n">
        <v>1</v>
      </c>
      <c r="M826" t="n">
        <v>0</v>
      </c>
    </row>
    <row r="827" spans="1:13">
      <c r="A827" s="1">
        <f>HYPERLINK("http://www.twitter.com/NathanBLawrence/status/991496648093327360", "991496648093327360")</f>
        <v/>
      </c>
      <c r="B827" s="2" t="n">
        <v>43222.08097222223</v>
      </c>
      <c r="C827" t="n">
        <v>0</v>
      </c>
      <c r="D827" t="n">
        <v>0</v>
      </c>
      <c r="E827" t="s">
        <v>838</v>
      </c>
      <c r="F827">
        <f>HYPERLINK("http://pbs.twimg.com/media/DcKA8RUU0AEyzO2.jpg", "http://pbs.twimg.com/media/DcKA8RUU0AEyzO2.jpg")</f>
        <v/>
      </c>
      <c r="G827" t="s"/>
      <c r="H827" t="s"/>
      <c r="I827" t="s"/>
      <c r="J827" t="n">
        <v>0</v>
      </c>
      <c r="K827" t="n">
        <v>0</v>
      </c>
      <c r="L827" t="n">
        <v>1</v>
      </c>
      <c r="M827" t="n">
        <v>0</v>
      </c>
    </row>
    <row r="828" spans="1:13">
      <c r="A828" s="1">
        <f>HYPERLINK("http://www.twitter.com/NathanBLawrence/status/991495473793036288", "991495473793036288")</f>
        <v/>
      </c>
      <c r="B828" s="2" t="n">
        <v>43222.07773148148</v>
      </c>
      <c r="C828" t="n">
        <v>0</v>
      </c>
      <c r="D828" t="n">
        <v>0</v>
      </c>
      <c r="E828" t="s">
        <v>839</v>
      </c>
      <c r="F828">
        <f>HYPERLINK("http://pbs.twimg.com/media/DcJ_3v7VMAA_ray.jpg", "http://pbs.twimg.com/media/DcJ_3v7VMAA_ray.jpg")</f>
        <v/>
      </c>
      <c r="G828" t="s"/>
      <c r="H828" t="s"/>
      <c r="I828" t="s"/>
      <c r="J828" t="n">
        <v>0</v>
      </c>
      <c r="K828" t="n">
        <v>0</v>
      </c>
      <c r="L828" t="n">
        <v>1</v>
      </c>
      <c r="M828" t="n">
        <v>0</v>
      </c>
    </row>
    <row r="829" spans="1:13">
      <c r="A829" s="1">
        <f>HYPERLINK("http://www.twitter.com/NathanBLawrence/status/991493561181986816", "991493561181986816")</f>
        <v/>
      </c>
      <c r="B829" s="2" t="n">
        <v>43222.0724537037</v>
      </c>
      <c r="C829" t="n">
        <v>4</v>
      </c>
      <c r="D829" t="n">
        <v>1</v>
      </c>
      <c r="E829" t="s">
        <v>840</v>
      </c>
      <c r="F829" t="s"/>
      <c r="G829" t="s"/>
      <c r="H829" t="s"/>
      <c r="I829" t="s"/>
      <c r="J829" t="n">
        <v>0.1263</v>
      </c>
      <c r="K829" t="n">
        <v>0.08799999999999999</v>
      </c>
      <c r="L829" t="n">
        <v>0.803</v>
      </c>
      <c r="M829" t="n">
        <v>0.108</v>
      </c>
    </row>
    <row r="830" spans="1:13">
      <c r="A830" s="1">
        <f>HYPERLINK("http://www.twitter.com/NathanBLawrence/status/991492911505305601", "991492911505305601")</f>
        <v/>
      </c>
      <c r="B830" s="2" t="n">
        <v>43222.07065972222</v>
      </c>
      <c r="C830" t="n">
        <v>3</v>
      </c>
      <c r="D830" t="n">
        <v>1</v>
      </c>
      <c r="E830" t="s">
        <v>841</v>
      </c>
      <c r="F830">
        <f>HYPERLINK("http://pbs.twimg.com/media/DcJ9iwkV0AE8V3q.jpg", "http://pbs.twimg.com/media/DcJ9iwkV0AE8V3q.jpg")</f>
        <v/>
      </c>
      <c r="G830" t="s"/>
      <c r="H830" t="s"/>
      <c r="I830" t="s"/>
      <c r="J830" t="n">
        <v>0.4939</v>
      </c>
      <c r="K830" t="n">
        <v>0</v>
      </c>
      <c r="L830" t="n">
        <v>0.842</v>
      </c>
      <c r="M830" t="n">
        <v>0.158</v>
      </c>
    </row>
    <row r="831" spans="1:13">
      <c r="A831" s="1">
        <f>HYPERLINK("http://www.twitter.com/NathanBLawrence/status/991492562396614656", "991492562396614656")</f>
        <v/>
      </c>
      <c r="B831" s="2" t="n">
        <v>43222.06969907408</v>
      </c>
      <c r="C831" t="n">
        <v>2</v>
      </c>
      <c r="D831" t="n">
        <v>2</v>
      </c>
      <c r="E831" t="s">
        <v>842</v>
      </c>
      <c r="F831" t="s"/>
      <c r="G831" t="s"/>
      <c r="H831" t="s"/>
      <c r="I831" t="s"/>
      <c r="J831" t="n">
        <v>0.296</v>
      </c>
      <c r="K831" t="n">
        <v>0</v>
      </c>
      <c r="L831" t="n">
        <v>0.9409999999999999</v>
      </c>
      <c r="M831" t="n">
        <v>0.059</v>
      </c>
    </row>
    <row r="832" spans="1:13">
      <c r="A832" s="1">
        <f>HYPERLINK("http://www.twitter.com/NathanBLawrence/status/991491921771220992", "991491921771220992")</f>
        <v/>
      </c>
      <c r="B832" s="2" t="n">
        <v>43222.06792824074</v>
      </c>
      <c r="C832" t="n">
        <v>1</v>
      </c>
      <c r="D832" t="n">
        <v>1</v>
      </c>
      <c r="E832" t="s">
        <v>843</v>
      </c>
      <c r="F832" t="s"/>
      <c r="G832" t="s"/>
      <c r="H832" t="s"/>
      <c r="I832" t="s"/>
      <c r="J832" t="n">
        <v>0.6571</v>
      </c>
      <c r="K832" t="n">
        <v>0</v>
      </c>
      <c r="L832" t="n">
        <v>0.715</v>
      </c>
      <c r="M832" t="n">
        <v>0.285</v>
      </c>
    </row>
    <row r="833" spans="1:13">
      <c r="A833" s="1">
        <f>HYPERLINK("http://www.twitter.com/NathanBLawrence/status/991491656800198656", "991491656800198656")</f>
        <v/>
      </c>
      <c r="B833" s="2" t="n">
        <v>43222.06719907407</v>
      </c>
      <c r="C833" t="n">
        <v>2</v>
      </c>
      <c r="D833" t="n">
        <v>0</v>
      </c>
      <c r="E833" t="s">
        <v>844</v>
      </c>
      <c r="F833" t="s"/>
      <c r="G833" t="s"/>
      <c r="H833" t="s"/>
      <c r="I833" t="s"/>
      <c r="J833" t="n">
        <v>0</v>
      </c>
      <c r="K833" t="n">
        <v>0</v>
      </c>
      <c r="L833" t="n">
        <v>1</v>
      </c>
      <c r="M833" t="n">
        <v>0</v>
      </c>
    </row>
    <row r="834" spans="1:13">
      <c r="A834" s="1">
        <f>HYPERLINK("http://www.twitter.com/NathanBLawrence/status/991490902056108033", "991490902056108033")</f>
        <v/>
      </c>
      <c r="B834" s="2" t="n">
        <v>43222.06511574074</v>
      </c>
      <c r="C834" t="n">
        <v>2</v>
      </c>
      <c r="D834" t="n">
        <v>1</v>
      </c>
      <c r="E834" t="s">
        <v>845</v>
      </c>
      <c r="F834">
        <f>HYPERLINK("http://pbs.twimg.com/media/DcJ7teoVQAAnjws.jpg", "http://pbs.twimg.com/media/DcJ7teoVQAAnjws.jpg")</f>
        <v/>
      </c>
      <c r="G834" t="s"/>
      <c r="H834" t="s"/>
      <c r="I834" t="s"/>
      <c r="J834" t="n">
        <v>0.4184</v>
      </c>
      <c r="K834" t="n">
        <v>0</v>
      </c>
      <c r="L834" t="n">
        <v>0.764</v>
      </c>
      <c r="M834" t="n">
        <v>0.236</v>
      </c>
    </row>
    <row r="835" spans="1:13">
      <c r="A835" s="1">
        <f>HYPERLINK("http://www.twitter.com/NathanBLawrence/status/991490470122541056", "991490470122541056")</f>
        <v/>
      </c>
      <c r="B835" s="2" t="n">
        <v>43222.06392361111</v>
      </c>
      <c r="C835" t="n">
        <v>2</v>
      </c>
      <c r="D835" t="n">
        <v>1</v>
      </c>
      <c r="E835" t="s">
        <v>846</v>
      </c>
      <c r="F835" t="s"/>
      <c r="G835" t="s"/>
      <c r="H835" t="s"/>
      <c r="I835" t="s"/>
      <c r="J835" t="n">
        <v>0</v>
      </c>
      <c r="K835" t="n">
        <v>0</v>
      </c>
      <c r="L835" t="n">
        <v>1</v>
      </c>
      <c r="M835" t="n">
        <v>0</v>
      </c>
    </row>
    <row r="836" spans="1:13">
      <c r="A836" s="1">
        <f>HYPERLINK("http://www.twitter.com/NathanBLawrence/status/991489519047364610", "991489519047364610")</f>
        <v/>
      </c>
      <c r="B836" s="2" t="n">
        <v>43222.0612962963</v>
      </c>
      <c r="C836" t="n">
        <v>1</v>
      </c>
      <c r="D836" t="n">
        <v>0</v>
      </c>
      <c r="E836" t="s">
        <v>847</v>
      </c>
      <c r="F836" t="s"/>
      <c r="G836" t="s"/>
      <c r="H836" t="s"/>
      <c r="I836" t="s"/>
      <c r="J836" t="n">
        <v>0.7088</v>
      </c>
      <c r="K836" t="n">
        <v>0</v>
      </c>
      <c r="L836" t="n">
        <v>0.842</v>
      </c>
      <c r="M836" t="n">
        <v>0.158</v>
      </c>
    </row>
    <row r="837" spans="1:13">
      <c r="A837" s="1">
        <f>HYPERLINK("http://www.twitter.com/NathanBLawrence/status/991486401333071877", "991486401333071877")</f>
        <v/>
      </c>
      <c r="B837" s="2" t="n">
        <v>43222.05269675926</v>
      </c>
      <c r="C837" t="n">
        <v>2</v>
      </c>
      <c r="D837" t="n">
        <v>1</v>
      </c>
      <c r="E837" t="s">
        <v>848</v>
      </c>
      <c r="F837" t="s"/>
      <c r="G837" t="s"/>
      <c r="H837" t="s"/>
      <c r="I837" t="s"/>
      <c r="J837" t="n">
        <v>0</v>
      </c>
      <c r="K837" t="n">
        <v>0</v>
      </c>
      <c r="L837" t="n">
        <v>1</v>
      </c>
      <c r="M837" t="n">
        <v>0</v>
      </c>
    </row>
    <row r="838" spans="1:13">
      <c r="A838" s="1">
        <f>HYPERLINK("http://www.twitter.com/NathanBLawrence/status/991485178097930240", "991485178097930240")</f>
        <v/>
      </c>
      <c r="B838" s="2" t="n">
        <v>43222.0493287037</v>
      </c>
      <c r="C838" t="n">
        <v>2</v>
      </c>
      <c r="D838" t="n">
        <v>1</v>
      </c>
      <c r="E838" t="s">
        <v>849</v>
      </c>
      <c r="F838" t="s"/>
      <c r="G838" t="s"/>
      <c r="H838" t="s"/>
      <c r="I838" t="s"/>
      <c r="J838" t="n">
        <v>-0.296</v>
      </c>
      <c r="K838" t="n">
        <v>0.155</v>
      </c>
      <c r="L838" t="n">
        <v>0.759</v>
      </c>
      <c r="M838" t="n">
        <v>0.08500000000000001</v>
      </c>
    </row>
    <row r="839" spans="1:13">
      <c r="A839" s="1">
        <f>HYPERLINK("http://www.twitter.com/NathanBLawrence/status/991484716216913920", "991484716216913920")</f>
        <v/>
      </c>
      <c r="B839" s="2" t="n">
        <v>43222.04804398148</v>
      </c>
      <c r="C839" t="n">
        <v>5</v>
      </c>
      <c r="D839" t="n">
        <v>3</v>
      </c>
      <c r="E839" t="s">
        <v>850</v>
      </c>
      <c r="F839" t="s"/>
      <c r="G839" t="s"/>
      <c r="H839" t="s"/>
      <c r="I839" t="s"/>
      <c r="J839" t="n">
        <v>0.4162</v>
      </c>
      <c r="K839" t="n">
        <v>0.038</v>
      </c>
      <c r="L839" t="n">
        <v>0.892</v>
      </c>
      <c r="M839" t="n">
        <v>0.06900000000000001</v>
      </c>
    </row>
    <row r="840" spans="1:13">
      <c r="A840" s="1">
        <f>HYPERLINK("http://www.twitter.com/NathanBLawrence/status/991481049095032832", "991481049095032832")</f>
        <v/>
      </c>
      <c r="B840" s="2" t="n">
        <v>43222.03792824074</v>
      </c>
      <c r="C840" t="n">
        <v>4</v>
      </c>
      <c r="D840" t="n">
        <v>1</v>
      </c>
      <c r="E840" t="s">
        <v>851</v>
      </c>
      <c r="F840" t="s"/>
      <c r="G840" t="s"/>
      <c r="H840" t="s"/>
      <c r="I840" t="s"/>
      <c r="J840" t="n">
        <v>-0.5413</v>
      </c>
      <c r="K840" t="n">
        <v>0.538</v>
      </c>
      <c r="L840" t="n">
        <v>0.462</v>
      </c>
      <c r="M840" t="n">
        <v>0</v>
      </c>
    </row>
    <row r="841" spans="1:13">
      <c r="A841" s="1">
        <f>HYPERLINK("http://www.twitter.com/NathanBLawrence/status/991480223337152513", "991480223337152513")</f>
        <v/>
      </c>
      <c r="B841" s="2" t="n">
        <v>43222.03564814815</v>
      </c>
      <c r="C841" t="n">
        <v>2</v>
      </c>
      <c r="D841" t="n">
        <v>0</v>
      </c>
      <c r="E841" t="s">
        <v>852</v>
      </c>
      <c r="F841" t="s"/>
      <c r="G841" t="s"/>
      <c r="H841" t="s"/>
      <c r="I841" t="s"/>
      <c r="J841" t="n">
        <v>0</v>
      </c>
      <c r="K841" t="n">
        <v>0</v>
      </c>
      <c r="L841" t="n">
        <v>1</v>
      </c>
      <c r="M841" t="n">
        <v>0</v>
      </c>
    </row>
    <row r="842" spans="1:13">
      <c r="A842" s="1">
        <f>HYPERLINK("http://www.twitter.com/NathanBLawrence/status/991477284640116736", "991477284640116736")</f>
        <v/>
      </c>
      <c r="B842" s="2" t="n">
        <v>43222.0275462963</v>
      </c>
      <c r="C842" t="n">
        <v>5</v>
      </c>
      <c r="D842" t="n">
        <v>1</v>
      </c>
      <c r="E842" t="s">
        <v>853</v>
      </c>
      <c r="F842" t="s"/>
      <c r="G842" t="s"/>
      <c r="H842" t="s"/>
      <c r="I842" t="s"/>
      <c r="J842" t="n">
        <v>0.4168</v>
      </c>
      <c r="K842" t="n">
        <v>0</v>
      </c>
      <c r="L842" t="n">
        <v>0.864</v>
      </c>
      <c r="M842" t="n">
        <v>0.136</v>
      </c>
    </row>
    <row r="843" spans="1:13">
      <c r="A843" s="1">
        <f>HYPERLINK("http://www.twitter.com/NathanBLawrence/status/991476391186182144", "991476391186182144")</f>
        <v/>
      </c>
      <c r="B843" s="2" t="n">
        <v>43222.02508101852</v>
      </c>
      <c r="C843" t="n">
        <v>1</v>
      </c>
      <c r="D843" t="n">
        <v>0</v>
      </c>
      <c r="E843" t="s">
        <v>854</v>
      </c>
      <c r="F843" t="s"/>
      <c r="G843" t="s"/>
      <c r="H843" t="s"/>
      <c r="I843" t="s"/>
      <c r="J843" t="n">
        <v>0</v>
      </c>
      <c r="K843" t="n">
        <v>0</v>
      </c>
      <c r="L843" t="n">
        <v>1</v>
      </c>
      <c r="M843" t="n">
        <v>0</v>
      </c>
    </row>
    <row r="844" spans="1:13">
      <c r="A844" s="1">
        <f>HYPERLINK("http://www.twitter.com/NathanBLawrence/status/991470321227182080", "991470321227182080")</f>
        <v/>
      </c>
      <c r="B844" s="2" t="n">
        <v>43222.00832175926</v>
      </c>
      <c r="C844" t="n">
        <v>0</v>
      </c>
      <c r="D844" t="n">
        <v>0</v>
      </c>
      <c r="E844" t="s">
        <v>855</v>
      </c>
      <c r="F844" t="s"/>
      <c r="G844" t="s"/>
      <c r="H844" t="s"/>
      <c r="I844" t="s"/>
      <c r="J844" t="n">
        <v>0</v>
      </c>
      <c r="K844" t="n">
        <v>0</v>
      </c>
      <c r="L844" t="n">
        <v>1</v>
      </c>
      <c r="M844" t="n">
        <v>0</v>
      </c>
    </row>
    <row r="845" spans="1:13">
      <c r="A845" s="1">
        <f>HYPERLINK("http://www.twitter.com/NathanBLawrence/status/991467947607691264", "991467947607691264")</f>
        <v/>
      </c>
      <c r="B845" s="2" t="n">
        <v>43222.00177083333</v>
      </c>
      <c r="C845" t="n">
        <v>0</v>
      </c>
      <c r="D845" t="n">
        <v>0</v>
      </c>
      <c r="E845" t="s">
        <v>856</v>
      </c>
      <c r="F845" t="s"/>
      <c r="G845" t="s"/>
      <c r="H845" t="s"/>
      <c r="I845" t="s"/>
      <c r="J845" t="n">
        <v>0</v>
      </c>
      <c r="K845" t="n">
        <v>0</v>
      </c>
      <c r="L845" t="n">
        <v>1</v>
      </c>
      <c r="M845" t="n">
        <v>0</v>
      </c>
    </row>
    <row r="846" spans="1:13">
      <c r="A846" s="1">
        <f>HYPERLINK("http://www.twitter.com/NathanBLawrence/status/991467251814617088", "991467251814617088")</f>
        <v/>
      </c>
      <c r="B846" s="2" t="n">
        <v>43221.99986111111</v>
      </c>
      <c r="C846" t="n">
        <v>0</v>
      </c>
      <c r="D846" t="n">
        <v>338</v>
      </c>
      <c r="E846" t="s">
        <v>857</v>
      </c>
      <c r="F846">
        <f>HYPERLINK("http://pbs.twimg.com/media/DcD4s6RX4AIV4dz.jpg", "http://pbs.twimg.com/media/DcD4s6RX4AIV4dz.jpg")</f>
        <v/>
      </c>
      <c r="G846" t="s"/>
      <c r="H846" t="s"/>
      <c r="I846" t="s"/>
      <c r="J846" t="n">
        <v>-0.8270999999999999</v>
      </c>
      <c r="K846" t="n">
        <v>0.339</v>
      </c>
      <c r="L846" t="n">
        <v>0.661</v>
      </c>
      <c r="M846" t="n">
        <v>0</v>
      </c>
    </row>
    <row r="847" spans="1:13">
      <c r="A847" s="1">
        <f>HYPERLINK("http://www.twitter.com/NathanBLawrence/status/991466896192139264", "991466896192139264")</f>
        <v/>
      </c>
      <c r="B847" s="2" t="n">
        <v>43221.99887731481</v>
      </c>
      <c r="C847" t="n">
        <v>0</v>
      </c>
      <c r="D847" t="n">
        <v>17</v>
      </c>
      <c r="E847" t="s">
        <v>858</v>
      </c>
      <c r="F847">
        <f>HYPERLINK("http://pbs.twimg.com/media/DcJaQShWAAAeR28.jpg", "http://pbs.twimg.com/media/DcJaQShWAAAeR28.jpg")</f>
        <v/>
      </c>
      <c r="G847" t="s"/>
      <c r="H847" t="s"/>
      <c r="I847" t="s"/>
      <c r="J847" t="n">
        <v>0.6486</v>
      </c>
      <c r="K847" t="n">
        <v>0</v>
      </c>
      <c r="L847" t="n">
        <v>0.773</v>
      </c>
      <c r="M847" t="n">
        <v>0.227</v>
      </c>
    </row>
    <row r="848" spans="1:13">
      <c r="A848" s="1">
        <f>HYPERLINK("http://www.twitter.com/NathanBLawrence/status/991465481352736769", "991465481352736769")</f>
        <v/>
      </c>
      <c r="B848" s="2" t="n">
        <v>43221.99496527778</v>
      </c>
      <c r="C848" t="n">
        <v>0</v>
      </c>
      <c r="D848" t="n">
        <v>0</v>
      </c>
      <c r="E848" t="s">
        <v>859</v>
      </c>
      <c r="F848" t="s"/>
      <c r="G848" t="s"/>
      <c r="H848" t="s"/>
      <c r="I848" t="s"/>
      <c r="J848" t="n">
        <v>-0.886</v>
      </c>
      <c r="K848" t="n">
        <v>0.37</v>
      </c>
      <c r="L848" t="n">
        <v>0.63</v>
      </c>
      <c r="M848" t="n">
        <v>0</v>
      </c>
    </row>
    <row r="849" spans="1:13">
      <c r="A849" s="1">
        <f>HYPERLINK("http://www.twitter.com/NathanBLawrence/status/991459896397848576", "991459896397848576")</f>
        <v/>
      </c>
      <c r="B849" s="2" t="n">
        <v>43221.97956018519</v>
      </c>
      <c r="C849" t="n">
        <v>1</v>
      </c>
      <c r="D849" t="n">
        <v>0</v>
      </c>
      <c r="E849" t="s">
        <v>860</v>
      </c>
      <c r="F849" t="s"/>
      <c r="G849" t="s"/>
      <c r="H849" t="s"/>
      <c r="I849" t="s"/>
      <c r="J849" t="n">
        <v>0</v>
      </c>
      <c r="K849" t="n">
        <v>0</v>
      </c>
      <c r="L849" t="n">
        <v>1</v>
      </c>
      <c r="M849" t="n">
        <v>0</v>
      </c>
    </row>
    <row r="850" spans="1:13">
      <c r="A850" s="1">
        <f>HYPERLINK("http://www.twitter.com/NathanBLawrence/status/991459504834347011", "991459504834347011")</f>
        <v/>
      </c>
      <c r="B850" s="2" t="n">
        <v>43221.97848379629</v>
      </c>
      <c r="C850" t="n">
        <v>1</v>
      </c>
      <c r="D850" t="n">
        <v>0</v>
      </c>
      <c r="E850" t="s">
        <v>861</v>
      </c>
      <c r="F850">
        <f>HYPERLINK("http://pbs.twimg.com/media/DcJfKIBVQAEP8PG.jpg", "http://pbs.twimg.com/media/DcJfKIBVQAEP8PG.jpg")</f>
        <v/>
      </c>
      <c r="G850" t="s"/>
      <c r="H850" t="s"/>
      <c r="I850" t="s"/>
      <c r="J850" t="n">
        <v>0</v>
      </c>
      <c r="K850" t="n">
        <v>0</v>
      </c>
      <c r="L850" t="n">
        <v>1</v>
      </c>
      <c r="M850" t="n">
        <v>0</v>
      </c>
    </row>
    <row r="851" spans="1:13">
      <c r="A851" s="1">
        <f>HYPERLINK("http://www.twitter.com/NathanBLawrence/status/991459011928252416", "991459011928252416")</f>
        <v/>
      </c>
      <c r="B851" s="2" t="n">
        <v>43221.97711805555</v>
      </c>
      <c r="C851" t="n">
        <v>1</v>
      </c>
      <c r="D851" t="n">
        <v>0</v>
      </c>
      <c r="E851" t="s">
        <v>862</v>
      </c>
      <c r="F851" t="s"/>
      <c r="G851" t="s"/>
      <c r="H851" t="s"/>
      <c r="I851" t="s"/>
      <c r="J851" t="n">
        <v>0.792</v>
      </c>
      <c r="K851" t="n">
        <v>0</v>
      </c>
      <c r="L851" t="n">
        <v>0.74</v>
      </c>
      <c r="M851" t="n">
        <v>0.26</v>
      </c>
    </row>
    <row r="852" spans="1:13">
      <c r="A852" s="1">
        <f>HYPERLINK("http://www.twitter.com/NathanBLawrence/status/991457606593073152", "991457606593073152")</f>
        <v/>
      </c>
      <c r="B852" s="2" t="n">
        <v>43221.97324074074</v>
      </c>
      <c r="C852" t="n">
        <v>3</v>
      </c>
      <c r="D852" t="n">
        <v>1</v>
      </c>
      <c r="E852" t="s">
        <v>863</v>
      </c>
      <c r="F852" t="s"/>
      <c r="G852" t="s"/>
      <c r="H852" t="s"/>
      <c r="I852" t="s"/>
      <c r="J852" t="n">
        <v>-0.7783</v>
      </c>
      <c r="K852" t="n">
        <v>0.206</v>
      </c>
      <c r="L852" t="n">
        <v>0.794</v>
      </c>
      <c r="M852" t="n">
        <v>0</v>
      </c>
    </row>
    <row r="853" spans="1:13">
      <c r="A853" s="1">
        <f>HYPERLINK("http://www.twitter.com/NathanBLawrence/status/991456403167555585", "991456403167555585")</f>
        <v/>
      </c>
      <c r="B853" s="2" t="n">
        <v>43221.96991898148</v>
      </c>
      <c r="C853" t="n">
        <v>4</v>
      </c>
      <c r="D853" t="n">
        <v>1</v>
      </c>
      <c r="E853" t="s">
        <v>864</v>
      </c>
      <c r="F853" t="s"/>
      <c r="G853" t="s"/>
      <c r="H853" t="s"/>
      <c r="I853" t="s"/>
      <c r="J853" t="n">
        <v>0.4939</v>
      </c>
      <c r="K853" t="n">
        <v>0</v>
      </c>
      <c r="L853" t="n">
        <v>0.92</v>
      </c>
      <c r="M853" t="n">
        <v>0.08</v>
      </c>
    </row>
    <row r="854" spans="1:13">
      <c r="A854" s="1">
        <f>HYPERLINK("http://www.twitter.com/NathanBLawrence/status/991452083231580166", "991452083231580166")</f>
        <v/>
      </c>
      <c r="B854" s="2" t="n">
        <v>43221.95799768518</v>
      </c>
      <c r="C854" t="n">
        <v>6</v>
      </c>
      <c r="D854" t="n">
        <v>1</v>
      </c>
      <c r="E854" t="s">
        <v>865</v>
      </c>
      <c r="F854" t="s"/>
      <c r="G854" t="s"/>
      <c r="H854" t="s"/>
      <c r="I854" t="s"/>
      <c r="J854" t="n">
        <v>0</v>
      </c>
      <c r="K854" t="n">
        <v>0.164</v>
      </c>
      <c r="L854" t="n">
        <v>0.672</v>
      </c>
      <c r="M854" t="n">
        <v>0.164</v>
      </c>
    </row>
    <row r="855" spans="1:13">
      <c r="A855" s="1">
        <f>HYPERLINK("http://www.twitter.com/NathanBLawrence/status/991451679068442625", "991451679068442625")</f>
        <v/>
      </c>
      <c r="B855" s="2" t="n">
        <v>43221.95688657407</v>
      </c>
      <c r="C855" t="n">
        <v>1</v>
      </c>
      <c r="D855" t="n">
        <v>0</v>
      </c>
      <c r="E855" t="s">
        <v>866</v>
      </c>
      <c r="F855" t="s"/>
      <c r="G855" t="s"/>
      <c r="H855" t="s"/>
      <c r="I855" t="s"/>
      <c r="J855" t="n">
        <v>0</v>
      </c>
      <c r="K855" t="n">
        <v>0</v>
      </c>
      <c r="L855" t="n">
        <v>1</v>
      </c>
      <c r="M855" t="n">
        <v>0</v>
      </c>
    </row>
    <row r="856" spans="1:13">
      <c r="A856" s="1">
        <f>HYPERLINK("http://www.twitter.com/NathanBLawrence/status/991450903671726080", "991450903671726080")</f>
        <v/>
      </c>
      <c r="B856" s="2" t="n">
        <v>43221.95474537037</v>
      </c>
      <c r="C856" t="n">
        <v>0</v>
      </c>
      <c r="D856" t="n">
        <v>0</v>
      </c>
      <c r="E856" t="s">
        <v>867</v>
      </c>
      <c r="F856" t="s"/>
      <c r="G856" t="s"/>
      <c r="H856" t="s"/>
      <c r="I856" t="s"/>
      <c r="J856" t="n">
        <v>0.7549</v>
      </c>
      <c r="K856" t="n">
        <v>0</v>
      </c>
      <c r="L856" t="n">
        <v>0.888</v>
      </c>
      <c r="M856" t="n">
        <v>0.112</v>
      </c>
    </row>
    <row r="857" spans="1:13">
      <c r="A857" s="1">
        <f>HYPERLINK("http://www.twitter.com/NathanBLawrence/status/991448539128582144", "991448539128582144")</f>
        <v/>
      </c>
      <c r="B857" s="2" t="n">
        <v>43221.9482175926</v>
      </c>
      <c r="C857" t="n">
        <v>1</v>
      </c>
      <c r="D857" t="n">
        <v>0</v>
      </c>
      <c r="E857" t="s">
        <v>868</v>
      </c>
      <c r="F857" t="s"/>
      <c r="G857" t="s"/>
      <c r="H857" t="s"/>
      <c r="I857" t="s"/>
      <c r="J857" t="n">
        <v>0</v>
      </c>
      <c r="K857" t="n">
        <v>0</v>
      </c>
      <c r="L857" t="n">
        <v>1</v>
      </c>
      <c r="M857" t="n">
        <v>0</v>
      </c>
    </row>
    <row r="858" spans="1:13">
      <c r="A858" s="1">
        <f>HYPERLINK("http://www.twitter.com/NathanBLawrence/status/991448140384522240", "991448140384522240")</f>
        <v/>
      </c>
      <c r="B858" s="2" t="n">
        <v>43221.94711805556</v>
      </c>
      <c r="C858" t="n">
        <v>2</v>
      </c>
      <c r="D858" t="n">
        <v>0</v>
      </c>
      <c r="E858" t="s">
        <v>869</v>
      </c>
      <c r="F858" t="s"/>
      <c r="G858" t="s"/>
      <c r="H858" t="s"/>
      <c r="I858" t="s"/>
      <c r="J858" t="n">
        <v>-0.3054</v>
      </c>
      <c r="K858" t="n">
        <v>0.092</v>
      </c>
      <c r="L858" t="n">
        <v>0.908</v>
      </c>
      <c r="M858" t="n">
        <v>0</v>
      </c>
    </row>
    <row r="859" spans="1:13">
      <c r="A859" s="1">
        <f>HYPERLINK("http://www.twitter.com/NathanBLawrence/status/991447195609108482", "991447195609108482")</f>
        <v/>
      </c>
      <c r="B859" s="2" t="n">
        <v>43221.94451388889</v>
      </c>
      <c r="C859" t="n">
        <v>1</v>
      </c>
      <c r="D859" t="n">
        <v>0</v>
      </c>
      <c r="E859" t="s">
        <v>870</v>
      </c>
      <c r="F859" t="s"/>
      <c r="G859" t="s"/>
      <c r="H859" t="s"/>
      <c r="I859" t="s"/>
      <c r="J859" t="n">
        <v>-0.2584</v>
      </c>
      <c r="K859" t="n">
        <v>0.203</v>
      </c>
      <c r="L859" t="n">
        <v>0.797</v>
      </c>
      <c r="M859" t="n">
        <v>0</v>
      </c>
    </row>
    <row r="860" spans="1:13">
      <c r="A860" s="1">
        <f>HYPERLINK("http://www.twitter.com/NathanBLawrence/status/991446333797093377", "991446333797093377")</f>
        <v/>
      </c>
      <c r="B860" s="2" t="n">
        <v>43221.94212962963</v>
      </c>
      <c r="C860" t="n">
        <v>0</v>
      </c>
      <c r="D860" t="n">
        <v>0</v>
      </c>
      <c r="E860" t="s">
        <v>871</v>
      </c>
      <c r="F860" t="s"/>
      <c r="G860" t="s"/>
      <c r="H860" t="s"/>
      <c r="I860" t="s"/>
      <c r="J860" t="n">
        <v>0.2732</v>
      </c>
      <c r="K860" t="n">
        <v>0</v>
      </c>
      <c r="L860" t="n">
        <v>0.916</v>
      </c>
      <c r="M860" t="n">
        <v>0.08400000000000001</v>
      </c>
    </row>
    <row r="861" spans="1:13">
      <c r="A861" s="1">
        <f>HYPERLINK("http://www.twitter.com/NathanBLawrence/status/991437309596852224", "991437309596852224")</f>
        <v/>
      </c>
      <c r="B861" s="2" t="n">
        <v>43221.9172337963</v>
      </c>
      <c r="C861" t="n">
        <v>6</v>
      </c>
      <c r="D861" t="n">
        <v>2</v>
      </c>
      <c r="E861" t="s">
        <v>872</v>
      </c>
      <c r="F861" t="s"/>
      <c r="G861" t="s"/>
      <c r="H861" t="s"/>
      <c r="I861" t="s"/>
      <c r="J861" t="n">
        <v>0.8784</v>
      </c>
      <c r="K861" t="n">
        <v>0</v>
      </c>
      <c r="L861" t="n">
        <v>0.664</v>
      </c>
      <c r="M861" t="n">
        <v>0.336</v>
      </c>
    </row>
    <row r="862" spans="1:13">
      <c r="A862" s="1">
        <f>HYPERLINK("http://www.twitter.com/NathanBLawrence/status/991434616560148480", "991434616560148480")</f>
        <v/>
      </c>
      <c r="B862" s="2" t="n">
        <v>43221.90980324074</v>
      </c>
      <c r="C862" t="n">
        <v>4</v>
      </c>
      <c r="D862" t="n">
        <v>0</v>
      </c>
      <c r="E862" t="s">
        <v>873</v>
      </c>
      <c r="F862" t="s"/>
      <c r="G862" t="s"/>
      <c r="H862" t="s"/>
      <c r="I862" t="s"/>
      <c r="J862" t="n">
        <v>0.4084</v>
      </c>
      <c r="K862" t="n">
        <v>0.149</v>
      </c>
      <c r="L862" t="n">
        <v>0.607</v>
      </c>
      <c r="M862" t="n">
        <v>0.244</v>
      </c>
    </row>
    <row r="863" spans="1:13">
      <c r="A863" s="1">
        <f>HYPERLINK("http://www.twitter.com/NathanBLawrence/status/991398838597537793", "991398838597537793")</f>
        <v/>
      </c>
      <c r="B863" s="2" t="n">
        <v>43221.81107638889</v>
      </c>
      <c r="C863" t="n">
        <v>1</v>
      </c>
      <c r="D863" t="n">
        <v>0</v>
      </c>
      <c r="E863" t="s">
        <v>874</v>
      </c>
      <c r="F863" t="s"/>
      <c r="G863" t="s"/>
      <c r="H863" t="s"/>
      <c r="I863" t="s"/>
      <c r="J863" t="n">
        <v>-0.7783</v>
      </c>
      <c r="K863" t="n">
        <v>0.405</v>
      </c>
      <c r="L863" t="n">
        <v>0.595</v>
      </c>
      <c r="M863" t="n">
        <v>0</v>
      </c>
    </row>
    <row r="864" spans="1:13">
      <c r="A864" s="1">
        <f>HYPERLINK("http://www.twitter.com/NathanBLawrence/status/991398234861047808", "991398234861047808")</f>
        <v/>
      </c>
      <c r="B864" s="2" t="n">
        <v>43221.80940972222</v>
      </c>
      <c r="C864" t="n">
        <v>1</v>
      </c>
      <c r="D864" t="n">
        <v>0</v>
      </c>
      <c r="E864" t="s">
        <v>875</v>
      </c>
      <c r="F864" t="s"/>
      <c r="G864" t="s"/>
      <c r="H864" t="s"/>
      <c r="I864" t="s"/>
      <c r="J864" t="n">
        <v>-0.2732</v>
      </c>
      <c r="K864" t="n">
        <v>0.157</v>
      </c>
      <c r="L864" t="n">
        <v>0.752</v>
      </c>
      <c r="M864" t="n">
        <v>0.091</v>
      </c>
    </row>
    <row r="865" spans="1:13">
      <c r="A865" s="1">
        <f>HYPERLINK("http://www.twitter.com/NathanBLawrence/status/991396816800370688", "991396816800370688")</f>
        <v/>
      </c>
      <c r="B865" s="2" t="n">
        <v>43221.80549768519</v>
      </c>
      <c r="C865" t="n">
        <v>1</v>
      </c>
      <c r="D865" t="n">
        <v>1</v>
      </c>
      <c r="E865" t="s">
        <v>876</v>
      </c>
      <c r="F865" t="s"/>
      <c r="G865" t="s"/>
      <c r="H865" t="s"/>
      <c r="I865" t="s"/>
      <c r="J865" t="n">
        <v>0.4753</v>
      </c>
      <c r="K865" t="n">
        <v>0</v>
      </c>
      <c r="L865" t="n">
        <v>0.631</v>
      </c>
      <c r="M865" t="n">
        <v>0.369</v>
      </c>
    </row>
    <row r="866" spans="1:13">
      <c r="A866" s="1">
        <f>HYPERLINK("http://www.twitter.com/NathanBLawrence/status/991389262888173568", "991389262888173568")</f>
        <v/>
      </c>
      <c r="B866" s="2" t="n">
        <v>43221.78465277778</v>
      </c>
      <c r="C866" t="n">
        <v>6</v>
      </c>
      <c r="D866" t="n">
        <v>3</v>
      </c>
      <c r="E866" t="s">
        <v>877</v>
      </c>
      <c r="F866" t="s"/>
      <c r="G866" t="s"/>
      <c r="H866" t="s"/>
      <c r="I866" t="s"/>
      <c r="J866" t="n">
        <v>0.836</v>
      </c>
      <c r="K866" t="n">
        <v>0</v>
      </c>
      <c r="L866" t="n">
        <v>0.752</v>
      </c>
      <c r="M866" t="n">
        <v>0.248</v>
      </c>
    </row>
    <row r="867" spans="1:13">
      <c r="A867" s="1">
        <f>HYPERLINK("http://www.twitter.com/NathanBLawrence/status/991388440083226624", "991388440083226624")</f>
        <v/>
      </c>
      <c r="B867" s="2" t="n">
        <v>43221.78237268519</v>
      </c>
      <c r="C867" t="n">
        <v>0</v>
      </c>
      <c r="D867" t="n">
        <v>0</v>
      </c>
      <c r="E867" t="s">
        <v>878</v>
      </c>
      <c r="F867" t="s"/>
      <c r="G867" t="s"/>
      <c r="H867" t="s"/>
      <c r="I867" t="s"/>
      <c r="J867" t="n">
        <v>-0.6597</v>
      </c>
      <c r="K867" t="n">
        <v>0.206</v>
      </c>
      <c r="L867" t="n">
        <v>0.794</v>
      </c>
      <c r="M867" t="n">
        <v>0</v>
      </c>
    </row>
    <row r="868" spans="1:13">
      <c r="A868" s="1">
        <f>HYPERLINK("http://www.twitter.com/NathanBLawrence/status/991387951442661376", "991387951442661376")</f>
        <v/>
      </c>
      <c r="B868" s="2" t="n">
        <v>43221.78103009259</v>
      </c>
      <c r="C868" t="n">
        <v>0</v>
      </c>
      <c r="D868" t="n">
        <v>0</v>
      </c>
      <c r="E868" t="s">
        <v>879</v>
      </c>
      <c r="F868" t="s"/>
      <c r="G868" t="s"/>
      <c r="H868" t="s"/>
      <c r="I868" t="s"/>
      <c r="J868" t="n">
        <v>0</v>
      </c>
      <c r="K868" t="n">
        <v>0</v>
      </c>
      <c r="L868" t="n">
        <v>1</v>
      </c>
      <c r="M868" t="n">
        <v>0</v>
      </c>
    </row>
    <row r="869" spans="1:13">
      <c r="A869" s="1">
        <f>HYPERLINK("http://www.twitter.com/NathanBLawrence/status/991387527067119627", "991387527067119627")</f>
        <v/>
      </c>
      <c r="B869" s="2" t="n">
        <v>43221.77986111111</v>
      </c>
      <c r="C869" t="n">
        <v>0</v>
      </c>
      <c r="D869" t="n">
        <v>0</v>
      </c>
      <c r="E869" t="s">
        <v>880</v>
      </c>
      <c r="F869" t="s"/>
      <c r="G869" t="s"/>
      <c r="H869" t="s"/>
      <c r="I869" t="s"/>
      <c r="J869" t="n">
        <v>0</v>
      </c>
      <c r="K869" t="n">
        <v>0</v>
      </c>
      <c r="L869" t="n">
        <v>1</v>
      </c>
      <c r="M869" t="n">
        <v>0</v>
      </c>
    </row>
    <row r="870" spans="1:13">
      <c r="A870" s="1">
        <f>HYPERLINK("http://www.twitter.com/NathanBLawrence/status/991387404174053376", "991387404174053376")</f>
        <v/>
      </c>
      <c r="B870" s="2" t="n">
        <v>43221.77951388889</v>
      </c>
      <c r="C870" t="n">
        <v>1</v>
      </c>
      <c r="D870" t="n">
        <v>0</v>
      </c>
      <c r="E870" t="s">
        <v>881</v>
      </c>
      <c r="F870" t="s"/>
      <c r="G870" t="s"/>
      <c r="H870" t="s"/>
      <c r="I870" t="s"/>
      <c r="J870" t="n">
        <v>0</v>
      </c>
      <c r="K870" t="n">
        <v>0</v>
      </c>
      <c r="L870" t="n">
        <v>1</v>
      </c>
      <c r="M870" t="n">
        <v>0</v>
      </c>
    </row>
    <row r="871" spans="1:13">
      <c r="A871" s="1">
        <f>HYPERLINK("http://www.twitter.com/NathanBLawrence/status/991386892636745731", "991386892636745731")</f>
        <v/>
      </c>
      <c r="B871" s="2" t="n">
        <v>43221.77810185185</v>
      </c>
      <c r="C871" t="n">
        <v>2</v>
      </c>
      <c r="D871" t="n">
        <v>1</v>
      </c>
      <c r="E871" t="s">
        <v>882</v>
      </c>
      <c r="F871" t="s"/>
      <c r="G871" t="s"/>
      <c r="H871" t="s"/>
      <c r="I871" t="s"/>
      <c r="J871" t="n">
        <v>0.7043</v>
      </c>
      <c r="K871" t="n">
        <v>0</v>
      </c>
      <c r="L871" t="n">
        <v>0.765</v>
      </c>
      <c r="M871" t="n">
        <v>0.235</v>
      </c>
    </row>
    <row r="872" spans="1:13">
      <c r="A872" s="1">
        <f>HYPERLINK("http://www.twitter.com/NathanBLawrence/status/991386486091210752", "991386486091210752")</f>
        <v/>
      </c>
      <c r="B872" s="2" t="n">
        <v>43221.77699074074</v>
      </c>
      <c r="C872" t="n">
        <v>0</v>
      </c>
      <c r="D872" t="n">
        <v>0</v>
      </c>
      <c r="E872" t="s">
        <v>883</v>
      </c>
      <c r="F872" t="s"/>
      <c r="G872" t="s"/>
      <c r="H872" t="s"/>
      <c r="I872" t="s"/>
      <c r="J872" t="n">
        <v>0.5719</v>
      </c>
      <c r="K872" t="n">
        <v>0</v>
      </c>
      <c r="L872" t="n">
        <v>0.39</v>
      </c>
      <c r="M872" t="n">
        <v>0.61</v>
      </c>
    </row>
    <row r="873" spans="1:13">
      <c r="A873" s="1">
        <f>HYPERLINK("http://www.twitter.com/NathanBLawrence/status/991385965729124353", "991385965729124353")</f>
        <v/>
      </c>
      <c r="B873" s="2" t="n">
        <v>43221.77554398148</v>
      </c>
      <c r="C873" t="n">
        <v>2</v>
      </c>
      <c r="D873" t="n">
        <v>0</v>
      </c>
      <c r="E873" t="s">
        <v>884</v>
      </c>
      <c r="F873">
        <f>HYPERLINK("http://pbs.twimg.com/media/DcIcRfCUwAA1qDu.jpg", "http://pbs.twimg.com/media/DcIcRfCUwAA1qDu.jpg")</f>
        <v/>
      </c>
      <c r="G873" t="s"/>
      <c r="H873" t="s"/>
      <c r="I873" t="s"/>
      <c r="J873" t="n">
        <v>0.5266999999999999</v>
      </c>
      <c r="K873" t="n">
        <v>0</v>
      </c>
      <c r="L873" t="n">
        <v>0.892</v>
      </c>
      <c r="M873" t="n">
        <v>0.108</v>
      </c>
    </row>
    <row r="874" spans="1:13">
      <c r="A874" s="1">
        <f>HYPERLINK("http://www.twitter.com/NathanBLawrence/status/991385054285893632", "991385054285893632")</f>
        <v/>
      </c>
      <c r="B874" s="2" t="n">
        <v>43221.77303240741</v>
      </c>
      <c r="C874" t="n">
        <v>4</v>
      </c>
      <c r="D874" t="n">
        <v>1</v>
      </c>
      <c r="E874" t="s">
        <v>885</v>
      </c>
      <c r="F874">
        <f>HYPERLINK("http://pbs.twimg.com/media/DcIbcnUVAAAruWS.jpg", "http://pbs.twimg.com/media/DcIbcnUVAAAruWS.jpg")</f>
        <v/>
      </c>
      <c r="G874" t="s"/>
      <c r="H874" t="s"/>
      <c r="I874" t="s"/>
      <c r="J874" t="n">
        <v>0</v>
      </c>
      <c r="K874" t="n">
        <v>0</v>
      </c>
      <c r="L874" t="n">
        <v>1</v>
      </c>
      <c r="M874" t="n">
        <v>0</v>
      </c>
    </row>
    <row r="875" spans="1:13">
      <c r="A875" s="1">
        <f>HYPERLINK("http://www.twitter.com/NathanBLawrence/status/991384518199308293", "991384518199308293")</f>
        <v/>
      </c>
      <c r="B875" s="2" t="n">
        <v>43221.77155092593</v>
      </c>
      <c r="C875" t="n">
        <v>1</v>
      </c>
      <c r="D875" t="n">
        <v>0</v>
      </c>
      <c r="E875" t="s">
        <v>886</v>
      </c>
      <c r="F875" t="s"/>
      <c r="G875" t="s"/>
      <c r="H875" t="s"/>
      <c r="I875" t="s"/>
      <c r="J875" t="n">
        <v>0</v>
      </c>
      <c r="K875" t="n">
        <v>0</v>
      </c>
      <c r="L875" t="n">
        <v>1</v>
      </c>
      <c r="M875" t="n">
        <v>0</v>
      </c>
    </row>
    <row r="876" spans="1:13">
      <c r="A876" s="1">
        <f>HYPERLINK("http://www.twitter.com/NathanBLawrence/status/991372652337123329", "991372652337123329")</f>
        <v/>
      </c>
      <c r="B876" s="2" t="n">
        <v>43221.73880787037</v>
      </c>
      <c r="C876" t="n">
        <v>1</v>
      </c>
      <c r="D876" t="n">
        <v>0</v>
      </c>
      <c r="E876" t="s">
        <v>887</v>
      </c>
      <c r="F876">
        <f>HYPERLINK("http://pbs.twimg.com/media/DcIQKhtUQAAFWfo.jpg", "http://pbs.twimg.com/media/DcIQKhtUQAAFWfo.jpg")</f>
        <v/>
      </c>
      <c r="G876" t="s"/>
      <c r="H876" t="s"/>
      <c r="I876" t="s"/>
      <c r="J876" t="n">
        <v>0</v>
      </c>
      <c r="K876" t="n">
        <v>0</v>
      </c>
      <c r="L876" t="n">
        <v>1</v>
      </c>
      <c r="M876" t="n">
        <v>0</v>
      </c>
    </row>
    <row r="877" spans="1:13">
      <c r="A877" s="1">
        <f>HYPERLINK("http://www.twitter.com/NathanBLawrence/status/991368939258204161", "991368939258204161")</f>
        <v/>
      </c>
      <c r="B877" s="2" t="n">
        <v>43221.72856481482</v>
      </c>
      <c r="C877" t="n">
        <v>0</v>
      </c>
      <c r="D877" t="n">
        <v>0</v>
      </c>
      <c r="E877" t="s">
        <v>888</v>
      </c>
      <c r="F877">
        <f>HYPERLINK("http://pbs.twimg.com/media/DcIMy0zV0AAc2g5.jpg", "http://pbs.twimg.com/media/DcIMy0zV0AAc2g5.jpg")</f>
        <v/>
      </c>
      <c r="G877" t="s"/>
      <c r="H877" t="s"/>
      <c r="I877" t="s"/>
      <c r="J877" t="n">
        <v>0.3612</v>
      </c>
      <c r="K877" t="n">
        <v>0</v>
      </c>
      <c r="L877" t="n">
        <v>0.737</v>
      </c>
      <c r="M877" t="n">
        <v>0.263</v>
      </c>
    </row>
    <row r="878" spans="1:13">
      <c r="A878" s="1">
        <f>HYPERLINK("http://www.twitter.com/NathanBLawrence/status/991341214166323205", "991341214166323205")</f>
        <v/>
      </c>
      <c r="B878" s="2" t="n">
        <v>43221.65206018519</v>
      </c>
      <c r="C878" t="n">
        <v>0</v>
      </c>
      <c r="D878" t="n">
        <v>0</v>
      </c>
      <c r="E878" t="s">
        <v>889</v>
      </c>
      <c r="F878" t="s"/>
      <c r="G878" t="s"/>
      <c r="H878" t="s"/>
      <c r="I878" t="s"/>
      <c r="J878" t="n">
        <v>0.5106000000000001</v>
      </c>
      <c r="K878" t="n">
        <v>0</v>
      </c>
      <c r="L878" t="n">
        <v>0.837</v>
      </c>
      <c r="M878" t="n">
        <v>0.163</v>
      </c>
    </row>
    <row r="879" spans="1:13">
      <c r="A879" s="1">
        <f>HYPERLINK("http://www.twitter.com/NathanBLawrence/status/991340761097613314", "991340761097613314")</f>
        <v/>
      </c>
      <c r="B879" s="2" t="n">
        <v>43221.65081018519</v>
      </c>
      <c r="C879" t="n">
        <v>0</v>
      </c>
      <c r="D879" t="n">
        <v>70</v>
      </c>
      <c r="E879" t="s">
        <v>890</v>
      </c>
      <c r="F879" t="s"/>
      <c r="G879" t="s"/>
      <c r="H879" t="s"/>
      <c r="I879" t="s"/>
      <c r="J879" t="n">
        <v>0.7177</v>
      </c>
      <c r="K879" t="n">
        <v>0</v>
      </c>
      <c r="L879" t="n">
        <v>0.5</v>
      </c>
      <c r="M879" t="n">
        <v>0.5</v>
      </c>
    </row>
    <row r="880" spans="1:13">
      <c r="A880" s="1">
        <f>HYPERLINK("http://www.twitter.com/NathanBLawrence/status/991340408906174464", "991340408906174464")</f>
        <v/>
      </c>
      <c r="B880" s="2" t="n">
        <v>43221.64983796296</v>
      </c>
      <c r="C880" t="n">
        <v>0</v>
      </c>
      <c r="D880" t="n">
        <v>0</v>
      </c>
      <c r="E880" t="s">
        <v>891</v>
      </c>
      <c r="F880" t="s"/>
      <c r="G880" t="s"/>
      <c r="H880" t="s"/>
      <c r="I880" t="s"/>
      <c r="J880" t="n">
        <v>0.3182</v>
      </c>
      <c r="K880" t="n">
        <v>0</v>
      </c>
      <c r="L880" t="n">
        <v>0.465</v>
      </c>
      <c r="M880" t="n">
        <v>0.535</v>
      </c>
    </row>
    <row r="881" spans="1:13">
      <c r="A881" s="1">
        <f>HYPERLINK("http://www.twitter.com/NathanBLawrence/status/991298016467472384", "991298016467472384")</f>
        <v/>
      </c>
      <c r="B881" s="2" t="n">
        <v>43221.53285879629</v>
      </c>
      <c r="C881" t="n">
        <v>3</v>
      </c>
      <c r="D881" t="n">
        <v>0</v>
      </c>
      <c r="E881" t="s">
        <v>892</v>
      </c>
      <c r="F881" t="s"/>
      <c r="G881" t="s"/>
      <c r="H881" t="s"/>
      <c r="I881" t="s"/>
      <c r="J881" t="n">
        <v>0.3506</v>
      </c>
      <c r="K881" t="n">
        <v>0</v>
      </c>
      <c r="L881" t="n">
        <v>0.907</v>
      </c>
      <c r="M881" t="n">
        <v>0.093</v>
      </c>
    </row>
    <row r="882" spans="1:13">
      <c r="A882" s="1">
        <f>HYPERLINK("http://www.twitter.com/NathanBLawrence/status/991292663113682946", "991292663113682946")</f>
        <v/>
      </c>
      <c r="B882" s="2" t="n">
        <v>43221.5180787037</v>
      </c>
      <c r="C882" t="n">
        <v>12</v>
      </c>
      <c r="D882" t="n">
        <v>5</v>
      </c>
      <c r="E882" t="s">
        <v>893</v>
      </c>
      <c r="F882" t="s"/>
      <c r="G882" t="s"/>
      <c r="H882" t="s"/>
      <c r="I882" t="s"/>
      <c r="J882" t="n">
        <v>0.6369</v>
      </c>
      <c r="K882" t="n">
        <v>0</v>
      </c>
      <c r="L882" t="n">
        <v>0.785</v>
      </c>
      <c r="M882" t="n">
        <v>0.215</v>
      </c>
    </row>
    <row r="883" spans="1:13">
      <c r="A883" s="1">
        <f>HYPERLINK("http://www.twitter.com/NathanBLawrence/status/991291466394857472", "991291466394857472")</f>
        <v/>
      </c>
      <c r="B883" s="2" t="n">
        <v>43221.51478009259</v>
      </c>
      <c r="C883" t="n">
        <v>5</v>
      </c>
      <c r="D883" t="n">
        <v>1</v>
      </c>
      <c r="E883" t="s">
        <v>894</v>
      </c>
      <c r="F883" t="s"/>
      <c r="G883" t="s"/>
      <c r="H883" t="s"/>
      <c r="I883" t="s"/>
      <c r="J883" t="n">
        <v>0.6988</v>
      </c>
      <c r="K883" t="n">
        <v>0</v>
      </c>
      <c r="L883" t="n">
        <v>0.708</v>
      </c>
      <c r="M883" t="n">
        <v>0.292</v>
      </c>
    </row>
    <row r="884" spans="1:13">
      <c r="A884" s="1">
        <f>HYPERLINK("http://www.twitter.com/NathanBLawrence/status/991286204380434432", "991286204380434432")</f>
        <v/>
      </c>
      <c r="B884" s="2" t="n">
        <v>43221.50025462963</v>
      </c>
      <c r="C884" t="n">
        <v>0</v>
      </c>
      <c r="D884" t="n">
        <v>0</v>
      </c>
      <c r="E884" t="s">
        <v>895</v>
      </c>
      <c r="F884" t="s"/>
      <c r="G884" t="s"/>
      <c r="H884" t="s"/>
      <c r="I884" t="s"/>
      <c r="J884" t="n">
        <v>0.6841</v>
      </c>
      <c r="K884" t="n">
        <v>0</v>
      </c>
      <c r="L884" t="n">
        <v>0.713</v>
      </c>
      <c r="M884" t="n">
        <v>0.287</v>
      </c>
    </row>
    <row r="885" spans="1:13">
      <c r="A885" s="1">
        <f>HYPERLINK("http://www.twitter.com/NathanBLawrence/status/991285874917826562", "991285874917826562")</f>
        <v/>
      </c>
      <c r="B885" s="2" t="n">
        <v>43221.49935185185</v>
      </c>
      <c r="C885" t="n">
        <v>0</v>
      </c>
      <c r="D885" t="n">
        <v>0</v>
      </c>
      <c r="E885" t="s">
        <v>896</v>
      </c>
      <c r="F885" t="s"/>
      <c r="G885" t="s"/>
      <c r="H885" t="s"/>
      <c r="I885" t="s"/>
      <c r="J885" t="n">
        <v>0</v>
      </c>
      <c r="K885" t="n">
        <v>0</v>
      </c>
      <c r="L885" t="n">
        <v>1</v>
      </c>
      <c r="M885" t="n">
        <v>0</v>
      </c>
    </row>
    <row r="886" spans="1:13">
      <c r="A886" s="1">
        <f>HYPERLINK("http://www.twitter.com/NathanBLawrence/status/991285547565010945", "991285547565010945")</f>
        <v/>
      </c>
      <c r="B886" s="2" t="n">
        <v>43221.49844907408</v>
      </c>
      <c r="C886" t="n">
        <v>0</v>
      </c>
      <c r="D886" t="n">
        <v>1860</v>
      </c>
      <c r="E886" t="s">
        <v>897</v>
      </c>
      <c r="F886">
        <f>HYPERLINK("https://video.twimg.com/ext_tw_video/990652077847162881/pu/vid/320x180/acoFF2eJxdV9gLNZ.mp4?tag=3", "https://video.twimg.com/ext_tw_video/990652077847162881/pu/vid/320x180/acoFF2eJxdV9gLNZ.mp4?tag=3")</f>
        <v/>
      </c>
      <c r="G886" t="s"/>
      <c r="H886" t="s"/>
      <c r="I886" t="s"/>
      <c r="J886" t="n">
        <v>0.0772</v>
      </c>
      <c r="K886" t="n">
        <v>0</v>
      </c>
      <c r="L886" t="n">
        <v>0.9419999999999999</v>
      </c>
      <c r="M886" t="n">
        <v>0.058</v>
      </c>
    </row>
    <row r="887" spans="1:13">
      <c r="A887" s="1">
        <f>HYPERLINK("http://www.twitter.com/NathanBLawrence/status/991284977932304384", "991284977932304384")</f>
        <v/>
      </c>
      <c r="B887" s="2" t="n">
        <v>43221.496875</v>
      </c>
      <c r="C887" t="n">
        <v>2</v>
      </c>
      <c r="D887" t="n">
        <v>0</v>
      </c>
      <c r="E887" t="s">
        <v>898</v>
      </c>
      <c r="F887" t="s"/>
      <c r="G887" t="s"/>
      <c r="H887" t="s"/>
      <c r="I887" t="s"/>
      <c r="J887" t="n">
        <v>-0.5359</v>
      </c>
      <c r="K887" t="n">
        <v>0.178</v>
      </c>
      <c r="L887" t="n">
        <v>0.822</v>
      </c>
      <c r="M887" t="n">
        <v>0</v>
      </c>
    </row>
    <row r="888" spans="1:13">
      <c r="A888" s="1">
        <f>HYPERLINK("http://www.twitter.com/NathanBLawrence/status/991284727436005377", "991284727436005377")</f>
        <v/>
      </c>
      <c r="B888" s="2" t="n">
        <v>43221.49618055556</v>
      </c>
      <c r="C888" t="n">
        <v>1</v>
      </c>
      <c r="D888" t="n">
        <v>0</v>
      </c>
      <c r="E888" t="s">
        <v>899</v>
      </c>
      <c r="F888" t="s"/>
      <c r="G888" t="s"/>
      <c r="H888" t="s"/>
      <c r="I888" t="s"/>
      <c r="J888" t="n">
        <v>0</v>
      </c>
      <c r="K888" t="n">
        <v>0</v>
      </c>
      <c r="L888" t="n">
        <v>1</v>
      </c>
      <c r="M888" t="n">
        <v>0</v>
      </c>
    </row>
    <row r="889" spans="1:13">
      <c r="A889" s="1">
        <f>HYPERLINK("http://www.twitter.com/NathanBLawrence/status/991171791287672832", "991171791287672832")</f>
        <v/>
      </c>
      <c r="B889" s="2" t="n">
        <v>43221.18453703704</v>
      </c>
      <c r="C889" t="n">
        <v>1</v>
      </c>
      <c r="D889" t="n">
        <v>0</v>
      </c>
      <c r="E889" t="s">
        <v>900</v>
      </c>
      <c r="F889">
        <f>HYPERLINK("http://pbs.twimg.com/media/DcFZe0NVwAAVneP.jpg", "http://pbs.twimg.com/media/DcFZe0NVwAAVneP.jpg")</f>
        <v/>
      </c>
      <c r="G889" t="s"/>
      <c r="H889" t="s"/>
      <c r="I889" t="s"/>
      <c r="J889" t="n">
        <v>0.4215</v>
      </c>
      <c r="K889" t="n">
        <v>0</v>
      </c>
      <c r="L889" t="n">
        <v>0.902</v>
      </c>
      <c r="M889" t="n">
        <v>0.098</v>
      </c>
    </row>
    <row r="890" spans="1:13">
      <c r="A890" s="1">
        <f>HYPERLINK("http://www.twitter.com/NathanBLawrence/status/991167542923276288", "991167542923276288")</f>
        <v/>
      </c>
      <c r="B890" s="2" t="n">
        <v>43221.1728125</v>
      </c>
      <c r="C890" t="n">
        <v>1</v>
      </c>
      <c r="D890" t="n">
        <v>0</v>
      </c>
      <c r="E890" t="s">
        <v>901</v>
      </c>
      <c r="F890" t="s"/>
      <c r="G890" t="s"/>
      <c r="H890" t="s"/>
      <c r="I890" t="s"/>
      <c r="J890" t="n">
        <v>-0.5349</v>
      </c>
      <c r="K890" t="n">
        <v>0.117</v>
      </c>
      <c r="L890" t="n">
        <v>0.883</v>
      </c>
      <c r="M890" t="n">
        <v>0</v>
      </c>
    </row>
    <row r="891" spans="1:13">
      <c r="A891" s="1">
        <f>HYPERLINK("http://www.twitter.com/NathanBLawrence/status/991162784779001856", "991162784779001856")</f>
        <v/>
      </c>
      <c r="B891" s="2" t="n">
        <v>43221.1596875</v>
      </c>
      <c r="C891" t="n">
        <v>1</v>
      </c>
      <c r="D891" t="n">
        <v>0</v>
      </c>
      <c r="E891" t="s">
        <v>902</v>
      </c>
      <c r="F891" t="s"/>
      <c r="G891" t="s"/>
      <c r="H891" t="s"/>
      <c r="I891" t="s"/>
      <c r="J891" t="n">
        <v>-0.1531</v>
      </c>
      <c r="K891" t="n">
        <v>0.307</v>
      </c>
      <c r="L891" t="n">
        <v>0.429</v>
      </c>
      <c r="M891" t="n">
        <v>0.264</v>
      </c>
    </row>
    <row r="892" spans="1:13">
      <c r="A892" s="1">
        <f>HYPERLINK("http://www.twitter.com/NathanBLawrence/status/991162671255965696", "991162671255965696")</f>
        <v/>
      </c>
      <c r="B892" s="2" t="n">
        <v>43221.159375</v>
      </c>
      <c r="C892" t="n">
        <v>0</v>
      </c>
      <c r="D892" t="n">
        <v>0</v>
      </c>
      <c r="E892" t="s">
        <v>903</v>
      </c>
      <c r="F892" t="s"/>
      <c r="G892" t="s"/>
      <c r="H892" t="s"/>
      <c r="I892" t="s"/>
      <c r="J892" t="n">
        <v>0</v>
      </c>
      <c r="K892" t="n">
        <v>0</v>
      </c>
      <c r="L892" t="n">
        <v>1</v>
      </c>
      <c r="M892" t="n">
        <v>0</v>
      </c>
    </row>
    <row r="893" spans="1:13">
      <c r="A893" s="1">
        <f>HYPERLINK("http://www.twitter.com/NathanBLawrence/status/991160282293723136", "991160282293723136")</f>
        <v/>
      </c>
      <c r="B893" s="2" t="n">
        <v>43221.15277777778</v>
      </c>
      <c r="C893" t="n">
        <v>1</v>
      </c>
      <c r="D893" t="n">
        <v>0</v>
      </c>
      <c r="E893" t="s">
        <v>904</v>
      </c>
      <c r="F893" t="s"/>
      <c r="G893" t="s"/>
      <c r="H893" t="s"/>
      <c r="I893" t="s"/>
      <c r="J893" t="n">
        <v>0.6124000000000001</v>
      </c>
      <c r="K893" t="n">
        <v>0</v>
      </c>
      <c r="L893" t="n">
        <v>0.5</v>
      </c>
      <c r="M893" t="n">
        <v>0.5</v>
      </c>
    </row>
    <row r="894" spans="1:13">
      <c r="A894" s="1">
        <f>HYPERLINK("http://www.twitter.com/NathanBLawrence/status/991158291316211712", "991158291316211712")</f>
        <v/>
      </c>
      <c r="B894" s="2" t="n">
        <v>43221.14729166667</v>
      </c>
      <c r="C894" t="n">
        <v>1</v>
      </c>
      <c r="D894" t="n">
        <v>0</v>
      </c>
      <c r="E894" t="s">
        <v>905</v>
      </c>
      <c r="F894" t="s"/>
      <c r="G894" t="s"/>
      <c r="H894" t="s"/>
      <c r="I894" t="s"/>
      <c r="J894" t="n">
        <v>0.4019</v>
      </c>
      <c r="K894" t="n">
        <v>0</v>
      </c>
      <c r="L894" t="n">
        <v>0.426</v>
      </c>
      <c r="M894" t="n">
        <v>0.574</v>
      </c>
    </row>
    <row r="895" spans="1:13">
      <c r="A895" s="1">
        <f>HYPERLINK("http://www.twitter.com/NathanBLawrence/status/991155429714644992", "991155429714644992")</f>
        <v/>
      </c>
      <c r="B895" s="2" t="n">
        <v>43221.13938657408</v>
      </c>
      <c r="C895" t="n">
        <v>1</v>
      </c>
      <c r="D895" t="n">
        <v>0</v>
      </c>
      <c r="E895" t="s">
        <v>906</v>
      </c>
      <c r="F895" t="s"/>
      <c r="G895" t="s"/>
      <c r="H895" t="s"/>
      <c r="I895" t="s"/>
      <c r="J895" t="n">
        <v>-0.7345</v>
      </c>
      <c r="K895" t="n">
        <v>0.228</v>
      </c>
      <c r="L895" t="n">
        <v>0.772</v>
      </c>
      <c r="M895" t="n">
        <v>0</v>
      </c>
    </row>
    <row r="896" spans="1:13">
      <c r="A896" s="1">
        <f>HYPERLINK("http://www.twitter.com/NathanBLawrence/status/991154234279235584", "991154234279235584")</f>
        <v/>
      </c>
      <c r="B896" s="2" t="n">
        <v>43221.13608796296</v>
      </c>
      <c r="C896" t="n">
        <v>9</v>
      </c>
      <c r="D896" t="n">
        <v>4</v>
      </c>
      <c r="E896" t="s">
        <v>907</v>
      </c>
      <c r="F896" t="s"/>
      <c r="G896" t="s"/>
      <c r="H896" t="s"/>
      <c r="I896" t="s"/>
      <c r="J896" t="n">
        <v>0</v>
      </c>
      <c r="K896" t="n">
        <v>0</v>
      </c>
      <c r="L896" t="n">
        <v>1</v>
      </c>
      <c r="M896" t="n">
        <v>0</v>
      </c>
    </row>
    <row r="897" spans="1:13">
      <c r="A897" s="1">
        <f>HYPERLINK("http://www.twitter.com/NathanBLawrence/status/991153623521427457", "991153623521427457")</f>
        <v/>
      </c>
      <c r="B897" s="2" t="n">
        <v>43221.13440972222</v>
      </c>
      <c r="C897" t="n">
        <v>0</v>
      </c>
      <c r="D897" t="n">
        <v>0</v>
      </c>
      <c r="E897" t="s">
        <v>908</v>
      </c>
      <c r="F897" t="s"/>
      <c r="G897" t="s"/>
      <c r="H897" t="s"/>
      <c r="I897" t="s"/>
      <c r="J897" t="n">
        <v>0</v>
      </c>
      <c r="K897" t="n">
        <v>0</v>
      </c>
      <c r="L897" t="n">
        <v>1</v>
      </c>
      <c r="M897" t="n">
        <v>0</v>
      </c>
    </row>
    <row r="898" spans="1:13">
      <c r="A898" s="1">
        <f>HYPERLINK("http://www.twitter.com/NathanBLawrence/status/991153443002830848", "991153443002830848")</f>
        <v/>
      </c>
      <c r="B898" s="2" t="n">
        <v>43221.13391203704</v>
      </c>
      <c r="C898" t="n">
        <v>3</v>
      </c>
      <c r="D898" t="n">
        <v>1</v>
      </c>
      <c r="E898" t="s">
        <v>909</v>
      </c>
      <c r="F898" t="s"/>
      <c r="G898" t="s"/>
      <c r="H898" t="s"/>
      <c r="I898" t="s"/>
      <c r="J898" t="n">
        <v>-0.3818</v>
      </c>
      <c r="K898" t="n">
        <v>0.149</v>
      </c>
      <c r="L898" t="n">
        <v>0.761</v>
      </c>
      <c r="M898" t="n">
        <v>0.091</v>
      </c>
    </row>
    <row r="899" spans="1:13">
      <c r="A899" s="1">
        <f>HYPERLINK("http://www.twitter.com/NathanBLawrence/status/991152530645311488", "991152530645311488")</f>
        <v/>
      </c>
      <c r="B899" s="2" t="n">
        <v>43221.13138888889</v>
      </c>
      <c r="C899" t="n">
        <v>3</v>
      </c>
      <c r="D899" t="n">
        <v>0</v>
      </c>
      <c r="E899" t="s">
        <v>910</v>
      </c>
      <c r="F899" t="s"/>
      <c r="G899" t="s"/>
      <c r="H899" t="s"/>
      <c r="I899" t="s"/>
      <c r="J899" t="n">
        <v>0.2808</v>
      </c>
      <c r="K899" t="n">
        <v>0.083</v>
      </c>
      <c r="L899" t="n">
        <v>0.795</v>
      </c>
      <c r="M899" t="n">
        <v>0.122</v>
      </c>
    </row>
    <row r="900" spans="1:13">
      <c r="A900" s="1">
        <f>HYPERLINK("http://www.twitter.com/NathanBLawrence/status/991151674583584768", "991151674583584768")</f>
        <v/>
      </c>
      <c r="B900" s="2" t="n">
        <v>43221.12902777778</v>
      </c>
      <c r="C900" t="n">
        <v>2</v>
      </c>
      <c r="D900" t="n">
        <v>0</v>
      </c>
      <c r="E900" t="s">
        <v>911</v>
      </c>
      <c r="F900" t="s"/>
      <c r="G900" t="s"/>
      <c r="H900" t="s"/>
      <c r="I900" t="s"/>
      <c r="J900" t="n">
        <v>0</v>
      </c>
      <c r="K900" t="n">
        <v>0</v>
      </c>
      <c r="L900" t="n">
        <v>1</v>
      </c>
      <c r="M900" t="n">
        <v>0</v>
      </c>
    </row>
    <row r="901" spans="1:13">
      <c r="A901" s="1">
        <f>HYPERLINK("http://www.twitter.com/NathanBLawrence/status/991150049936773120", "991150049936773120")</f>
        <v/>
      </c>
      <c r="B901" s="2" t="n">
        <v>43221.12454861111</v>
      </c>
      <c r="C901" t="n">
        <v>0</v>
      </c>
      <c r="D901" t="n">
        <v>0</v>
      </c>
      <c r="E901" t="s">
        <v>912</v>
      </c>
      <c r="F901" t="s"/>
      <c r="G901" t="s"/>
      <c r="H901" t="s"/>
      <c r="I901" t="s"/>
      <c r="J901" t="n">
        <v>-0.25</v>
      </c>
      <c r="K901" t="n">
        <v>0.136</v>
      </c>
      <c r="L901" t="n">
        <v>0.864</v>
      </c>
      <c r="M901" t="n">
        <v>0</v>
      </c>
    </row>
    <row r="902" spans="1:13">
      <c r="A902" s="1">
        <f>HYPERLINK("http://www.twitter.com/NathanBLawrence/status/991137709669408768", "991137709669408768")</f>
        <v/>
      </c>
      <c r="B902" s="2" t="n">
        <v>43221.09049768518</v>
      </c>
      <c r="C902" t="n">
        <v>3</v>
      </c>
      <c r="D902" t="n">
        <v>0</v>
      </c>
      <c r="E902" t="s">
        <v>913</v>
      </c>
      <c r="F902" t="s"/>
      <c r="G902" t="s"/>
      <c r="H902" t="s"/>
      <c r="I902" t="s"/>
      <c r="J902" t="n">
        <v>0</v>
      </c>
      <c r="K902" t="n">
        <v>0</v>
      </c>
      <c r="L902" t="n">
        <v>1</v>
      </c>
      <c r="M902" t="n">
        <v>0</v>
      </c>
    </row>
    <row r="903" spans="1:13">
      <c r="A903" s="1">
        <f>HYPERLINK("http://www.twitter.com/NathanBLawrence/status/991135016255188992", "991135016255188992")</f>
        <v/>
      </c>
      <c r="B903" s="2" t="n">
        <v>43221.08305555556</v>
      </c>
      <c r="C903" t="n">
        <v>0</v>
      </c>
      <c r="D903" t="n">
        <v>1</v>
      </c>
      <c r="E903" t="s">
        <v>914</v>
      </c>
      <c r="F903" t="s"/>
      <c r="G903" t="s"/>
      <c r="H903" t="s"/>
      <c r="I903" t="s"/>
      <c r="J903" t="n">
        <v>-0.5574</v>
      </c>
      <c r="K903" t="n">
        <v>0.205</v>
      </c>
      <c r="L903" t="n">
        <v>0.795</v>
      </c>
      <c r="M903" t="n">
        <v>0</v>
      </c>
    </row>
    <row r="904" spans="1:13">
      <c r="A904" s="1">
        <f>HYPERLINK("http://www.twitter.com/NathanBLawrence/status/991134878929440769", "991134878929440769")</f>
        <v/>
      </c>
      <c r="B904" s="2" t="n">
        <v>43221.08268518518</v>
      </c>
      <c r="C904" t="n">
        <v>1</v>
      </c>
      <c r="D904" t="n">
        <v>0</v>
      </c>
      <c r="E904" t="s">
        <v>915</v>
      </c>
      <c r="F904" t="s"/>
      <c r="G904" t="s"/>
      <c r="H904" t="s"/>
      <c r="I904" t="s"/>
      <c r="J904" t="n">
        <v>0</v>
      </c>
      <c r="K904" t="n">
        <v>0</v>
      </c>
      <c r="L904" t="n">
        <v>1</v>
      </c>
      <c r="M904" t="n">
        <v>0</v>
      </c>
    </row>
    <row r="905" spans="1:13">
      <c r="A905" s="1">
        <f>HYPERLINK("http://www.twitter.com/NathanBLawrence/status/991133967674986496", "991133967674986496")</f>
        <v/>
      </c>
      <c r="B905" s="2" t="n">
        <v>43221.08016203704</v>
      </c>
      <c r="C905" t="n">
        <v>3</v>
      </c>
      <c r="D905" t="n">
        <v>0</v>
      </c>
      <c r="E905" t="s">
        <v>916</v>
      </c>
      <c r="F905" t="s"/>
      <c r="G905" t="s"/>
      <c r="H905" t="s"/>
      <c r="I905" t="s"/>
      <c r="J905" t="n">
        <v>0</v>
      </c>
      <c r="K905" t="n">
        <v>0</v>
      </c>
      <c r="L905" t="n">
        <v>1</v>
      </c>
      <c r="M905" t="n">
        <v>0</v>
      </c>
    </row>
    <row r="906" spans="1:13">
      <c r="A906" s="1">
        <f>HYPERLINK("http://www.twitter.com/NathanBLawrence/status/991133826595348480", "991133826595348480")</f>
        <v/>
      </c>
      <c r="B906" s="2" t="n">
        <v>43221.07978009259</v>
      </c>
      <c r="C906" t="n">
        <v>2</v>
      </c>
      <c r="D906" t="n">
        <v>0</v>
      </c>
      <c r="E906" t="s">
        <v>917</v>
      </c>
      <c r="F906" t="s"/>
      <c r="G906" t="s"/>
      <c r="H906" t="s"/>
      <c r="I906" t="s"/>
      <c r="J906" t="n">
        <v>0.8034</v>
      </c>
      <c r="K906" t="n">
        <v>0</v>
      </c>
      <c r="L906" t="n">
        <v>0.492</v>
      </c>
      <c r="M906" t="n">
        <v>0.508</v>
      </c>
    </row>
    <row r="907" spans="1:13">
      <c r="A907" s="1">
        <f>HYPERLINK("http://www.twitter.com/NathanBLawrence/status/991123546989621248", "991123546989621248")</f>
        <v/>
      </c>
      <c r="B907" s="2" t="n">
        <v>43221.05141203704</v>
      </c>
      <c r="C907" t="n">
        <v>3</v>
      </c>
      <c r="D907" t="n">
        <v>2</v>
      </c>
      <c r="E907" t="s">
        <v>918</v>
      </c>
      <c r="F907">
        <f>HYPERLINK("http://pbs.twimg.com/media/DcEtmsXVAAIWg8-.jpg", "http://pbs.twimg.com/media/DcEtmsXVAAIWg8-.jpg")</f>
        <v/>
      </c>
      <c r="G907" t="s"/>
      <c r="H907" t="s"/>
      <c r="I907" t="s"/>
      <c r="J907" t="n">
        <v>0.5399</v>
      </c>
      <c r="K907" t="n">
        <v>0</v>
      </c>
      <c r="L907" t="n">
        <v>0.893</v>
      </c>
      <c r="M907" t="n">
        <v>0.107</v>
      </c>
    </row>
    <row r="908" spans="1:13">
      <c r="A908" s="1">
        <f>HYPERLINK("http://www.twitter.com/NathanBLawrence/status/991119163140788224", "991119163140788224")</f>
        <v/>
      </c>
      <c r="B908" s="2" t="n">
        <v>43221.03931712963</v>
      </c>
      <c r="C908" t="n">
        <v>2</v>
      </c>
      <c r="D908" t="n">
        <v>0</v>
      </c>
      <c r="E908" t="s">
        <v>919</v>
      </c>
      <c r="F908" t="s"/>
      <c r="G908" t="s"/>
      <c r="H908" t="s"/>
      <c r="I908" t="s"/>
      <c r="J908" t="n">
        <v>0.5859</v>
      </c>
      <c r="K908" t="n">
        <v>0</v>
      </c>
      <c r="L908" t="n">
        <v>0.513</v>
      </c>
      <c r="M908" t="n">
        <v>0.487</v>
      </c>
    </row>
    <row r="909" spans="1:13">
      <c r="A909" s="1">
        <f>HYPERLINK("http://www.twitter.com/NathanBLawrence/status/991119108040249344", "991119108040249344")</f>
        <v/>
      </c>
      <c r="B909" s="2" t="n">
        <v>43221.03916666667</v>
      </c>
      <c r="C909" t="n">
        <v>4</v>
      </c>
      <c r="D909" t="n">
        <v>0</v>
      </c>
      <c r="E909" t="s">
        <v>920</v>
      </c>
      <c r="F909" t="s"/>
      <c r="G909" t="s"/>
      <c r="H909" t="s"/>
      <c r="I909" t="s"/>
      <c r="J909" t="n">
        <v>0.3612</v>
      </c>
      <c r="K909" t="n">
        <v>0</v>
      </c>
      <c r="L909" t="n">
        <v>0.615</v>
      </c>
      <c r="M909" t="n">
        <v>0.385</v>
      </c>
    </row>
    <row r="910" spans="1:13">
      <c r="A910" s="1">
        <f>HYPERLINK("http://www.twitter.com/NathanBLawrence/status/991118295846850560", "991118295846850560")</f>
        <v/>
      </c>
      <c r="B910" s="2" t="n">
        <v>43221.0369212963</v>
      </c>
      <c r="C910" t="n">
        <v>0</v>
      </c>
      <c r="D910" t="n">
        <v>0</v>
      </c>
      <c r="E910" t="s">
        <v>921</v>
      </c>
      <c r="F910" t="s"/>
      <c r="G910" t="s"/>
      <c r="H910" t="s"/>
      <c r="I910" t="s"/>
      <c r="J910" t="n">
        <v>0</v>
      </c>
      <c r="K910" t="n">
        <v>0</v>
      </c>
      <c r="L910" t="n">
        <v>1</v>
      </c>
      <c r="M910" t="n">
        <v>0</v>
      </c>
    </row>
    <row r="911" spans="1:13">
      <c r="A911" s="1">
        <f>HYPERLINK("http://www.twitter.com/NathanBLawrence/status/991117975452340226", "991117975452340226")</f>
        <v/>
      </c>
      <c r="B911" s="2" t="n">
        <v>43221.03604166667</v>
      </c>
      <c r="C911" t="n">
        <v>1</v>
      </c>
      <c r="D911" t="n">
        <v>0</v>
      </c>
      <c r="E911" t="s">
        <v>922</v>
      </c>
      <c r="F911" t="s"/>
      <c r="G911" t="s"/>
      <c r="H911" t="s"/>
      <c r="I911" t="s"/>
      <c r="J911" t="n">
        <v>0</v>
      </c>
      <c r="K911" t="n">
        <v>0</v>
      </c>
      <c r="L911" t="n">
        <v>1</v>
      </c>
      <c r="M911" t="n">
        <v>0</v>
      </c>
    </row>
    <row r="912" spans="1:13">
      <c r="A912" s="1">
        <f>HYPERLINK("http://www.twitter.com/NathanBLawrence/status/991115808448409601", "991115808448409601")</f>
        <v/>
      </c>
      <c r="B912" s="2" t="n">
        <v>43221.03005787037</v>
      </c>
      <c r="C912" t="n">
        <v>0</v>
      </c>
      <c r="D912" t="n">
        <v>0</v>
      </c>
      <c r="E912" t="s">
        <v>923</v>
      </c>
      <c r="F912" t="s"/>
      <c r="G912" t="s"/>
      <c r="H912" t="s"/>
      <c r="I912" t="s"/>
      <c r="J912" t="n">
        <v>0</v>
      </c>
      <c r="K912" t="n">
        <v>0</v>
      </c>
      <c r="L912" t="n">
        <v>1</v>
      </c>
      <c r="M912" t="n">
        <v>0</v>
      </c>
    </row>
    <row r="913" spans="1:13">
      <c r="A913" s="1">
        <f>HYPERLINK("http://www.twitter.com/NathanBLawrence/status/991115698016587780", "991115698016587780")</f>
        <v/>
      </c>
      <c r="B913" s="2" t="n">
        <v>43221.02975694444</v>
      </c>
      <c r="C913" t="n">
        <v>0</v>
      </c>
      <c r="D913" t="n">
        <v>41</v>
      </c>
      <c r="E913" t="s">
        <v>924</v>
      </c>
      <c r="F913" t="s"/>
      <c r="G913" t="s"/>
      <c r="H913" t="s"/>
      <c r="I913" t="s"/>
      <c r="J913" t="n">
        <v>-0.6408</v>
      </c>
      <c r="K913" t="n">
        <v>0.199</v>
      </c>
      <c r="L913" t="n">
        <v>0.801</v>
      </c>
      <c r="M913" t="n">
        <v>0</v>
      </c>
    </row>
    <row r="914" spans="1:13">
      <c r="A914" s="1">
        <f>HYPERLINK("http://www.twitter.com/NathanBLawrence/status/991115599895060482", "991115599895060482")</f>
        <v/>
      </c>
      <c r="B914" s="2" t="n">
        <v>43221.02947916667</v>
      </c>
      <c r="C914" t="n">
        <v>1</v>
      </c>
      <c r="D914" t="n">
        <v>0</v>
      </c>
      <c r="E914" t="s">
        <v>925</v>
      </c>
      <c r="F914" t="s"/>
      <c r="G914" t="s"/>
      <c r="H914" t="s"/>
      <c r="I914" t="s"/>
      <c r="J914" t="n">
        <v>-0.4514</v>
      </c>
      <c r="K914" t="n">
        <v>0.354</v>
      </c>
      <c r="L914" t="n">
        <v>0.434</v>
      </c>
      <c r="M914" t="n">
        <v>0.212</v>
      </c>
    </row>
    <row r="915" spans="1:13">
      <c r="A915" s="1">
        <f>HYPERLINK("http://www.twitter.com/NathanBLawrence/status/991115433355997184", "991115433355997184")</f>
        <v/>
      </c>
      <c r="B915" s="2" t="n">
        <v>43221.02902777777</v>
      </c>
      <c r="C915" t="n">
        <v>1</v>
      </c>
      <c r="D915" t="n">
        <v>0</v>
      </c>
      <c r="E915" t="s">
        <v>926</v>
      </c>
      <c r="F915" t="s"/>
      <c r="G915" t="s"/>
      <c r="H915" t="s"/>
      <c r="I915" t="s"/>
      <c r="J915" t="n">
        <v>0</v>
      </c>
      <c r="K915" t="n">
        <v>0</v>
      </c>
      <c r="L915" t="n">
        <v>1</v>
      </c>
      <c r="M915" t="n">
        <v>0</v>
      </c>
    </row>
    <row r="916" spans="1:13">
      <c r="A916" s="1">
        <f>HYPERLINK("http://www.twitter.com/NathanBLawrence/status/991115196671422464", "991115196671422464")</f>
        <v/>
      </c>
      <c r="B916" s="2" t="n">
        <v>43221.02836805556</v>
      </c>
      <c r="C916" t="n">
        <v>0</v>
      </c>
      <c r="D916" t="n">
        <v>0</v>
      </c>
      <c r="E916" t="s">
        <v>927</v>
      </c>
      <c r="F916" t="s"/>
      <c r="G916" t="s"/>
      <c r="H916" t="s"/>
      <c r="I916" t="s"/>
      <c r="J916" t="n">
        <v>-0.0772</v>
      </c>
      <c r="K916" t="n">
        <v>0.089</v>
      </c>
      <c r="L916" t="n">
        <v>0.831</v>
      </c>
      <c r="M916" t="n">
        <v>0.08</v>
      </c>
    </row>
    <row r="917" spans="1:13">
      <c r="A917" s="1">
        <f>HYPERLINK("http://www.twitter.com/NathanBLawrence/status/991114621074464768", "991114621074464768")</f>
        <v/>
      </c>
      <c r="B917" s="2" t="n">
        <v>43221.02678240741</v>
      </c>
      <c r="C917" t="n">
        <v>0</v>
      </c>
      <c r="D917" t="n">
        <v>0</v>
      </c>
      <c r="E917" t="s">
        <v>928</v>
      </c>
      <c r="F917" t="s"/>
      <c r="G917" t="s"/>
      <c r="H917" t="s"/>
      <c r="I917" t="s"/>
      <c r="J917" t="n">
        <v>0</v>
      </c>
      <c r="K917" t="n">
        <v>0</v>
      </c>
      <c r="L917" t="n">
        <v>1</v>
      </c>
      <c r="M917" t="n">
        <v>0</v>
      </c>
    </row>
    <row r="918" spans="1:13">
      <c r="A918" s="1">
        <f>HYPERLINK("http://www.twitter.com/NathanBLawrence/status/991114262222434304", "991114262222434304")</f>
        <v/>
      </c>
      <c r="B918" s="2" t="n">
        <v>43221.02578703704</v>
      </c>
      <c r="C918" t="n">
        <v>0</v>
      </c>
      <c r="D918" t="n">
        <v>29</v>
      </c>
      <c r="E918" t="s">
        <v>929</v>
      </c>
      <c r="F918" t="s"/>
      <c r="G918" t="s"/>
      <c r="H918" t="s"/>
      <c r="I918" t="s"/>
      <c r="J918" t="n">
        <v>0.3612</v>
      </c>
      <c r="K918" t="n">
        <v>0</v>
      </c>
      <c r="L918" t="n">
        <v>0.894</v>
      </c>
      <c r="M918" t="n">
        <v>0.106</v>
      </c>
    </row>
    <row r="919" spans="1:13">
      <c r="A919" s="1">
        <f>HYPERLINK("http://www.twitter.com/NathanBLawrence/status/991103459847032832", "991103459847032832")</f>
        <v/>
      </c>
      <c r="B919" s="2" t="n">
        <v>43220.9959837963</v>
      </c>
      <c r="C919" t="n">
        <v>0</v>
      </c>
      <c r="D919" t="n">
        <v>0</v>
      </c>
      <c r="E919" t="s">
        <v>930</v>
      </c>
      <c r="F919" t="s"/>
      <c r="G919" t="s"/>
      <c r="H919" t="s"/>
      <c r="I919" t="s"/>
      <c r="J919" t="n">
        <v>0</v>
      </c>
      <c r="K919" t="n">
        <v>0</v>
      </c>
      <c r="L919" t="n">
        <v>1</v>
      </c>
      <c r="M919" t="n">
        <v>0</v>
      </c>
    </row>
    <row r="920" spans="1:13">
      <c r="A920" s="1">
        <f>HYPERLINK("http://www.twitter.com/NathanBLawrence/status/991101730120138752", "991101730120138752")</f>
        <v/>
      </c>
      <c r="B920" s="2" t="n">
        <v>43220.99120370371</v>
      </c>
      <c r="C920" t="n">
        <v>2</v>
      </c>
      <c r="D920" t="n">
        <v>0</v>
      </c>
      <c r="E920" t="s">
        <v>931</v>
      </c>
      <c r="F920" t="s"/>
      <c r="G920" t="s"/>
      <c r="H920" t="s"/>
      <c r="I920" t="s"/>
      <c r="J920" t="n">
        <v>0.4321</v>
      </c>
      <c r="K920" t="n">
        <v>0</v>
      </c>
      <c r="L920" t="n">
        <v>0.885</v>
      </c>
      <c r="M920" t="n">
        <v>0.115</v>
      </c>
    </row>
    <row r="921" spans="1:13">
      <c r="A921" s="1">
        <f>HYPERLINK("http://www.twitter.com/NathanBLawrence/status/991094846822723584", "991094846822723584")</f>
        <v/>
      </c>
      <c r="B921" s="2" t="n">
        <v>43220.97221064815</v>
      </c>
      <c r="C921" t="n">
        <v>0</v>
      </c>
      <c r="D921" t="n">
        <v>0</v>
      </c>
      <c r="E921" t="s">
        <v>932</v>
      </c>
      <c r="F921" t="s"/>
      <c r="G921" t="s"/>
      <c r="H921" t="s"/>
      <c r="I921" t="s"/>
      <c r="J921" t="n">
        <v>-0.5868</v>
      </c>
      <c r="K921" t="n">
        <v>0.197</v>
      </c>
      <c r="L921" t="n">
        <v>0.714</v>
      </c>
      <c r="M921" t="n">
        <v>0.08799999999999999</v>
      </c>
    </row>
    <row r="922" spans="1:13">
      <c r="A922" s="1">
        <f>HYPERLINK("http://www.twitter.com/NathanBLawrence/status/991094345045594112", "991094345045594112")</f>
        <v/>
      </c>
      <c r="B922" s="2" t="n">
        <v>43220.97083333333</v>
      </c>
      <c r="C922" t="n">
        <v>2</v>
      </c>
      <c r="D922" t="n">
        <v>0</v>
      </c>
      <c r="E922" t="s">
        <v>933</v>
      </c>
      <c r="F922" t="s"/>
      <c r="G922" t="s"/>
      <c r="H922" t="s"/>
      <c r="I922" t="s"/>
      <c r="J922" t="n">
        <v>0.0258</v>
      </c>
      <c r="K922" t="n">
        <v>0.142</v>
      </c>
      <c r="L922" t="n">
        <v>0.71</v>
      </c>
      <c r="M922" t="n">
        <v>0.148</v>
      </c>
    </row>
    <row r="923" spans="1:13">
      <c r="A923" s="1">
        <f>HYPERLINK("http://www.twitter.com/NathanBLawrence/status/991075163662966786", "991075163662966786")</f>
        <v/>
      </c>
      <c r="B923" s="2" t="n">
        <v>43220.91789351852</v>
      </c>
      <c r="C923" t="n">
        <v>0</v>
      </c>
      <c r="D923" t="n">
        <v>0</v>
      </c>
      <c r="E923" t="s">
        <v>934</v>
      </c>
      <c r="F923" t="s"/>
      <c r="G923" t="s"/>
      <c r="H923" t="s"/>
      <c r="I923" t="s"/>
      <c r="J923" t="n">
        <v>-0.3818</v>
      </c>
      <c r="K923" t="n">
        <v>0.271</v>
      </c>
      <c r="L923" t="n">
        <v>0.729</v>
      </c>
      <c r="M923" t="n">
        <v>0</v>
      </c>
    </row>
    <row r="924" spans="1:13">
      <c r="A924" s="1">
        <f>HYPERLINK("http://www.twitter.com/NathanBLawrence/status/991064641211072512", "991064641211072512")</f>
        <v/>
      </c>
      <c r="B924" s="2" t="n">
        <v>43220.88886574074</v>
      </c>
      <c r="C924" t="n">
        <v>2</v>
      </c>
      <c r="D924" t="n">
        <v>0</v>
      </c>
      <c r="E924" t="s">
        <v>935</v>
      </c>
      <c r="F924" t="s"/>
      <c r="G924" t="s"/>
      <c r="H924" t="s"/>
      <c r="I924" t="s"/>
      <c r="J924" t="n">
        <v>0</v>
      </c>
      <c r="K924" t="n">
        <v>0</v>
      </c>
      <c r="L924" t="n">
        <v>1</v>
      </c>
      <c r="M924" t="n">
        <v>0</v>
      </c>
    </row>
    <row r="925" spans="1:13">
      <c r="A925" s="1">
        <f>HYPERLINK("http://www.twitter.com/NathanBLawrence/status/991057989237911552", "991057989237911552")</f>
        <v/>
      </c>
      <c r="B925" s="2" t="n">
        <v>43220.87050925926</v>
      </c>
      <c r="C925" t="n">
        <v>0</v>
      </c>
      <c r="D925" t="n">
        <v>0</v>
      </c>
      <c r="E925" t="s">
        <v>936</v>
      </c>
      <c r="F925" t="s"/>
      <c r="G925" t="s"/>
      <c r="H925" t="s"/>
      <c r="I925" t="s"/>
      <c r="J925" t="n">
        <v>0</v>
      </c>
      <c r="K925" t="n">
        <v>0</v>
      </c>
      <c r="L925" t="n">
        <v>1</v>
      </c>
      <c r="M925" t="n">
        <v>0</v>
      </c>
    </row>
    <row r="926" spans="1:13">
      <c r="A926" s="1">
        <f>HYPERLINK("http://www.twitter.com/NathanBLawrence/status/991044189872943104", "991044189872943104")</f>
        <v/>
      </c>
      <c r="B926" s="2" t="n">
        <v>43220.83243055556</v>
      </c>
      <c r="C926" t="n">
        <v>1</v>
      </c>
      <c r="D926" t="n">
        <v>1</v>
      </c>
      <c r="E926" t="s">
        <v>937</v>
      </c>
      <c r="F926" t="s"/>
      <c r="G926" t="s"/>
      <c r="H926" t="s"/>
      <c r="I926" t="s"/>
      <c r="J926" t="n">
        <v>0</v>
      </c>
      <c r="K926" t="n">
        <v>0</v>
      </c>
      <c r="L926" t="n">
        <v>1</v>
      </c>
      <c r="M926" t="n">
        <v>0</v>
      </c>
    </row>
    <row r="927" spans="1:13">
      <c r="A927" s="1">
        <f>HYPERLINK("http://www.twitter.com/NathanBLawrence/status/991023377891647489", "991023377891647489")</f>
        <v/>
      </c>
      <c r="B927" s="2" t="n">
        <v>43220.775</v>
      </c>
      <c r="C927" t="n">
        <v>0</v>
      </c>
      <c r="D927" t="n">
        <v>0</v>
      </c>
      <c r="E927" t="s">
        <v>938</v>
      </c>
      <c r="F927">
        <f>HYPERLINK("http://pbs.twimg.com/media/DcDSgljUQAE2Cqh.jpg", "http://pbs.twimg.com/media/DcDSgljUQAE2Cqh.jpg")</f>
        <v/>
      </c>
      <c r="G927" t="s"/>
      <c r="H927" t="s"/>
      <c r="I927" t="s"/>
      <c r="J927" t="n">
        <v>0</v>
      </c>
      <c r="K927" t="n">
        <v>0</v>
      </c>
      <c r="L927" t="n">
        <v>1</v>
      </c>
      <c r="M927" t="n">
        <v>0</v>
      </c>
    </row>
    <row r="928" spans="1:13">
      <c r="A928" s="1">
        <f>HYPERLINK("http://www.twitter.com/NathanBLawrence/status/991023140372451328", "991023140372451328")</f>
        <v/>
      </c>
      <c r="B928" s="2" t="n">
        <v>43220.77434027778</v>
      </c>
      <c r="C928" t="n">
        <v>4</v>
      </c>
      <c r="D928" t="n">
        <v>0</v>
      </c>
      <c r="E928" t="s">
        <v>939</v>
      </c>
      <c r="F928" t="s"/>
      <c r="G928" t="s"/>
      <c r="H928" t="s"/>
      <c r="I928" t="s"/>
      <c r="J928" t="n">
        <v>-0.128</v>
      </c>
      <c r="K928" t="n">
        <v>0.291</v>
      </c>
      <c r="L928" t="n">
        <v>0.456</v>
      </c>
      <c r="M928" t="n">
        <v>0.253</v>
      </c>
    </row>
    <row r="929" spans="1:13">
      <c r="A929" s="1">
        <f>HYPERLINK("http://www.twitter.com/NathanBLawrence/status/991022768761262080", "991022768761262080")</f>
        <v/>
      </c>
      <c r="B929" s="2" t="n">
        <v>43220.77332175926</v>
      </c>
      <c r="C929" t="n">
        <v>1</v>
      </c>
      <c r="D929" t="n">
        <v>0</v>
      </c>
      <c r="E929" t="s">
        <v>940</v>
      </c>
      <c r="F929" t="s"/>
      <c r="G929" t="s"/>
      <c r="H929" t="s"/>
      <c r="I929" t="s"/>
      <c r="J929" t="n">
        <v>-0.2225</v>
      </c>
      <c r="K929" t="n">
        <v>0.095</v>
      </c>
      <c r="L929" t="n">
        <v>0.905</v>
      </c>
      <c r="M929" t="n">
        <v>0</v>
      </c>
    </row>
    <row r="930" spans="1:13">
      <c r="A930" s="1">
        <f>HYPERLINK("http://www.twitter.com/NathanBLawrence/status/991021351183044608", "991021351183044608")</f>
        <v/>
      </c>
      <c r="B930" s="2" t="n">
        <v>43220.76940972222</v>
      </c>
      <c r="C930" t="n">
        <v>0</v>
      </c>
      <c r="D930" t="n">
        <v>0</v>
      </c>
      <c r="E930" t="s">
        <v>941</v>
      </c>
      <c r="F930" t="s"/>
      <c r="G930" t="s"/>
      <c r="H930" t="s"/>
      <c r="I930" t="s"/>
      <c r="J930" t="n">
        <v>-0.7927</v>
      </c>
      <c r="K930" t="n">
        <v>0.251</v>
      </c>
      <c r="L930" t="n">
        <v>0.749</v>
      </c>
      <c r="M930" t="n">
        <v>0</v>
      </c>
    </row>
    <row r="931" spans="1:13">
      <c r="A931" s="1">
        <f>HYPERLINK("http://www.twitter.com/NathanBLawrence/status/991020990766428160", "991020990766428160")</f>
        <v/>
      </c>
      <c r="B931" s="2" t="n">
        <v>43220.76841435185</v>
      </c>
      <c r="C931" t="n">
        <v>0</v>
      </c>
      <c r="D931" t="n">
        <v>0</v>
      </c>
      <c r="E931" t="s">
        <v>942</v>
      </c>
      <c r="F931" t="s"/>
      <c r="G931" t="s"/>
      <c r="H931" t="s"/>
      <c r="I931" t="s"/>
      <c r="J931" t="n">
        <v>0.8915</v>
      </c>
      <c r="K931" t="n">
        <v>0.097</v>
      </c>
      <c r="L931" t="n">
        <v>0.597</v>
      </c>
      <c r="M931" t="n">
        <v>0.307</v>
      </c>
    </row>
    <row r="932" spans="1:13">
      <c r="A932" s="1">
        <f>HYPERLINK("http://www.twitter.com/NathanBLawrence/status/991015542231326722", "991015542231326722")</f>
        <v/>
      </c>
      <c r="B932" s="2" t="n">
        <v>43220.75337962963</v>
      </c>
      <c r="C932" t="n">
        <v>0</v>
      </c>
      <c r="D932" t="n">
        <v>0</v>
      </c>
      <c r="E932" t="s">
        <v>943</v>
      </c>
      <c r="F932" t="s"/>
      <c r="G932" t="s"/>
      <c r="H932" t="s"/>
      <c r="I932" t="s"/>
      <c r="J932" t="n">
        <v>-0.8126</v>
      </c>
      <c r="K932" t="n">
        <v>0.583</v>
      </c>
      <c r="L932" t="n">
        <v>0.417</v>
      </c>
      <c r="M932" t="n">
        <v>0</v>
      </c>
    </row>
    <row r="933" spans="1:13">
      <c r="A933" s="1">
        <f>HYPERLINK("http://www.twitter.com/NathanBLawrence/status/990977165482184706", "990977165482184706")</f>
        <v/>
      </c>
      <c r="B933" s="2" t="n">
        <v>43220.64747685185</v>
      </c>
      <c r="C933" t="n">
        <v>0</v>
      </c>
      <c r="D933" t="n">
        <v>0</v>
      </c>
      <c r="E933" t="s">
        <v>944</v>
      </c>
      <c r="F933" t="s"/>
      <c r="G933" t="s"/>
      <c r="H933" t="s"/>
      <c r="I933" t="s"/>
      <c r="J933" t="n">
        <v>-0.1027</v>
      </c>
      <c r="K933" t="n">
        <v>0.06</v>
      </c>
      <c r="L933" t="n">
        <v>0.9399999999999999</v>
      </c>
      <c r="M933" t="n">
        <v>0</v>
      </c>
    </row>
    <row r="934" spans="1:13">
      <c r="A934" s="1">
        <f>HYPERLINK("http://www.twitter.com/NathanBLawrence/status/990975899209265152", "990975899209265152")</f>
        <v/>
      </c>
      <c r="B934" s="2" t="n">
        <v>43220.64398148148</v>
      </c>
      <c r="C934" t="n">
        <v>0</v>
      </c>
      <c r="D934" t="n">
        <v>0</v>
      </c>
      <c r="E934" t="s">
        <v>945</v>
      </c>
      <c r="F934" t="s"/>
      <c r="G934" t="s"/>
      <c r="H934" t="s"/>
      <c r="I934" t="s"/>
      <c r="J934" t="n">
        <v>0</v>
      </c>
      <c r="K934" t="n">
        <v>0</v>
      </c>
      <c r="L934" t="n">
        <v>1</v>
      </c>
      <c r="M934" t="n">
        <v>0</v>
      </c>
    </row>
    <row r="935" spans="1:13">
      <c r="A935" s="1">
        <f>HYPERLINK("http://www.twitter.com/NathanBLawrence/status/990972814206390274", "990972814206390274")</f>
        <v/>
      </c>
      <c r="B935" s="2" t="n">
        <v>43220.63546296296</v>
      </c>
      <c r="C935" t="n">
        <v>0</v>
      </c>
      <c r="D935" t="n">
        <v>0</v>
      </c>
      <c r="E935" t="s">
        <v>946</v>
      </c>
      <c r="F935" t="s"/>
      <c r="G935" t="s"/>
      <c r="H935" t="s"/>
      <c r="I935" t="s"/>
      <c r="J935" t="n">
        <v>0</v>
      </c>
      <c r="K935" t="n">
        <v>0</v>
      </c>
      <c r="L935" t="n">
        <v>1</v>
      </c>
      <c r="M935" t="n">
        <v>0</v>
      </c>
    </row>
    <row r="936" spans="1:13">
      <c r="A936" s="1">
        <f>HYPERLINK("http://www.twitter.com/NathanBLawrence/status/990958681591353345", "990958681591353345")</f>
        <v/>
      </c>
      <c r="B936" s="2" t="n">
        <v>43220.59646990741</v>
      </c>
      <c r="C936" t="n">
        <v>0</v>
      </c>
      <c r="D936" t="n">
        <v>1</v>
      </c>
      <c r="E936" t="s">
        <v>947</v>
      </c>
      <c r="F936" t="s"/>
      <c r="G936" t="s"/>
      <c r="H936" t="s"/>
      <c r="I936" t="s"/>
      <c r="J936" t="n">
        <v>0.6369</v>
      </c>
      <c r="K936" t="n">
        <v>0</v>
      </c>
      <c r="L936" t="n">
        <v>0.634</v>
      </c>
      <c r="M936" t="n">
        <v>0.366</v>
      </c>
    </row>
    <row r="937" spans="1:13">
      <c r="A937" s="1">
        <f>HYPERLINK("http://www.twitter.com/NathanBLawrence/status/990957149546274816", "990957149546274816")</f>
        <v/>
      </c>
      <c r="B937" s="2" t="n">
        <v>43220.59224537037</v>
      </c>
      <c r="C937" t="n">
        <v>1</v>
      </c>
      <c r="D937" t="n">
        <v>1</v>
      </c>
      <c r="E937" t="s">
        <v>948</v>
      </c>
      <c r="F937" t="s"/>
      <c r="G937" t="s"/>
      <c r="H937" t="s"/>
      <c r="I937" t="s"/>
      <c r="J937" t="n">
        <v>0</v>
      </c>
      <c r="K937" t="n">
        <v>0</v>
      </c>
      <c r="L937" t="n">
        <v>1</v>
      </c>
      <c r="M937" t="n">
        <v>0</v>
      </c>
    </row>
    <row r="938" spans="1:13">
      <c r="A938" s="1">
        <f>HYPERLINK("http://www.twitter.com/NathanBLawrence/status/990956014433431552", "990956014433431552")</f>
        <v/>
      </c>
      <c r="B938" s="2" t="n">
        <v>43220.5891087963</v>
      </c>
      <c r="C938" t="n">
        <v>0</v>
      </c>
      <c r="D938" t="n">
        <v>0</v>
      </c>
      <c r="E938" t="s">
        <v>949</v>
      </c>
      <c r="F938" t="s"/>
      <c r="G938" t="s"/>
      <c r="H938" t="s"/>
      <c r="I938" t="s"/>
      <c r="J938" t="n">
        <v>0</v>
      </c>
      <c r="K938" t="n">
        <v>0</v>
      </c>
      <c r="L938" t="n">
        <v>1</v>
      </c>
      <c r="M938" t="n">
        <v>0</v>
      </c>
    </row>
    <row r="939" spans="1:13">
      <c r="A939" s="1">
        <f>HYPERLINK("http://www.twitter.com/NathanBLawrence/status/990954411236216832", "990954411236216832")</f>
        <v/>
      </c>
      <c r="B939" s="2" t="n">
        <v>43220.5846875</v>
      </c>
      <c r="C939" t="n">
        <v>1</v>
      </c>
      <c r="D939" t="n">
        <v>0</v>
      </c>
      <c r="E939" t="s">
        <v>950</v>
      </c>
      <c r="F939" t="s"/>
      <c r="G939" t="s"/>
      <c r="H939" t="s"/>
      <c r="I939" t="s"/>
      <c r="J939" t="n">
        <v>0</v>
      </c>
      <c r="K939" t="n">
        <v>0</v>
      </c>
      <c r="L939" t="n">
        <v>1</v>
      </c>
      <c r="M939" t="n">
        <v>0</v>
      </c>
    </row>
    <row r="940" spans="1:13">
      <c r="A940" s="1">
        <f>HYPERLINK("http://www.twitter.com/NathanBLawrence/status/990954197586796547", "990954197586796547")</f>
        <v/>
      </c>
      <c r="B940" s="2" t="n">
        <v>43220.58409722222</v>
      </c>
      <c r="C940" t="n">
        <v>0</v>
      </c>
      <c r="D940" t="n">
        <v>0</v>
      </c>
      <c r="E940" t="s">
        <v>951</v>
      </c>
      <c r="F940" t="s"/>
      <c r="G940" t="s"/>
      <c r="H940" t="s"/>
      <c r="I940" t="s"/>
      <c r="J940" t="n">
        <v>-0.1531</v>
      </c>
      <c r="K940" t="n">
        <v>0.286</v>
      </c>
      <c r="L940" t="n">
        <v>0.714</v>
      </c>
      <c r="M940" t="n">
        <v>0</v>
      </c>
    </row>
    <row r="941" spans="1:13">
      <c r="A941" s="1">
        <f>HYPERLINK("http://www.twitter.com/NathanBLawrence/status/990953901607317504", "990953901607317504")</f>
        <v/>
      </c>
      <c r="B941" s="2" t="n">
        <v>43220.58327546297</v>
      </c>
      <c r="C941" t="n">
        <v>0</v>
      </c>
      <c r="D941" t="n">
        <v>0</v>
      </c>
      <c r="E941" t="s">
        <v>952</v>
      </c>
      <c r="F941" t="s"/>
      <c r="G941" t="s"/>
      <c r="H941" t="s"/>
      <c r="I941" t="s"/>
      <c r="J941" t="n">
        <v>0</v>
      </c>
      <c r="K941" t="n">
        <v>0</v>
      </c>
      <c r="L941" t="n">
        <v>1</v>
      </c>
      <c r="M941" t="n">
        <v>0</v>
      </c>
    </row>
    <row r="942" spans="1:13">
      <c r="A942" s="1">
        <f>HYPERLINK("http://www.twitter.com/NathanBLawrence/status/990953400765485056", "990953400765485056")</f>
        <v/>
      </c>
      <c r="B942" s="2" t="n">
        <v>43220.58189814815</v>
      </c>
      <c r="C942" t="n">
        <v>2</v>
      </c>
      <c r="D942" t="n">
        <v>0</v>
      </c>
      <c r="E942" t="s">
        <v>953</v>
      </c>
      <c r="F942" t="s"/>
      <c r="G942" t="s"/>
      <c r="H942" t="s"/>
      <c r="I942" t="s"/>
      <c r="J942" t="n">
        <v>0.5574</v>
      </c>
      <c r="K942" t="n">
        <v>0</v>
      </c>
      <c r="L942" t="n">
        <v>0.357</v>
      </c>
      <c r="M942" t="n">
        <v>0.643</v>
      </c>
    </row>
    <row r="943" spans="1:13">
      <c r="A943" s="1">
        <f>HYPERLINK("http://www.twitter.com/NathanBLawrence/status/990953297438826496", "990953297438826496")</f>
        <v/>
      </c>
      <c r="B943" s="2" t="n">
        <v>43220.5816087963</v>
      </c>
      <c r="C943" t="n">
        <v>0</v>
      </c>
      <c r="D943" t="n">
        <v>0</v>
      </c>
      <c r="E943" t="s">
        <v>954</v>
      </c>
      <c r="F943" t="s"/>
      <c r="G943" t="s"/>
      <c r="H943" t="s"/>
      <c r="I943" t="s"/>
      <c r="J943" t="n">
        <v>-0.4215</v>
      </c>
      <c r="K943" t="n">
        <v>0.193</v>
      </c>
      <c r="L943" t="n">
        <v>0.698</v>
      </c>
      <c r="M943" t="n">
        <v>0.109</v>
      </c>
    </row>
    <row r="944" spans="1:13">
      <c r="A944" s="1">
        <f>HYPERLINK("http://www.twitter.com/NathanBLawrence/status/990952819376185345", "990952819376185345")</f>
        <v/>
      </c>
      <c r="B944" s="2" t="n">
        <v>43220.58028935185</v>
      </c>
      <c r="C944" t="n">
        <v>2</v>
      </c>
      <c r="D944" t="n">
        <v>0</v>
      </c>
      <c r="E944" t="s">
        <v>955</v>
      </c>
      <c r="F944" t="s"/>
      <c r="G944" t="s"/>
      <c r="H944" t="s"/>
      <c r="I944" t="s"/>
      <c r="J944" t="n">
        <v>0</v>
      </c>
      <c r="K944" t="n">
        <v>0</v>
      </c>
      <c r="L944" t="n">
        <v>1</v>
      </c>
      <c r="M944" t="n">
        <v>0</v>
      </c>
    </row>
    <row r="945" spans="1:13">
      <c r="A945" s="1">
        <f>HYPERLINK("http://www.twitter.com/NathanBLawrence/status/990952557412528128", "990952557412528128")</f>
        <v/>
      </c>
      <c r="B945" s="2" t="n">
        <v>43220.57957175926</v>
      </c>
      <c r="C945" t="n">
        <v>5</v>
      </c>
      <c r="D945" t="n">
        <v>1</v>
      </c>
      <c r="E945" t="s">
        <v>956</v>
      </c>
      <c r="F945" t="s"/>
      <c r="G945" t="s"/>
      <c r="H945" t="s"/>
      <c r="I945" t="s"/>
      <c r="J945" t="n">
        <v>0</v>
      </c>
      <c r="K945" t="n">
        <v>0</v>
      </c>
      <c r="L945" t="n">
        <v>1</v>
      </c>
      <c r="M945" t="n">
        <v>0</v>
      </c>
    </row>
    <row r="946" spans="1:13">
      <c r="A946" s="1">
        <f>HYPERLINK("http://www.twitter.com/NathanBLawrence/status/990951798696546305", "990951798696546305")</f>
        <v/>
      </c>
      <c r="B946" s="2" t="n">
        <v>43220.57747685185</v>
      </c>
      <c r="C946" t="n">
        <v>0</v>
      </c>
      <c r="D946" t="n">
        <v>0</v>
      </c>
      <c r="E946" t="s">
        <v>957</v>
      </c>
      <c r="F946">
        <f>HYPERLINK("http://pbs.twimg.com/media/DcCRWZvVMAUieas.jpg", "http://pbs.twimg.com/media/DcCRWZvVMAUieas.jpg")</f>
        <v/>
      </c>
      <c r="G946" t="s"/>
      <c r="H946" t="s"/>
      <c r="I946" t="s"/>
      <c r="J946" t="n">
        <v>0.2263</v>
      </c>
      <c r="K946" t="n">
        <v>0</v>
      </c>
      <c r="L946" t="n">
        <v>0.678</v>
      </c>
      <c r="M946" t="n">
        <v>0.322</v>
      </c>
    </row>
    <row r="947" spans="1:13">
      <c r="A947" s="1">
        <f>HYPERLINK("http://www.twitter.com/NathanBLawrence/status/990951660175396864", "990951660175396864")</f>
        <v/>
      </c>
      <c r="B947" s="2" t="n">
        <v>43220.57709490741</v>
      </c>
      <c r="C947" t="n">
        <v>0</v>
      </c>
      <c r="D947" t="n">
        <v>0</v>
      </c>
      <c r="E947" t="s">
        <v>958</v>
      </c>
      <c r="F947">
        <f>HYPERLINK("http://pbs.twimg.com/media/DcCRRx9VQAEuW_b.jpg", "http://pbs.twimg.com/media/DcCRRx9VQAEuW_b.jpg")</f>
        <v/>
      </c>
      <c r="G947" t="s"/>
      <c r="H947" t="s"/>
      <c r="I947" t="s"/>
      <c r="J947" t="n">
        <v>0</v>
      </c>
      <c r="K947" t="n">
        <v>0</v>
      </c>
      <c r="L947" t="n">
        <v>1</v>
      </c>
      <c r="M947" t="n">
        <v>0</v>
      </c>
    </row>
    <row r="948" spans="1:13">
      <c r="A948" s="1">
        <f>HYPERLINK("http://www.twitter.com/NathanBLawrence/status/990950995776753664", "990950995776753664")</f>
        <v/>
      </c>
      <c r="B948" s="2" t="n">
        <v>43220.5752662037</v>
      </c>
      <c r="C948" t="n">
        <v>0</v>
      </c>
      <c r="D948" t="n">
        <v>0</v>
      </c>
      <c r="E948" t="s">
        <v>959</v>
      </c>
      <c r="F948" t="s"/>
      <c r="G948" t="s"/>
      <c r="H948" t="s"/>
      <c r="I948" t="s"/>
      <c r="J948" t="n">
        <v>0.5083</v>
      </c>
      <c r="K948" t="n">
        <v>0</v>
      </c>
      <c r="L948" t="n">
        <v>0.798</v>
      </c>
      <c r="M948" t="n">
        <v>0.202</v>
      </c>
    </row>
    <row r="949" spans="1:13">
      <c r="A949" s="1">
        <f>HYPERLINK("http://www.twitter.com/NathanBLawrence/status/990949392260661248", "990949392260661248")</f>
        <v/>
      </c>
      <c r="B949" s="2" t="n">
        <v>43220.57083333333</v>
      </c>
      <c r="C949" t="n">
        <v>0</v>
      </c>
      <c r="D949" t="n">
        <v>22408</v>
      </c>
      <c r="E949" t="s">
        <v>960</v>
      </c>
      <c r="F949" t="s"/>
      <c r="G949" t="s"/>
      <c r="H949" t="s"/>
      <c r="I949" t="s"/>
      <c r="J949" t="n">
        <v>-0.1531</v>
      </c>
      <c r="K949" t="n">
        <v>0.149</v>
      </c>
      <c r="L949" t="n">
        <v>0.726</v>
      </c>
      <c r="M949" t="n">
        <v>0.125</v>
      </c>
    </row>
    <row r="950" spans="1:13">
      <c r="A950" s="1">
        <f>HYPERLINK("http://www.twitter.com/NathanBLawrence/status/990948810544304132", "990948810544304132")</f>
        <v/>
      </c>
      <c r="B950" s="2" t="n">
        <v>43220.56923611111</v>
      </c>
      <c r="C950" t="n">
        <v>0</v>
      </c>
      <c r="D950" t="n">
        <v>0</v>
      </c>
      <c r="E950" t="s">
        <v>961</v>
      </c>
      <c r="F950" t="s"/>
      <c r="G950" t="s"/>
      <c r="H950" t="s"/>
      <c r="I950" t="s"/>
      <c r="J950" t="n">
        <v>-0.8779</v>
      </c>
      <c r="K950" t="n">
        <v>0.529</v>
      </c>
      <c r="L950" t="n">
        <v>0.471</v>
      </c>
      <c r="M950" t="n">
        <v>0</v>
      </c>
    </row>
    <row r="951" spans="1:13">
      <c r="A951" s="1">
        <f>HYPERLINK("http://www.twitter.com/NathanBLawrence/status/990948021885161474", "990948021885161474")</f>
        <v/>
      </c>
      <c r="B951" s="2" t="n">
        <v>43220.56704861111</v>
      </c>
      <c r="C951" t="n">
        <v>2</v>
      </c>
      <c r="D951" t="n">
        <v>0</v>
      </c>
      <c r="E951" t="s">
        <v>962</v>
      </c>
      <c r="F951" t="s"/>
      <c r="G951" t="s"/>
      <c r="H951" t="s"/>
      <c r="I951" t="s"/>
      <c r="J951" t="n">
        <v>0.4926</v>
      </c>
      <c r="K951" t="n">
        <v>0</v>
      </c>
      <c r="L951" t="n">
        <v>0.6870000000000001</v>
      </c>
      <c r="M951" t="n">
        <v>0.313</v>
      </c>
    </row>
    <row r="952" spans="1:13">
      <c r="A952" s="1">
        <f>HYPERLINK("http://www.twitter.com/NathanBLawrence/status/990915804387528704", "990915804387528704")</f>
        <v/>
      </c>
      <c r="B952" s="2" t="n">
        <v>43220.47814814815</v>
      </c>
      <c r="C952" t="n">
        <v>1</v>
      </c>
      <c r="D952" t="n">
        <v>0</v>
      </c>
      <c r="E952" t="s">
        <v>963</v>
      </c>
      <c r="F952" t="s"/>
      <c r="G952" t="s"/>
      <c r="H952" t="s"/>
      <c r="I952" t="s"/>
      <c r="J952" t="n">
        <v>-0.4215</v>
      </c>
      <c r="K952" t="n">
        <v>0.08</v>
      </c>
      <c r="L952" t="n">
        <v>0.92</v>
      </c>
      <c r="M952" t="n">
        <v>0</v>
      </c>
    </row>
    <row r="953" spans="1:13">
      <c r="A953" s="1">
        <f>HYPERLINK("http://www.twitter.com/NathanBLawrence/status/990915005821472768", "990915005821472768")</f>
        <v/>
      </c>
      <c r="B953" s="2" t="n">
        <v>43220.47594907408</v>
      </c>
      <c r="C953" t="n">
        <v>0</v>
      </c>
      <c r="D953" t="n">
        <v>0</v>
      </c>
      <c r="E953" t="s">
        <v>964</v>
      </c>
      <c r="F953" t="s"/>
      <c r="G953" t="s"/>
      <c r="H953" t="s"/>
      <c r="I953" t="s"/>
      <c r="J953" t="n">
        <v>-0.1027</v>
      </c>
      <c r="K953" t="n">
        <v>0.091</v>
      </c>
      <c r="L953" t="n">
        <v>0.909</v>
      </c>
      <c r="M953" t="n">
        <v>0</v>
      </c>
    </row>
    <row r="954" spans="1:13">
      <c r="A954" s="1">
        <f>HYPERLINK("http://www.twitter.com/NathanBLawrence/status/990914599003312128", "990914599003312128")</f>
        <v/>
      </c>
      <c r="B954" s="2" t="n">
        <v>43220.47482638889</v>
      </c>
      <c r="C954" t="n">
        <v>0</v>
      </c>
      <c r="D954" t="n">
        <v>15310</v>
      </c>
      <c r="E954" t="s">
        <v>965</v>
      </c>
      <c r="F954" t="s"/>
      <c r="G954" t="s"/>
      <c r="H954" t="s"/>
      <c r="I954" t="s"/>
      <c r="J954" t="n">
        <v>-0.4939</v>
      </c>
      <c r="K954" t="n">
        <v>0.144</v>
      </c>
      <c r="L954" t="n">
        <v>0.856</v>
      </c>
      <c r="M954" t="n">
        <v>0</v>
      </c>
    </row>
    <row r="955" spans="1:13">
      <c r="A955" s="1">
        <f>HYPERLINK("http://www.twitter.com/NathanBLawrence/status/990914374138245122", "990914374138245122")</f>
        <v/>
      </c>
      <c r="B955" s="2" t="n">
        <v>43220.47420138889</v>
      </c>
      <c r="C955" t="n">
        <v>5</v>
      </c>
      <c r="D955" t="n">
        <v>3</v>
      </c>
      <c r="E955" t="s">
        <v>966</v>
      </c>
      <c r="F955">
        <f>HYPERLINK("http://pbs.twimg.com/media/DcBvU2_U0AE5Y-e.jpg", "http://pbs.twimg.com/media/DcBvU2_U0AE5Y-e.jpg")</f>
        <v/>
      </c>
      <c r="G955" t="s"/>
      <c r="H955" t="s"/>
      <c r="I955" t="s"/>
      <c r="J955" t="n">
        <v>0</v>
      </c>
      <c r="K955" t="n">
        <v>0</v>
      </c>
      <c r="L955" t="n">
        <v>1</v>
      </c>
      <c r="M955" t="n">
        <v>0</v>
      </c>
    </row>
    <row r="956" spans="1:13">
      <c r="A956" s="1">
        <f>HYPERLINK("http://www.twitter.com/NathanBLawrence/status/990913558530715648", "990913558530715648")</f>
        <v/>
      </c>
      <c r="B956" s="2" t="n">
        <v>43220.47195601852</v>
      </c>
      <c r="C956" t="n">
        <v>1</v>
      </c>
      <c r="D956" t="n">
        <v>1</v>
      </c>
      <c r="E956" t="s">
        <v>967</v>
      </c>
      <c r="F956" t="s"/>
      <c r="G956" t="s"/>
      <c r="H956" t="s"/>
      <c r="I956" t="s"/>
      <c r="J956" t="n">
        <v>0</v>
      </c>
      <c r="K956" t="n">
        <v>0</v>
      </c>
      <c r="L956" t="n">
        <v>1</v>
      </c>
      <c r="M956" t="n">
        <v>0</v>
      </c>
    </row>
    <row r="957" spans="1:13">
      <c r="A957" s="1">
        <f>HYPERLINK("http://www.twitter.com/NathanBLawrence/status/990797925503700992", "990797925503700992")</f>
        <v/>
      </c>
      <c r="B957" s="2" t="n">
        <v>43220.15287037037</v>
      </c>
      <c r="C957" t="n">
        <v>0</v>
      </c>
      <c r="D957" t="n">
        <v>0</v>
      </c>
      <c r="E957" t="s">
        <v>968</v>
      </c>
      <c r="F957" t="s"/>
      <c r="G957" t="s"/>
      <c r="H957" t="s"/>
      <c r="I957" t="s"/>
      <c r="J957" t="n">
        <v>0</v>
      </c>
      <c r="K957" t="n">
        <v>0</v>
      </c>
      <c r="L957" t="n">
        <v>1</v>
      </c>
      <c r="M957" t="n">
        <v>0</v>
      </c>
    </row>
    <row r="958" spans="1:13">
      <c r="A958" s="1">
        <f>HYPERLINK("http://www.twitter.com/NathanBLawrence/status/990797653666562048", "990797653666562048")</f>
        <v/>
      </c>
      <c r="B958" s="2" t="n">
        <v>43220.15211805556</v>
      </c>
      <c r="C958" t="n">
        <v>2</v>
      </c>
      <c r="D958" t="n">
        <v>0</v>
      </c>
      <c r="E958" t="s">
        <v>969</v>
      </c>
      <c r="F958" t="s"/>
      <c r="G958" t="s"/>
      <c r="H958" t="s"/>
      <c r="I958" t="s"/>
      <c r="J958" t="n">
        <v>0</v>
      </c>
      <c r="K958" t="n">
        <v>0</v>
      </c>
      <c r="L958" t="n">
        <v>1</v>
      </c>
      <c r="M958" t="n">
        <v>0</v>
      </c>
    </row>
    <row r="959" spans="1:13">
      <c r="A959" s="1">
        <f>HYPERLINK("http://www.twitter.com/NathanBLawrence/status/990796491357933568", "990796491357933568")</f>
        <v/>
      </c>
      <c r="B959" s="2" t="n">
        <v>43220.14891203704</v>
      </c>
      <c r="C959" t="n">
        <v>0</v>
      </c>
      <c r="D959" t="n">
        <v>0</v>
      </c>
      <c r="E959" t="s">
        <v>970</v>
      </c>
      <c r="F959" t="s"/>
      <c r="G959" t="s"/>
      <c r="H959" t="s"/>
      <c r="I959" t="s"/>
      <c r="J959" t="n">
        <v>-0.3802</v>
      </c>
      <c r="K959" t="n">
        <v>0.178</v>
      </c>
      <c r="L959" t="n">
        <v>0.822</v>
      </c>
      <c r="M959" t="n">
        <v>0</v>
      </c>
    </row>
    <row r="960" spans="1:13">
      <c r="A960" s="1">
        <f>HYPERLINK("http://www.twitter.com/NathanBLawrence/status/990795588777271296", "990795588777271296")</f>
        <v/>
      </c>
      <c r="B960" s="2" t="n">
        <v>43220.14642361111</v>
      </c>
      <c r="C960" t="n">
        <v>3</v>
      </c>
      <c r="D960" t="n">
        <v>1</v>
      </c>
      <c r="E960" t="s">
        <v>971</v>
      </c>
      <c r="F960" t="s"/>
      <c r="G960" t="s"/>
      <c r="H960" t="s"/>
      <c r="I960" t="s"/>
      <c r="J960" t="n">
        <v>0</v>
      </c>
      <c r="K960" t="n">
        <v>0</v>
      </c>
      <c r="L960" t="n">
        <v>1</v>
      </c>
      <c r="M960" t="n">
        <v>0</v>
      </c>
    </row>
    <row r="961" spans="1:13">
      <c r="A961" s="1">
        <f>HYPERLINK("http://www.twitter.com/NathanBLawrence/status/990794015967776769", "990794015967776769")</f>
        <v/>
      </c>
      <c r="B961" s="2" t="n">
        <v>43220.14208333333</v>
      </c>
      <c r="C961" t="n">
        <v>0</v>
      </c>
      <c r="D961" t="n">
        <v>12083</v>
      </c>
      <c r="E961" t="s">
        <v>972</v>
      </c>
      <c r="F961">
        <f>HYPERLINK("https://video.twimg.com/amplify_video/971892435805601792/vid/1280x720/lBOLtODVS7gQHRcg.mp4", "https://video.twimg.com/amplify_video/971892435805601792/vid/1280x720/lBOLtODVS7gQHRcg.mp4")</f>
        <v/>
      </c>
      <c r="G961" t="s"/>
      <c r="H961" t="s"/>
      <c r="I961" t="s"/>
      <c r="J961" t="n">
        <v>-0.0516</v>
      </c>
      <c r="K961" t="n">
        <v>0.189</v>
      </c>
      <c r="L961" t="n">
        <v>0.629</v>
      </c>
      <c r="M961" t="n">
        <v>0.182</v>
      </c>
    </row>
    <row r="962" spans="1:13">
      <c r="A962" s="1">
        <f>HYPERLINK("http://www.twitter.com/NathanBLawrence/status/990793863630589952", "990793863630589952")</f>
        <v/>
      </c>
      <c r="B962" s="2" t="n">
        <v>43220.14165509259</v>
      </c>
      <c r="C962" t="n">
        <v>2</v>
      </c>
      <c r="D962" t="n">
        <v>1</v>
      </c>
      <c r="E962" t="s">
        <v>973</v>
      </c>
      <c r="F962" t="s"/>
      <c r="G962" t="s"/>
      <c r="H962" t="s"/>
      <c r="I962" t="s"/>
      <c r="J962" t="n">
        <v>0</v>
      </c>
      <c r="K962" t="n">
        <v>0</v>
      </c>
      <c r="L962" t="n">
        <v>1</v>
      </c>
      <c r="M962" t="n">
        <v>0</v>
      </c>
    </row>
    <row r="963" spans="1:13">
      <c r="A963" s="1">
        <f>HYPERLINK("http://www.twitter.com/NathanBLawrence/status/990793642158841856", "990793642158841856")</f>
        <v/>
      </c>
      <c r="B963" s="2" t="n">
        <v>43220.14105324074</v>
      </c>
      <c r="C963" t="n">
        <v>0</v>
      </c>
      <c r="D963" t="n">
        <v>0</v>
      </c>
      <c r="E963" t="s">
        <v>974</v>
      </c>
      <c r="F963" t="s"/>
      <c r="G963" t="s"/>
      <c r="H963" t="s"/>
      <c r="I963" t="s"/>
      <c r="J963" t="n">
        <v>0.8270999999999999</v>
      </c>
      <c r="K963" t="n">
        <v>0</v>
      </c>
      <c r="L963" t="n">
        <v>0.749</v>
      </c>
      <c r="M963" t="n">
        <v>0.251</v>
      </c>
    </row>
    <row r="964" spans="1:13">
      <c r="A964" s="1">
        <f>HYPERLINK("http://www.twitter.com/NathanBLawrence/status/990792883581014016", "990792883581014016")</f>
        <v/>
      </c>
      <c r="B964" s="2" t="n">
        <v>43220.13895833334</v>
      </c>
      <c r="C964" t="n">
        <v>0</v>
      </c>
      <c r="D964" t="n">
        <v>2912</v>
      </c>
      <c r="E964" t="s">
        <v>975</v>
      </c>
      <c r="F964" t="s"/>
      <c r="G964" t="s"/>
      <c r="H964" t="s"/>
      <c r="I964" t="s"/>
      <c r="J964" t="n">
        <v>0</v>
      </c>
      <c r="K964" t="n">
        <v>0</v>
      </c>
      <c r="L964" t="n">
        <v>1</v>
      </c>
      <c r="M964" t="n">
        <v>0</v>
      </c>
    </row>
    <row r="965" spans="1:13">
      <c r="A965" s="1">
        <f>HYPERLINK("http://www.twitter.com/NathanBLawrence/status/990783706179751936", "990783706179751936")</f>
        <v/>
      </c>
      <c r="B965" s="2" t="n">
        <v>43220.11363425926</v>
      </c>
      <c r="C965" t="n">
        <v>1</v>
      </c>
      <c r="D965" t="n">
        <v>0</v>
      </c>
      <c r="E965" t="s">
        <v>976</v>
      </c>
      <c r="F965" t="s"/>
      <c r="G965" t="s"/>
      <c r="H965" t="s"/>
      <c r="I965" t="s"/>
      <c r="J965" t="n">
        <v>0</v>
      </c>
      <c r="K965" t="n">
        <v>0</v>
      </c>
      <c r="L965" t="n">
        <v>1</v>
      </c>
      <c r="M965" t="n">
        <v>0</v>
      </c>
    </row>
    <row r="966" spans="1:13">
      <c r="A966" s="1">
        <f>HYPERLINK("http://www.twitter.com/NathanBLawrence/status/990783514479034373", "990783514479034373")</f>
        <v/>
      </c>
      <c r="B966" s="2" t="n">
        <v>43220.11310185185</v>
      </c>
      <c r="C966" t="n">
        <v>2</v>
      </c>
      <c r="D966" t="n">
        <v>0</v>
      </c>
      <c r="E966" t="s">
        <v>977</v>
      </c>
      <c r="F966" t="s"/>
      <c r="G966" t="s"/>
      <c r="H966" t="s"/>
      <c r="I966" t="s"/>
      <c r="J966" t="n">
        <v>-0.8151</v>
      </c>
      <c r="K966" t="n">
        <v>0.347</v>
      </c>
      <c r="L966" t="n">
        <v>0.606</v>
      </c>
      <c r="M966" t="n">
        <v>0.046</v>
      </c>
    </row>
    <row r="967" spans="1:13">
      <c r="A967" s="1">
        <f>HYPERLINK("http://www.twitter.com/NathanBLawrence/status/990782746380431362", "990782746380431362")</f>
        <v/>
      </c>
      <c r="B967" s="2" t="n">
        <v>43220.11098379629</v>
      </c>
      <c r="C967" t="n">
        <v>0</v>
      </c>
      <c r="D967" t="n">
        <v>35</v>
      </c>
      <c r="E967" t="s">
        <v>978</v>
      </c>
      <c r="F967">
        <f>HYPERLINK("http://pbs.twimg.com/media/Db-owxKV0AAUFqi.jpg", "http://pbs.twimg.com/media/Db-owxKV0AAUFqi.jpg")</f>
        <v/>
      </c>
      <c r="G967" t="s"/>
      <c r="H967" t="s"/>
      <c r="I967" t="s"/>
      <c r="J967" t="n">
        <v>0.5709</v>
      </c>
      <c r="K967" t="n">
        <v>0</v>
      </c>
      <c r="L967" t="n">
        <v>0.85</v>
      </c>
      <c r="M967" t="n">
        <v>0.15</v>
      </c>
    </row>
    <row r="968" spans="1:13">
      <c r="A968" s="1">
        <f>HYPERLINK("http://www.twitter.com/NathanBLawrence/status/990781747653726208", "990781747653726208")</f>
        <v/>
      </c>
      <c r="B968" s="2" t="n">
        <v>43220.10822916667</v>
      </c>
      <c r="C968" t="n">
        <v>0</v>
      </c>
      <c r="D968" t="n">
        <v>0</v>
      </c>
      <c r="E968" t="s">
        <v>979</v>
      </c>
      <c r="F968" t="s"/>
      <c r="G968" t="s"/>
      <c r="H968" t="s"/>
      <c r="I968" t="s"/>
      <c r="J968" t="n">
        <v>-0.5106000000000001</v>
      </c>
      <c r="K968" t="n">
        <v>0.357</v>
      </c>
      <c r="L968" t="n">
        <v>0.543</v>
      </c>
      <c r="M968" t="n">
        <v>0.101</v>
      </c>
    </row>
    <row r="969" spans="1:13">
      <c r="A969" s="1">
        <f>HYPERLINK("http://www.twitter.com/NathanBLawrence/status/990773617586835456", "990773617586835456")</f>
        <v/>
      </c>
      <c r="B969" s="2" t="n">
        <v>43220.08578703704</v>
      </c>
      <c r="C969" t="n">
        <v>0</v>
      </c>
      <c r="D969" t="n">
        <v>0</v>
      </c>
      <c r="E969" t="s">
        <v>980</v>
      </c>
      <c r="F969">
        <f>HYPERLINK("http://pbs.twimg.com/media/Db_vWkzVAAE-ik2.jpg", "http://pbs.twimg.com/media/Db_vWkzVAAE-ik2.jpg")</f>
        <v/>
      </c>
      <c r="G969" t="s"/>
      <c r="H969" t="s"/>
      <c r="I969" t="s"/>
      <c r="J969" t="n">
        <v>-0.8779</v>
      </c>
      <c r="K969" t="n">
        <v>0.645</v>
      </c>
      <c r="L969" t="n">
        <v>0.355</v>
      </c>
      <c r="M969" t="n">
        <v>0</v>
      </c>
    </row>
    <row r="970" spans="1:13">
      <c r="A970" s="1">
        <f>HYPERLINK("http://www.twitter.com/NathanBLawrence/status/990747344873369600", "990747344873369600")</f>
        <v/>
      </c>
      <c r="B970" s="2" t="n">
        <v>43220.01328703704</v>
      </c>
      <c r="C970" t="n">
        <v>0</v>
      </c>
      <c r="D970" t="n">
        <v>41</v>
      </c>
      <c r="E970" t="s">
        <v>981</v>
      </c>
      <c r="F970" t="s"/>
      <c r="G970" t="s"/>
      <c r="H970" t="s"/>
      <c r="I970" t="s"/>
      <c r="J970" t="n">
        <v>-0.2242</v>
      </c>
      <c r="K970" t="n">
        <v>0.168</v>
      </c>
      <c r="L970" t="n">
        <v>0.7</v>
      </c>
      <c r="M970" t="n">
        <v>0.132</v>
      </c>
    </row>
    <row r="971" spans="1:13">
      <c r="A971" s="1">
        <f>HYPERLINK("http://www.twitter.com/NathanBLawrence/status/990746515403657216", "990746515403657216")</f>
        <v/>
      </c>
      <c r="B971" s="2" t="n">
        <v>43220.01100694444</v>
      </c>
      <c r="C971" t="n">
        <v>1</v>
      </c>
      <c r="D971" t="n">
        <v>0</v>
      </c>
      <c r="E971" t="s">
        <v>982</v>
      </c>
      <c r="F971" t="s"/>
      <c r="G971" t="s"/>
      <c r="H971" t="s"/>
      <c r="I971" t="s"/>
      <c r="J971" t="n">
        <v>-0.7302999999999999</v>
      </c>
      <c r="K971" t="n">
        <v>0.391</v>
      </c>
      <c r="L971" t="n">
        <v>0.609</v>
      </c>
      <c r="M971" t="n">
        <v>0</v>
      </c>
    </row>
    <row r="972" spans="1:13">
      <c r="A972" s="1">
        <f>HYPERLINK("http://www.twitter.com/NathanBLawrence/status/990746275116142592", "990746275116142592")</f>
        <v/>
      </c>
      <c r="B972" s="2" t="n">
        <v>43220.01033564815</v>
      </c>
      <c r="C972" t="n">
        <v>0</v>
      </c>
      <c r="D972" t="n">
        <v>0</v>
      </c>
      <c r="E972" t="s">
        <v>983</v>
      </c>
      <c r="F972" t="s"/>
      <c r="G972" t="s"/>
      <c r="H972" t="s"/>
      <c r="I972" t="s"/>
      <c r="J972" t="n">
        <v>-0.7798</v>
      </c>
      <c r="K972" t="n">
        <v>0.159</v>
      </c>
      <c r="L972" t="n">
        <v>0.841</v>
      </c>
      <c r="M972" t="n">
        <v>0</v>
      </c>
    </row>
    <row r="973" spans="1:13">
      <c r="A973" s="1">
        <f>HYPERLINK("http://www.twitter.com/NathanBLawrence/status/990745537325477889", "990745537325477889")</f>
        <v/>
      </c>
      <c r="B973" s="2" t="n">
        <v>43220.00829861111</v>
      </c>
      <c r="C973" t="n">
        <v>2</v>
      </c>
      <c r="D973" t="n">
        <v>0</v>
      </c>
      <c r="E973" t="s">
        <v>984</v>
      </c>
      <c r="F973" t="s"/>
      <c r="G973" t="s"/>
      <c r="H973" t="s"/>
      <c r="I973" t="s"/>
      <c r="J973" t="n">
        <v>0</v>
      </c>
      <c r="K973" t="n">
        <v>0</v>
      </c>
      <c r="L973" t="n">
        <v>1</v>
      </c>
      <c r="M973" t="n">
        <v>0</v>
      </c>
    </row>
    <row r="974" spans="1:13">
      <c r="A974" s="1">
        <f>HYPERLINK("http://www.twitter.com/NathanBLawrence/status/990737085014466560", "990737085014466560")</f>
        <v/>
      </c>
      <c r="B974" s="2" t="n">
        <v>43219.98497685185</v>
      </c>
      <c r="C974" t="n">
        <v>0</v>
      </c>
      <c r="D974" t="n">
        <v>0</v>
      </c>
      <c r="E974" t="s">
        <v>985</v>
      </c>
      <c r="F974" t="s"/>
      <c r="G974" t="s"/>
      <c r="H974" t="s"/>
      <c r="I974" t="s"/>
      <c r="J974" t="n">
        <v>-0.9169</v>
      </c>
      <c r="K974" t="n">
        <v>0.279</v>
      </c>
      <c r="L974" t="n">
        <v>0.67</v>
      </c>
      <c r="M974" t="n">
        <v>0.051</v>
      </c>
    </row>
    <row r="975" spans="1:13">
      <c r="A975" s="1">
        <f>HYPERLINK("http://www.twitter.com/NathanBLawrence/status/990734659356151809", "990734659356151809")</f>
        <v/>
      </c>
      <c r="B975" s="2" t="n">
        <v>43219.97828703704</v>
      </c>
      <c r="C975" t="n">
        <v>3</v>
      </c>
      <c r="D975" t="n">
        <v>0</v>
      </c>
      <c r="E975" t="s">
        <v>986</v>
      </c>
      <c r="F975" t="s"/>
      <c r="G975" t="s"/>
      <c r="H975" t="s"/>
      <c r="I975" t="s"/>
      <c r="J975" t="n">
        <v>-0.3164</v>
      </c>
      <c r="K975" t="n">
        <v>0.128</v>
      </c>
      <c r="L975" t="n">
        <v>0.804</v>
      </c>
      <c r="M975" t="n">
        <v>0.067</v>
      </c>
    </row>
    <row r="976" spans="1:13">
      <c r="A976" s="1">
        <f>HYPERLINK("http://www.twitter.com/NathanBLawrence/status/990730698603540480", "990730698603540480")</f>
        <v/>
      </c>
      <c r="B976" s="2" t="n">
        <v>43219.96736111111</v>
      </c>
      <c r="C976" t="n">
        <v>2</v>
      </c>
      <c r="D976" t="n">
        <v>0</v>
      </c>
      <c r="E976" t="s">
        <v>987</v>
      </c>
      <c r="F976" t="s"/>
      <c r="G976" t="s"/>
      <c r="H976" t="s"/>
      <c r="I976" t="s"/>
      <c r="J976" t="n">
        <v>0.636</v>
      </c>
      <c r="K976" t="n">
        <v>0</v>
      </c>
      <c r="L976" t="n">
        <v>0.625</v>
      </c>
      <c r="M976" t="n">
        <v>0.375</v>
      </c>
    </row>
    <row r="977" spans="1:13">
      <c r="A977" s="1">
        <f>HYPERLINK("http://www.twitter.com/NathanBLawrence/status/990730506672246785", "990730506672246785")</f>
        <v/>
      </c>
      <c r="B977" s="2" t="n">
        <v>43219.96682870371</v>
      </c>
      <c r="C977" t="n">
        <v>9</v>
      </c>
      <c r="D977" t="n">
        <v>0</v>
      </c>
      <c r="E977" t="s">
        <v>988</v>
      </c>
      <c r="F977" t="s"/>
      <c r="G977" t="s"/>
      <c r="H977" t="s"/>
      <c r="I977" t="s"/>
      <c r="J977" t="n">
        <v>0.768</v>
      </c>
      <c r="K977" t="n">
        <v>0</v>
      </c>
      <c r="L977" t="n">
        <v>0.546</v>
      </c>
      <c r="M977" t="n">
        <v>0.454</v>
      </c>
    </row>
    <row r="978" spans="1:13">
      <c r="A978" s="1">
        <f>HYPERLINK("http://www.twitter.com/NathanBLawrence/status/990612412326871041", "990612412326871041")</f>
        <v/>
      </c>
      <c r="B978" s="2" t="n">
        <v>43219.64094907408</v>
      </c>
      <c r="C978" t="n">
        <v>0</v>
      </c>
      <c r="D978" t="n">
        <v>4809</v>
      </c>
      <c r="E978" t="s">
        <v>989</v>
      </c>
      <c r="F978" t="s"/>
      <c r="G978" t="s"/>
      <c r="H978" t="s"/>
      <c r="I978" t="s"/>
      <c r="J978" t="n">
        <v>0.0516</v>
      </c>
      <c r="K978" t="n">
        <v>0.08599999999999999</v>
      </c>
      <c r="L978" t="n">
        <v>0.82</v>
      </c>
      <c r="M978" t="n">
        <v>0.094</v>
      </c>
    </row>
    <row r="979" spans="1:13">
      <c r="A979" s="1">
        <f>HYPERLINK("http://www.twitter.com/NathanBLawrence/status/990612176321867779", "990612176321867779")</f>
        <v/>
      </c>
      <c r="B979" s="2" t="n">
        <v>43219.64030092592</v>
      </c>
      <c r="C979" t="n">
        <v>3</v>
      </c>
      <c r="D979" t="n">
        <v>0</v>
      </c>
      <c r="E979" t="s">
        <v>990</v>
      </c>
      <c r="F979" t="s"/>
      <c r="G979" t="s"/>
      <c r="H979" t="s"/>
      <c r="I979" t="s"/>
      <c r="J979" t="n">
        <v>0.2263</v>
      </c>
      <c r="K979" t="n">
        <v>0</v>
      </c>
      <c r="L979" t="n">
        <v>0.905</v>
      </c>
      <c r="M979" t="n">
        <v>0.095</v>
      </c>
    </row>
    <row r="980" spans="1:13">
      <c r="A980" s="1">
        <f>HYPERLINK("http://www.twitter.com/NathanBLawrence/status/990611945370812416", "990611945370812416")</f>
        <v/>
      </c>
      <c r="B980" s="2" t="n">
        <v>43219.63966435185</v>
      </c>
      <c r="C980" t="n">
        <v>1</v>
      </c>
      <c r="D980" t="n">
        <v>0</v>
      </c>
      <c r="E980" t="s">
        <v>991</v>
      </c>
      <c r="F980" t="s"/>
      <c r="G980" t="s"/>
      <c r="H980" t="s"/>
      <c r="I980" t="s"/>
      <c r="J980" t="n">
        <v>-0.2023</v>
      </c>
      <c r="K980" t="n">
        <v>0.103</v>
      </c>
      <c r="L980" t="n">
        <v>0.822</v>
      </c>
      <c r="M980" t="n">
        <v>0.075</v>
      </c>
    </row>
    <row r="981" spans="1:13">
      <c r="A981" s="1">
        <f>HYPERLINK("http://www.twitter.com/NathanBLawrence/status/990611576439918592", "990611576439918592")</f>
        <v/>
      </c>
      <c r="B981" s="2" t="n">
        <v>43219.63864583334</v>
      </c>
      <c r="C981" t="n">
        <v>2</v>
      </c>
      <c r="D981" t="n">
        <v>0</v>
      </c>
      <c r="E981" t="s">
        <v>992</v>
      </c>
      <c r="F981" t="s"/>
      <c r="G981" t="s"/>
      <c r="H981" t="s"/>
      <c r="I981" t="s"/>
      <c r="J981" t="n">
        <v>-0.34</v>
      </c>
      <c r="K981" t="n">
        <v>0.231</v>
      </c>
      <c r="L981" t="n">
        <v>0.769</v>
      </c>
      <c r="M981" t="n">
        <v>0</v>
      </c>
    </row>
    <row r="982" spans="1:13">
      <c r="A982" s="1">
        <f>HYPERLINK("http://www.twitter.com/NathanBLawrence/status/990611085697921024", "990611085697921024")</f>
        <v/>
      </c>
      <c r="B982" s="2" t="n">
        <v>43219.63729166667</v>
      </c>
      <c r="C982" t="n">
        <v>0</v>
      </c>
      <c r="D982" t="n">
        <v>0</v>
      </c>
      <c r="E982" t="s">
        <v>993</v>
      </c>
      <c r="F982" t="s"/>
      <c r="G982" t="s"/>
      <c r="H982" t="s"/>
      <c r="I982" t="s"/>
      <c r="J982" t="n">
        <v>0.3182</v>
      </c>
      <c r="K982" t="n">
        <v>0.065</v>
      </c>
      <c r="L982" t="n">
        <v>0.8159999999999999</v>
      </c>
      <c r="M982" t="n">
        <v>0.118</v>
      </c>
    </row>
    <row r="983" spans="1:13">
      <c r="A983" s="1">
        <f>HYPERLINK("http://www.twitter.com/NathanBLawrence/status/990610084844761088", "990610084844761088")</f>
        <v/>
      </c>
      <c r="B983" s="2" t="n">
        <v>43219.63452546296</v>
      </c>
      <c r="C983" t="n">
        <v>0</v>
      </c>
      <c r="D983" t="n">
        <v>0</v>
      </c>
      <c r="E983" t="s">
        <v>994</v>
      </c>
      <c r="F983" t="s"/>
      <c r="G983" t="s"/>
      <c r="H983" t="s"/>
      <c r="I983" t="s"/>
      <c r="J983" t="n">
        <v>0.7672</v>
      </c>
      <c r="K983" t="n">
        <v>0.06900000000000001</v>
      </c>
      <c r="L983" t="n">
        <v>0.587</v>
      </c>
      <c r="M983" t="n">
        <v>0.344</v>
      </c>
    </row>
    <row r="984" spans="1:13">
      <c r="A984" s="1">
        <f>HYPERLINK("http://www.twitter.com/NathanBLawrence/status/990609313680052224", "990609313680052224")</f>
        <v/>
      </c>
      <c r="B984" s="2" t="n">
        <v>43219.63239583333</v>
      </c>
      <c r="C984" t="n">
        <v>2</v>
      </c>
      <c r="D984" t="n">
        <v>0</v>
      </c>
      <c r="E984" t="s">
        <v>995</v>
      </c>
      <c r="F984" t="s"/>
      <c r="G984" t="s"/>
      <c r="H984" t="s"/>
      <c r="I984" t="s"/>
      <c r="J984" t="n">
        <v>0.4588</v>
      </c>
      <c r="K984" t="n">
        <v>0</v>
      </c>
      <c r="L984" t="n">
        <v>0.862</v>
      </c>
      <c r="M984" t="n">
        <v>0.138</v>
      </c>
    </row>
    <row r="985" spans="1:13">
      <c r="A985" s="1">
        <f>HYPERLINK("http://www.twitter.com/NathanBLawrence/status/990609072838860800", "990609072838860800")</f>
        <v/>
      </c>
      <c r="B985" s="2" t="n">
        <v>43219.63173611111</v>
      </c>
      <c r="C985" t="n">
        <v>2</v>
      </c>
      <c r="D985" t="n">
        <v>0</v>
      </c>
      <c r="E985" t="s">
        <v>996</v>
      </c>
      <c r="F985" t="s"/>
      <c r="G985" t="s"/>
      <c r="H985" t="s"/>
      <c r="I985" t="s"/>
      <c r="J985" t="n">
        <v>0.6633</v>
      </c>
      <c r="K985" t="n">
        <v>0</v>
      </c>
      <c r="L985" t="n">
        <v>0.746</v>
      </c>
      <c r="M985" t="n">
        <v>0.254</v>
      </c>
    </row>
    <row r="986" spans="1:13">
      <c r="A986" s="1">
        <f>HYPERLINK("http://www.twitter.com/NathanBLawrence/status/990608907910381569", "990608907910381569")</f>
        <v/>
      </c>
      <c r="B986" s="2" t="n">
        <v>43219.63127314814</v>
      </c>
      <c r="C986" t="n">
        <v>2</v>
      </c>
      <c r="D986" t="n">
        <v>0</v>
      </c>
      <c r="E986" t="s">
        <v>997</v>
      </c>
      <c r="F986" t="s"/>
      <c r="G986" t="s"/>
      <c r="H986" t="s"/>
      <c r="I986" t="s"/>
      <c r="J986" t="n">
        <v>0</v>
      </c>
      <c r="K986" t="n">
        <v>0</v>
      </c>
      <c r="L986" t="n">
        <v>1</v>
      </c>
      <c r="M986" t="n">
        <v>0</v>
      </c>
    </row>
    <row r="987" spans="1:13">
      <c r="A987" s="1">
        <f>HYPERLINK("http://www.twitter.com/NathanBLawrence/status/990608770551242753", "990608770551242753")</f>
        <v/>
      </c>
      <c r="B987" s="2" t="n">
        <v>43219.63090277778</v>
      </c>
      <c r="C987" t="n">
        <v>2</v>
      </c>
      <c r="D987" t="n">
        <v>0</v>
      </c>
      <c r="E987" t="s">
        <v>998</v>
      </c>
      <c r="F987" t="s"/>
      <c r="G987" t="s"/>
      <c r="H987" t="s"/>
      <c r="I987" t="s"/>
      <c r="J987" t="n">
        <v>0</v>
      </c>
      <c r="K987" t="n">
        <v>0</v>
      </c>
      <c r="L987" t="n">
        <v>1</v>
      </c>
      <c r="M987" t="n">
        <v>0</v>
      </c>
    </row>
    <row r="988" spans="1:13">
      <c r="A988" s="1">
        <f>HYPERLINK("http://www.twitter.com/NathanBLawrence/status/990608401855066113", "990608401855066113")</f>
        <v/>
      </c>
      <c r="B988" s="2" t="n">
        <v>43219.62988425926</v>
      </c>
      <c r="C988" t="n">
        <v>1</v>
      </c>
      <c r="D988" t="n">
        <v>0</v>
      </c>
      <c r="E988" t="s">
        <v>999</v>
      </c>
      <c r="F988" t="s"/>
      <c r="G988" t="s"/>
      <c r="H988" t="s"/>
      <c r="I988" t="s"/>
      <c r="J988" t="n">
        <v>0</v>
      </c>
      <c r="K988" t="n">
        <v>0</v>
      </c>
      <c r="L988" t="n">
        <v>1</v>
      </c>
      <c r="M988" t="n">
        <v>0</v>
      </c>
    </row>
    <row r="989" spans="1:13">
      <c r="A989" s="1">
        <f>HYPERLINK("http://www.twitter.com/NathanBLawrence/status/990608279817674752", "990608279817674752")</f>
        <v/>
      </c>
      <c r="B989" s="2" t="n">
        <v>43219.62954861111</v>
      </c>
      <c r="C989" t="n">
        <v>2</v>
      </c>
      <c r="D989" t="n">
        <v>0</v>
      </c>
      <c r="E989" t="s">
        <v>1000</v>
      </c>
      <c r="F989" t="s"/>
      <c r="G989" t="s"/>
      <c r="H989" t="s"/>
      <c r="I989" t="s"/>
      <c r="J989" t="n">
        <v>0</v>
      </c>
      <c r="K989" t="n">
        <v>0</v>
      </c>
      <c r="L989" t="n">
        <v>1</v>
      </c>
      <c r="M989" t="n">
        <v>0</v>
      </c>
    </row>
    <row r="990" spans="1:13">
      <c r="A990" s="1">
        <f>HYPERLINK("http://www.twitter.com/NathanBLawrence/status/990607323293941761", "990607323293941761")</f>
        <v/>
      </c>
      <c r="B990" s="2" t="n">
        <v>43219.62690972222</v>
      </c>
      <c r="C990" t="n">
        <v>4</v>
      </c>
      <c r="D990" t="n">
        <v>1</v>
      </c>
      <c r="E990" t="s">
        <v>1001</v>
      </c>
      <c r="F990" t="s"/>
      <c r="G990" t="s"/>
      <c r="H990" t="s"/>
      <c r="I990" t="s"/>
      <c r="J990" t="n">
        <v>0</v>
      </c>
      <c r="K990" t="n">
        <v>0</v>
      </c>
      <c r="L990" t="n">
        <v>1</v>
      </c>
      <c r="M990" t="n">
        <v>0</v>
      </c>
    </row>
    <row r="991" spans="1:13">
      <c r="A991" s="1">
        <f>HYPERLINK("http://www.twitter.com/NathanBLawrence/status/990606968413925377", "990606968413925377")</f>
        <v/>
      </c>
      <c r="B991" s="2" t="n">
        <v>43219.62592592592</v>
      </c>
      <c r="C991" t="n">
        <v>2</v>
      </c>
      <c r="D991" t="n">
        <v>0</v>
      </c>
      <c r="E991" t="s">
        <v>1002</v>
      </c>
      <c r="F991" t="s"/>
      <c r="G991" t="s"/>
      <c r="H991" t="s"/>
      <c r="I991" t="s"/>
      <c r="J991" t="n">
        <v>0</v>
      </c>
      <c r="K991" t="n">
        <v>0</v>
      </c>
      <c r="L991" t="n">
        <v>1</v>
      </c>
      <c r="M991" t="n">
        <v>0</v>
      </c>
    </row>
    <row r="992" spans="1:13">
      <c r="A992" s="1">
        <f>HYPERLINK("http://www.twitter.com/NathanBLawrence/status/990597294834765824", "990597294834765824")</f>
        <v/>
      </c>
      <c r="B992" s="2" t="n">
        <v>43219.59923611111</v>
      </c>
      <c r="C992" t="n">
        <v>0</v>
      </c>
      <c r="D992" t="n">
        <v>0</v>
      </c>
      <c r="E992" t="s">
        <v>1003</v>
      </c>
      <c r="F992" t="s"/>
      <c r="G992" t="s"/>
      <c r="H992" t="s"/>
      <c r="I992" t="s"/>
      <c r="J992" t="n">
        <v>0</v>
      </c>
      <c r="K992" t="n">
        <v>0</v>
      </c>
      <c r="L992" t="n">
        <v>1</v>
      </c>
      <c r="M992" t="n">
        <v>0</v>
      </c>
    </row>
    <row r="993" spans="1:13">
      <c r="A993" s="1">
        <f>HYPERLINK("http://www.twitter.com/NathanBLawrence/status/990597051254804480", "990597051254804480")</f>
        <v/>
      </c>
      <c r="B993" s="2" t="n">
        <v>43219.59856481481</v>
      </c>
      <c r="C993" t="n">
        <v>0</v>
      </c>
      <c r="D993" t="n">
        <v>0</v>
      </c>
      <c r="E993" t="s">
        <v>1004</v>
      </c>
      <c r="F993" t="s"/>
      <c r="G993" t="s"/>
      <c r="H993" t="s"/>
      <c r="I993" t="s"/>
      <c r="J993" t="n">
        <v>0</v>
      </c>
      <c r="K993" t="n">
        <v>0</v>
      </c>
      <c r="L993" t="n">
        <v>1</v>
      </c>
      <c r="M993" t="n">
        <v>0</v>
      </c>
    </row>
    <row r="994" spans="1:13">
      <c r="A994" s="1">
        <f>HYPERLINK("http://www.twitter.com/NathanBLawrence/status/990596941032706048", "990596941032706048")</f>
        <v/>
      </c>
      <c r="B994" s="2" t="n">
        <v>43219.59825231481</v>
      </c>
      <c r="C994" t="n">
        <v>0</v>
      </c>
      <c r="D994" t="n">
        <v>0</v>
      </c>
      <c r="E994" t="s">
        <v>1005</v>
      </c>
      <c r="F994" t="s"/>
      <c r="G994" t="s"/>
      <c r="H994" t="s"/>
      <c r="I994" t="s"/>
      <c r="J994" t="n">
        <v>0</v>
      </c>
      <c r="K994" t="n">
        <v>0</v>
      </c>
      <c r="L994" t="n">
        <v>1</v>
      </c>
      <c r="M994" t="n">
        <v>0</v>
      </c>
    </row>
    <row r="995" spans="1:13">
      <c r="A995" s="1">
        <f>HYPERLINK("http://www.twitter.com/NathanBLawrence/status/990596500777553923", "990596500777553923")</f>
        <v/>
      </c>
      <c r="B995" s="2" t="n">
        <v>43219.59703703703</v>
      </c>
      <c r="C995" t="n">
        <v>0</v>
      </c>
      <c r="D995" t="n">
        <v>0</v>
      </c>
      <c r="E995" t="s">
        <v>1006</v>
      </c>
      <c r="F995" t="s"/>
      <c r="G995" t="s"/>
      <c r="H995" t="s"/>
      <c r="I995" t="s"/>
      <c r="J995" t="n">
        <v>0</v>
      </c>
      <c r="K995" t="n">
        <v>0</v>
      </c>
      <c r="L995" t="n">
        <v>1</v>
      </c>
      <c r="M995" t="n">
        <v>0</v>
      </c>
    </row>
    <row r="996" spans="1:13">
      <c r="A996" s="1">
        <f>HYPERLINK("http://www.twitter.com/NathanBLawrence/status/990596066964893696", "990596066964893696")</f>
        <v/>
      </c>
      <c r="B996" s="2" t="n">
        <v>43219.59584490741</v>
      </c>
      <c r="C996" t="n">
        <v>0</v>
      </c>
      <c r="D996" t="n">
        <v>0</v>
      </c>
      <c r="E996" t="s">
        <v>1007</v>
      </c>
      <c r="F996" t="s"/>
      <c r="G996" t="s"/>
      <c r="H996" t="s"/>
      <c r="I996" t="s"/>
      <c r="J996" t="n">
        <v>0</v>
      </c>
      <c r="K996" t="n">
        <v>0</v>
      </c>
      <c r="L996" t="n">
        <v>1</v>
      </c>
      <c r="M996" t="n">
        <v>0</v>
      </c>
    </row>
    <row r="997" spans="1:13">
      <c r="A997" s="1">
        <f>HYPERLINK("http://www.twitter.com/NathanBLawrence/status/990595266507100161", "990595266507100161")</f>
        <v/>
      </c>
      <c r="B997" s="2" t="n">
        <v>43219.59363425926</v>
      </c>
      <c r="C997" t="n">
        <v>0</v>
      </c>
      <c r="D997" t="n">
        <v>0</v>
      </c>
      <c r="E997" t="s">
        <v>1008</v>
      </c>
      <c r="F997" t="s"/>
      <c r="G997" t="s"/>
      <c r="H997" t="s"/>
      <c r="I997" t="s"/>
      <c r="J997" t="n">
        <v>0.4003</v>
      </c>
      <c r="K997" t="n">
        <v>0</v>
      </c>
      <c r="L997" t="n">
        <v>0.527</v>
      </c>
      <c r="M997" t="n">
        <v>0.473</v>
      </c>
    </row>
    <row r="998" spans="1:13">
      <c r="A998" s="1">
        <f>HYPERLINK("http://www.twitter.com/NathanBLawrence/status/990595055068024832", "990595055068024832")</f>
        <v/>
      </c>
      <c r="B998" s="2" t="n">
        <v>43219.59305555555</v>
      </c>
      <c r="C998" t="n">
        <v>0</v>
      </c>
      <c r="D998" t="n">
        <v>0</v>
      </c>
      <c r="E998" t="s">
        <v>1009</v>
      </c>
      <c r="F998" t="s"/>
      <c r="G998" t="s"/>
      <c r="H998" t="s"/>
      <c r="I998" t="s"/>
      <c r="J998" t="n">
        <v>0.6705</v>
      </c>
      <c r="K998" t="n">
        <v>0</v>
      </c>
      <c r="L998" t="n">
        <v>0.766</v>
      </c>
      <c r="M998" t="n">
        <v>0.234</v>
      </c>
    </row>
    <row r="999" spans="1:13">
      <c r="A999" s="1">
        <f>HYPERLINK("http://www.twitter.com/NathanBLawrence/status/990590251075764224", "990590251075764224")</f>
        <v/>
      </c>
      <c r="B999" s="2" t="n">
        <v>43219.57979166666</v>
      </c>
      <c r="C999" t="n">
        <v>1</v>
      </c>
      <c r="D999" t="n">
        <v>0</v>
      </c>
      <c r="E999" t="s">
        <v>1010</v>
      </c>
      <c r="F999" t="s"/>
      <c r="G999" t="s"/>
      <c r="H999" t="s"/>
      <c r="I999" t="s"/>
      <c r="J999" t="n">
        <v>0.4404</v>
      </c>
      <c r="K999" t="n">
        <v>0</v>
      </c>
      <c r="L999" t="n">
        <v>0.775</v>
      </c>
      <c r="M999" t="n">
        <v>0.225</v>
      </c>
    </row>
    <row r="1000" spans="1:13">
      <c r="A1000" s="1">
        <f>HYPERLINK("http://www.twitter.com/NathanBLawrence/status/990589561234444288", "990589561234444288")</f>
        <v/>
      </c>
      <c r="B1000" s="2" t="n">
        <v>43219.57789351852</v>
      </c>
      <c r="C1000" t="n">
        <v>1</v>
      </c>
      <c r="D1000" t="n">
        <v>0</v>
      </c>
      <c r="E1000" t="s">
        <v>1011</v>
      </c>
      <c r="F1000" t="s"/>
      <c r="G1000" t="s"/>
      <c r="H1000" t="s"/>
      <c r="I1000" t="s"/>
      <c r="J1000" t="n">
        <v>0</v>
      </c>
      <c r="K1000" t="n">
        <v>0</v>
      </c>
      <c r="L1000" t="n">
        <v>1</v>
      </c>
      <c r="M1000" t="n">
        <v>0</v>
      </c>
    </row>
    <row r="1001" spans="1:13">
      <c r="A1001" s="1">
        <f>HYPERLINK("http://www.twitter.com/NathanBLawrence/status/990589195474341888", "990589195474341888")</f>
        <v/>
      </c>
      <c r="B1001" s="2" t="n">
        <v>43219.57688657408</v>
      </c>
      <c r="C1001" t="n">
        <v>1</v>
      </c>
      <c r="D1001" t="n">
        <v>0</v>
      </c>
      <c r="E1001" t="s">
        <v>1012</v>
      </c>
      <c r="F1001" t="s"/>
      <c r="G1001" t="s"/>
      <c r="H1001" t="s"/>
      <c r="I1001" t="s"/>
      <c r="J1001" t="n">
        <v>0</v>
      </c>
      <c r="K1001" t="n">
        <v>0</v>
      </c>
      <c r="L1001" t="n">
        <v>1</v>
      </c>
      <c r="M1001" t="n">
        <v>0</v>
      </c>
    </row>
    <row r="1002" spans="1:13">
      <c r="A1002" s="1">
        <f>HYPERLINK("http://www.twitter.com/NathanBLawrence/status/990587862138736643", "990587862138736643")</f>
        <v/>
      </c>
      <c r="B1002" s="2" t="n">
        <v>43219.57320601852</v>
      </c>
      <c r="C1002" t="n">
        <v>3</v>
      </c>
      <c r="D1002" t="n">
        <v>0</v>
      </c>
      <c r="E1002" t="s">
        <v>1013</v>
      </c>
      <c r="F1002" t="s"/>
      <c r="G1002" t="s"/>
      <c r="H1002" t="s"/>
      <c r="I1002" t="s"/>
      <c r="J1002" t="n">
        <v>-0.4374</v>
      </c>
      <c r="K1002" t="n">
        <v>0.059</v>
      </c>
      <c r="L1002" t="n">
        <v>0.9409999999999999</v>
      </c>
      <c r="M1002" t="n">
        <v>0</v>
      </c>
    </row>
    <row r="1003" spans="1:13">
      <c r="A1003" s="1">
        <f>HYPERLINK("http://www.twitter.com/NathanBLawrence/status/990587082644041729", "990587082644041729")</f>
        <v/>
      </c>
      <c r="B1003" s="2" t="n">
        <v>43219.57105324074</v>
      </c>
      <c r="C1003" t="n">
        <v>1</v>
      </c>
      <c r="D1003" t="n">
        <v>0</v>
      </c>
      <c r="E1003" t="s">
        <v>1014</v>
      </c>
      <c r="F1003" t="s"/>
      <c r="G1003" t="s"/>
      <c r="H1003" t="s"/>
      <c r="I1003" t="s"/>
      <c r="J1003" t="n">
        <v>0</v>
      </c>
      <c r="K1003" t="n">
        <v>0</v>
      </c>
      <c r="L1003" t="n">
        <v>1</v>
      </c>
      <c r="M1003" t="n">
        <v>0</v>
      </c>
    </row>
    <row r="1004" spans="1:13">
      <c r="A1004" s="1">
        <f>HYPERLINK("http://www.twitter.com/NathanBLawrence/status/990586418018897923", "990586418018897923")</f>
        <v/>
      </c>
      <c r="B1004" s="2" t="n">
        <v>43219.56921296296</v>
      </c>
      <c r="C1004" t="n">
        <v>2</v>
      </c>
      <c r="D1004" t="n">
        <v>1</v>
      </c>
      <c r="E1004" t="s">
        <v>1015</v>
      </c>
      <c r="F1004" t="s"/>
      <c r="G1004" t="s"/>
      <c r="H1004" t="s"/>
      <c r="I1004" t="s"/>
      <c r="J1004" t="n">
        <v>-0.2732</v>
      </c>
      <c r="K1004" t="n">
        <v>0.068</v>
      </c>
      <c r="L1004" t="n">
        <v>0.9320000000000001</v>
      </c>
      <c r="M1004" t="n">
        <v>0</v>
      </c>
    </row>
    <row r="1005" spans="1:13">
      <c r="A1005" s="1">
        <f>HYPERLINK("http://www.twitter.com/NathanBLawrence/status/990585476921921536", "990585476921921536")</f>
        <v/>
      </c>
      <c r="B1005" s="2" t="n">
        <v>43219.56662037037</v>
      </c>
      <c r="C1005" t="n">
        <v>3</v>
      </c>
      <c r="D1005" t="n">
        <v>0</v>
      </c>
      <c r="E1005" t="s">
        <v>1016</v>
      </c>
      <c r="F1005" t="s"/>
      <c r="G1005" t="s"/>
      <c r="H1005" t="s"/>
      <c r="I1005" t="s"/>
      <c r="J1005" t="n">
        <v>0.4215</v>
      </c>
      <c r="K1005" t="n">
        <v>0.091</v>
      </c>
      <c r="L1005" t="n">
        <v>0.702</v>
      </c>
      <c r="M1005" t="n">
        <v>0.207</v>
      </c>
    </row>
    <row r="1006" spans="1:13">
      <c r="A1006" s="1">
        <f>HYPERLINK("http://www.twitter.com/NathanBLawrence/status/990584975299923968", "990584975299923968")</f>
        <v/>
      </c>
      <c r="B1006" s="2" t="n">
        <v>43219.56523148148</v>
      </c>
      <c r="C1006" t="n">
        <v>2</v>
      </c>
      <c r="D1006" t="n">
        <v>0</v>
      </c>
      <c r="E1006" t="s">
        <v>1017</v>
      </c>
      <c r="F1006" t="s"/>
      <c r="G1006" t="s"/>
      <c r="H1006" t="s"/>
      <c r="I1006" t="s"/>
      <c r="J1006" t="n">
        <v>0.2023</v>
      </c>
      <c r="K1006" t="n">
        <v>0</v>
      </c>
      <c r="L1006" t="n">
        <v>0.878</v>
      </c>
      <c r="M1006" t="n">
        <v>0.122</v>
      </c>
    </row>
    <row r="1007" spans="1:13">
      <c r="A1007" s="1">
        <f>HYPERLINK("http://www.twitter.com/NathanBLawrence/status/990584039877808128", "990584039877808128")</f>
        <v/>
      </c>
      <c r="B1007" s="2" t="n">
        <v>43219.56265046296</v>
      </c>
      <c r="C1007" t="n">
        <v>0</v>
      </c>
      <c r="D1007" t="n">
        <v>0</v>
      </c>
      <c r="E1007" t="s">
        <v>1018</v>
      </c>
      <c r="F1007" t="s"/>
      <c r="G1007" t="s"/>
      <c r="H1007" t="s"/>
      <c r="I1007" t="s"/>
      <c r="J1007" t="n">
        <v>0</v>
      </c>
      <c r="K1007" t="n">
        <v>0</v>
      </c>
      <c r="L1007" t="n">
        <v>1</v>
      </c>
      <c r="M1007" t="n">
        <v>0</v>
      </c>
    </row>
    <row r="1008" spans="1:13">
      <c r="A1008" s="1">
        <f>HYPERLINK("http://www.twitter.com/NathanBLawrence/status/990583179454177280", "990583179454177280")</f>
        <v/>
      </c>
      <c r="B1008" s="2" t="n">
        <v>43219.56027777777</v>
      </c>
      <c r="C1008" t="n">
        <v>0</v>
      </c>
      <c r="D1008" t="n">
        <v>0</v>
      </c>
      <c r="E1008" t="s">
        <v>1019</v>
      </c>
      <c r="F1008" t="s"/>
      <c r="G1008" t="s"/>
      <c r="H1008" t="s"/>
      <c r="I1008" t="s"/>
      <c r="J1008" t="n">
        <v>0</v>
      </c>
      <c r="K1008" t="n">
        <v>0</v>
      </c>
      <c r="L1008" t="n">
        <v>1</v>
      </c>
      <c r="M1008" t="n">
        <v>0</v>
      </c>
    </row>
    <row r="1009" spans="1:13">
      <c r="A1009" s="1">
        <f>HYPERLINK("http://www.twitter.com/NathanBLawrence/status/990385916375109632", "990385916375109632")</f>
        <v/>
      </c>
      <c r="B1009" s="2" t="n">
        <v>43219.0159375</v>
      </c>
      <c r="C1009" t="n">
        <v>0</v>
      </c>
      <c r="D1009" t="n">
        <v>1659</v>
      </c>
      <c r="E1009" t="s">
        <v>1020</v>
      </c>
      <c r="F1009" t="s"/>
      <c r="G1009" t="s"/>
      <c r="H1009" t="s"/>
      <c r="I1009" t="s"/>
      <c r="J1009" t="n">
        <v>-0.6428</v>
      </c>
      <c r="K1009" t="n">
        <v>0.331</v>
      </c>
      <c r="L1009" t="n">
        <v>0.462</v>
      </c>
      <c r="M1009" t="n">
        <v>0.206</v>
      </c>
    </row>
    <row r="1010" spans="1:13">
      <c r="A1010" s="1">
        <f>HYPERLINK("http://www.twitter.com/NathanBLawrence/status/990385569304862721", "990385569304862721")</f>
        <v/>
      </c>
      <c r="B1010" s="2" t="n">
        <v>43219.01497685185</v>
      </c>
      <c r="C1010" t="n">
        <v>1</v>
      </c>
      <c r="D1010" t="n">
        <v>0</v>
      </c>
      <c r="E1010" t="s">
        <v>1021</v>
      </c>
      <c r="F1010" t="s"/>
      <c r="G1010" t="s"/>
      <c r="H1010" t="s"/>
      <c r="I1010" t="s"/>
      <c r="J1010" t="n">
        <v>0.5719</v>
      </c>
      <c r="K1010" t="n">
        <v>0</v>
      </c>
      <c r="L1010" t="n">
        <v>0.866</v>
      </c>
      <c r="M1010" t="n">
        <v>0.134</v>
      </c>
    </row>
    <row r="1011" spans="1:13">
      <c r="A1011" s="1">
        <f>HYPERLINK("http://www.twitter.com/NathanBLawrence/status/990377297667641352", "990377297667641352")</f>
        <v/>
      </c>
      <c r="B1011" s="2" t="n">
        <v>43218.99215277778</v>
      </c>
      <c r="C1011" t="n">
        <v>0</v>
      </c>
      <c r="D1011" t="n">
        <v>2432</v>
      </c>
      <c r="E1011" t="s">
        <v>1022</v>
      </c>
      <c r="F1011" t="s"/>
      <c r="G1011" t="s"/>
      <c r="H1011" t="s"/>
      <c r="I1011" t="s"/>
      <c r="J1011" t="n">
        <v>-0.8126</v>
      </c>
      <c r="K1011" t="n">
        <v>0.31</v>
      </c>
      <c r="L1011" t="n">
        <v>0.621</v>
      </c>
      <c r="M1011" t="n">
        <v>0.06900000000000001</v>
      </c>
    </row>
    <row r="1012" spans="1:13">
      <c r="A1012" s="1">
        <f>HYPERLINK("http://www.twitter.com/NathanBLawrence/status/990368887723225088", "990368887723225088")</f>
        <v/>
      </c>
      <c r="B1012" s="2" t="n">
        <v>43218.96894675926</v>
      </c>
      <c r="C1012" t="n">
        <v>1</v>
      </c>
      <c r="D1012" t="n">
        <v>0</v>
      </c>
      <c r="E1012" t="s">
        <v>1023</v>
      </c>
      <c r="F1012" t="s"/>
      <c r="G1012" t="s"/>
      <c r="H1012" t="s"/>
      <c r="I1012" t="s"/>
      <c r="J1012" t="n">
        <v>-0.4939</v>
      </c>
      <c r="K1012" t="n">
        <v>0.286</v>
      </c>
      <c r="L1012" t="n">
        <v>0.714</v>
      </c>
      <c r="M1012" t="n">
        <v>0</v>
      </c>
    </row>
    <row r="1013" spans="1:13">
      <c r="A1013" s="1">
        <f>HYPERLINK("http://www.twitter.com/NathanBLawrence/status/990364527060488193", "990364527060488193")</f>
        <v/>
      </c>
      <c r="B1013" s="2" t="n">
        <v>43218.95690972222</v>
      </c>
      <c r="C1013" t="n">
        <v>5</v>
      </c>
      <c r="D1013" t="n">
        <v>2</v>
      </c>
      <c r="E1013" t="s">
        <v>1024</v>
      </c>
      <c r="F1013" t="s"/>
      <c r="G1013" t="s"/>
      <c r="H1013" t="s"/>
      <c r="I1013" t="s"/>
      <c r="J1013" t="n">
        <v>0.1027</v>
      </c>
      <c r="K1013" t="n">
        <v>0.054</v>
      </c>
      <c r="L1013" t="n">
        <v>0.846</v>
      </c>
      <c r="M1013" t="n">
        <v>0.1</v>
      </c>
    </row>
    <row r="1014" spans="1:13">
      <c r="A1014" s="1">
        <f>HYPERLINK("http://www.twitter.com/NathanBLawrence/status/990351590749036544", "990351590749036544")</f>
        <v/>
      </c>
      <c r="B1014" s="2" t="n">
        <v>43218.92121527778</v>
      </c>
      <c r="C1014" t="n">
        <v>0</v>
      </c>
      <c r="D1014" t="n">
        <v>0</v>
      </c>
      <c r="E1014" t="s">
        <v>1025</v>
      </c>
      <c r="F1014" t="s"/>
      <c r="G1014" t="s"/>
      <c r="H1014" t="s"/>
      <c r="I1014" t="s"/>
      <c r="J1014" t="n">
        <v>0</v>
      </c>
      <c r="K1014" t="n">
        <v>0</v>
      </c>
      <c r="L1014" t="n">
        <v>1</v>
      </c>
      <c r="M1014" t="n">
        <v>0</v>
      </c>
    </row>
    <row r="1015" spans="1:13">
      <c r="A1015" s="1">
        <f>HYPERLINK("http://www.twitter.com/NathanBLawrence/status/990351253103435777", "990351253103435777")</f>
        <v/>
      </c>
      <c r="B1015" s="2" t="n">
        <v>43218.92028935185</v>
      </c>
      <c r="C1015" t="n">
        <v>0</v>
      </c>
      <c r="D1015" t="n">
        <v>0</v>
      </c>
      <c r="E1015" t="s">
        <v>1026</v>
      </c>
      <c r="F1015" t="s"/>
      <c r="G1015" t="s"/>
      <c r="H1015" t="s"/>
      <c r="I1015" t="s"/>
      <c r="J1015" t="n">
        <v>0</v>
      </c>
      <c r="K1015" t="n">
        <v>0</v>
      </c>
      <c r="L1015" t="n">
        <v>1</v>
      </c>
      <c r="M1015" t="n">
        <v>0</v>
      </c>
    </row>
    <row r="1016" spans="1:13">
      <c r="A1016" s="1">
        <f>HYPERLINK("http://www.twitter.com/NathanBLawrence/status/990350727259328513", "990350727259328513")</f>
        <v/>
      </c>
      <c r="B1016" s="2" t="n">
        <v>43218.91883101852</v>
      </c>
      <c r="C1016" t="n">
        <v>3</v>
      </c>
      <c r="D1016" t="n">
        <v>0</v>
      </c>
      <c r="E1016" t="s">
        <v>1027</v>
      </c>
      <c r="F1016" t="s"/>
      <c r="G1016" t="s"/>
      <c r="H1016" t="s"/>
      <c r="I1016" t="s"/>
      <c r="J1016" t="n">
        <v>0</v>
      </c>
      <c r="K1016" t="n">
        <v>0</v>
      </c>
      <c r="L1016" t="n">
        <v>1</v>
      </c>
      <c r="M1016" t="n">
        <v>0</v>
      </c>
    </row>
    <row r="1017" spans="1:13">
      <c r="A1017" s="1">
        <f>HYPERLINK("http://www.twitter.com/NathanBLawrence/status/990350496979398656", "990350496979398656")</f>
        <v/>
      </c>
      <c r="B1017" s="2" t="n">
        <v>43218.91819444444</v>
      </c>
      <c r="C1017" t="n">
        <v>1</v>
      </c>
      <c r="D1017" t="n">
        <v>1</v>
      </c>
      <c r="E1017" t="s">
        <v>1028</v>
      </c>
      <c r="F1017" t="s"/>
      <c r="G1017" t="s"/>
      <c r="H1017" t="s"/>
      <c r="I1017" t="s"/>
      <c r="J1017" t="n">
        <v>0</v>
      </c>
      <c r="K1017" t="n">
        <v>0</v>
      </c>
      <c r="L1017" t="n">
        <v>1</v>
      </c>
      <c r="M1017" t="n">
        <v>0</v>
      </c>
    </row>
    <row r="1018" spans="1:13">
      <c r="A1018" s="1">
        <f>HYPERLINK("http://www.twitter.com/NathanBLawrence/status/990349789794656262", "990349789794656262")</f>
        <v/>
      </c>
      <c r="B1018" s="2" t="n">
        <v>43218.91625</v>
      </c>
      <c r="C1018" t="n">
        <v>3</v>
      </c>
      <c r="D1018" t="n">
        <v>2</v>
      </c>
      <c r="E1018" t="s">
        <v>1029</v>
      </c>
      <c r="F1018" t="s"/>
      <c r="G1018" t="s"/>
      <c r="H1018" t="s"/>
      <c r="I1018" t="s"/>
      <c r="J1018" t="n">
        <v>-0.7495000000000001</v>
      </c>
      <c r="K1018" t="n">
        <v>0.347</v>
      </c>
      <c r="L1018" t="n">
        <v>0.653</v>
      </c>
      <c r="M1018" t="n">
        <v>0</v>
      </c>
    </row>
    <row r="1019" spans="1:13">
      <c r="A1019" s="1">
        <f>HYPERLINK("http://www.twitter.com/NathanBLawrence/status/990349039563616257", "990349039563616257")</f>
        <v/>
      </c>
      <c r="B1019" s="2" t="n">
        <v>43218.91417824074</v>
      </c>
      <c r="C1019" t="n">
        <v>5</v>
      </c>
      <c r="D1019" t="n">
        <v>1</v>
      </c>
      <c r="E1019" t="s">
        <v>1030</v>
      </c>
      <c r="F1019" t="s"/>
      <c r="G1019" t="s"/>
      <c r="H1019" t="s"/>
      <c r="I1019" t="s"/>
      <c r="J1019" t="n">
        <v>0</v>
      </c>
      <c r="K1019" t="n">
        <v>0</v>
      </c>
      <c r="L1019" t="n">
        <v>1</v>
      </c>
      <c r="M1019" t="n">
        <v>0</v>
      </c>
    </row>
    <row r="1020" spans="1:13">
      <c r="A1020" s="1">
        <f>HYPERLINK("http://www.twitter.com/NathanBLawrence/status/990291544824537090", "990291544824537090")</f>
        <v/>
      </c>
      <c r="B1020" s="2" t="n">
        <v>43218.75552083334</v>
      </c>
      <c r="C1020" t="n">
        <v>0</v>
      </c>
      <c r="D1020" t="n">
        <v>770</v>
      </c>
      <c r="E1020" t="s">
        <v>1031</v>
      </c>
      <c r="F1020">
        <f>HYPERLINK("http://pbs.twimg.com/media/Db1acetUQAAQAdo.jpg", "http://pbs.twimg.com/media/Db1acetUQAAQAdo.jpg")</f>
        <v/>
      </c>
      <c r="G1020" t="s"/>
      <c r="H1020" t="s"/>
      <c r="I1020" t="s"/>
      <c r="J1020" t="n">
        <v>0.3612</v>
      </c>
      <c r="K1020" t="n">
        <v>0</v>
      </c>
      <c r="L1020" t="n">
        <v>0.906</v>
      </c>
      <c r="M1020" t="n">
        <v>0.094</v>
      </c>
    </row>
    <row r="1021" spans="1:13">
      <c r="A1021" s="1">
        <f>HYPERLINK("http://www.twitter.com/NathanBLawrence/status/990291279153192961", "990291279153192961")</f>
        <v/>
      </c>
      <c r="B1021" s="2" t="n">
        <v>43218.75479166667</v>
      </c>
      <c r="C1021" t="n">
        <v>1</v>
      </c>
      <c r="D1021" t="n">
        <v>0</v>
      </c>
      <c r="E1021" t="s">
        <v>1032</v>
      </c>
      <c r="F1021" t="s"/>
      <c r="G1021" t="s"/>
      <c r="H1021" t="s"/>
      <c r="I1021" t="s"/>
      <c r="J1021" t="n">
        <v>0.5399</v>
      </c>
      <c r="K1021" t="n">
        <v>0</v>
      </c>
      <c r="L1021" t="n">
        <v>0.8120000000000001</v>
      </c>
      <c r="M1021" t="n">
        <v>0.188</v>
      </c>
    </row>
    <row r="1022" spans="1:13">
      <c r="A1022" s="1">
        <f>HYPERLINK("http://www.twitter.com/NathanBLawrence/status/990282733057388544", "990282733057388544")</f>
        <v/>
      </c>
      <c r="B1022" s="2" t="n">
        <v>43218.7312037037</v>
      </c>
      <c r="C1022" t="n">
        <v>2</v>
      </c>
      <c r="D1022" t="n">
        <v>0</v>
      </c>
      <c r="E1022" t="s">
        <v>1033</v>
      </c>
      <c r="F1022" t="s"/>
      <c r="G1022" t="s"/>
      <c r="H1022" t="s"/>
      <c r="I1022" t="s"/>
      <c r="J1022" t="n">
        <v>0.5266999999999999</v>
      </c>
      <c r="K1022" t="n">
        <v>0.058</v>
      </c>
      <c r="L1022" t="n">
        <v>0.785</v>
      </c>
      <c r="M1022" t="n">
        <v>0.157</v>
      </c>
    </row>
    <row r="1023" spans="1:13">
      <c r="A1023" s="1">
        <f>HYPERLINK("http://www.twitter.com/NathanBLawrence/status/990280212226236417", "990280212226236417")</f>
        <v/>
      </c>
      <c r="B1023" s="2" t="n">
        <v>43218.72424768518</v>
      </c>
      <c r="C1023" t="n">
        <v>1</v>
      </c>
      <c r="D1023" t="n">
        <v>0</v>
      </c>
      <c r="E1023" t="s">
        <v>1034</v>
      </c>
      <c r="F1023" t="s"/>
      <c r="G1023" t="s"/>
      <c r="H1023" t="s"/>
      <c r="I1023" t="s"/>
      <c r="J1023" t="n">
        <v>0.5719</v>
      </c>
      <c r="K1023" t="n">
        <v>0</v>
      </c>
      <c r="L1023" t="n">
        <v>0.73</v>
      </c>
      <c r="M1023" t="n">
        <v>0.27</v>
      </c>
    </row>
    <row r="1024" spans="1:13">
      <c r="A1024" s="1">
        <f>HYPERLINK("http://www.twitter.com/NathanBLawrence/status/990280077211525121", "990280077211525121")</f>
        <v/>
      </c>
      <c r="B1024" s="2" t="n">
        <v>43218.72387731481</v>
      </c>
      <c r="C1024" t="n">
        <v>0</v>
      </c>
      <c r="D1024" t="n">
        <v>0</v>
      </c>
      <c r="E1024" t="s">
        <v>1035</v>
      </c>
      <c r="F1024" t="s"/>
      <c r="G1024" t="s"/>
      <c r="H1024" t="s"/>
      <c r="I1024" t="s"/>
      <c r="J1024" t="n">
        <v>-0.8225</v>
      </c>
      <c r="K1024" t="n">
        <v>0.632</v>
      </c>
      <c r="L1024" t="n">
        <v>0.368</v>
      </c>
      <c r="M1024" t="n">
        <v>0</v>
      </c>
    </row>
    <row r="1025" spans="1:13">
      <c r="A1025" s="1">
        <f>HYPERLINK("http://www.twitter.com/NathanBLawrence/status/990277168545587200", "990277168545587200")</f>
        <v/>
      </c>
      <c r="B1025" s="2" t="n">
        <v>43218.71585648148</v>
      </c>
      <c r="C1025" t="n">
        <v>1</v>
      </c>
      <c r="D1025" t="n">
        <v>0</v>
      </c>
      <c r="E1025" t="s">
        <v>1036</v>
      </c>
      <c r="F1025" t="s"/>
      <c r="G1025" t="s"/>
      <c r="H1025" t="s"/>
      <c r="I1025" t="s"/>
      <c r="J1025" t="n">
        <v>0.504</v>
      </c>
      <c r="K1025" t="n">
        <v>0</v>
      </c>
      <c r="L1025" t="n">
        <v>0.8110000000000001</v>
      </c>
      <c r="M1025" t="n">
        <v>0.189</v>
      </c>
    </row>
    <row r="1026" spans="1:13">
      <c r="A1026" s="1">
        <f>HYPERLINK("http://www.twitter.com/NathanBLawrence/status/990276602423578625", "990276602423578625")</f>
        <v/>
      </c>
      <c r="B1026" s="2" t="n">
        <v>43218.71429398148</v>
      </c>
      <c r="C1026" t="n">
        <v>2</v>
      </c>
      <c r="D1026" t="n">
        <v>0</v>
      </c>
      <c r="E1026" t="s">
        <v>1037</v>
      </c>
      <c r="F1026" t="s"/>
      <c r="G1026" t="s"/>
      <c r="H1026" t="s"/>
      <c r="I1026" t="s"/>
      <c r="J1026" t="n">
        <v>0</v>
      </c>
      <c r="K1026" t="n">
        <v>0</v>
      </c>
      <c r="L1026" t="n">
        <v>1</v>
      </c>
      <c r="M1026" t="n">
        <v>0</v>
      </c>
    </row>
    <row r="1027" spans="1:13">
      <c r="A1027" s="1">
        <f>HYPERLINK("http://www.twitter.com/NathanBLawrence/status/990273710543265794", "990273710543265794")</f>
        <v/>
      </c>
      <c r="B1027" s="2" t="n">
        <v>43218.70630787037</v>
      </c>
      <c r="C1027" t="n">
        <v>4</v>
      </c>
      <c r="D1027" t="n">
        <v>1</v>
      </c>
      <c r="E1027" t="s">
        <v>1038</v>
      </c>
      <c r="F1027" t="s"/>
      <c r="G1027" t="s"/>
      <c r="H1027" t="s"/>
      <c r="I1027" t="s"/>
      <c r="J1027" t="n">
        <v>0</v>
      </c>
      <c r="K1027" t="n">
        <v>0</v>
      </c>
      <c r="L1027" t="n">
        <v>1</v>
      </c>
      <c r="M1027" t="n">
        <v>0</v>
      </c>
    </row>
    <row r="1028" spans="1:13">
      <c r="A1028" s="1">
        <f>HYPERLINK("http://www.twitter.com/NathanBLawrence/status/990271330749747200", "990271330749747200")</f>
        <v/>
      </c>
      <c r="B1028" s="2" t="n">
        <v>43218.69974537037</v>
      </c>
      <c r="C1028" t="n">
        <v>2</v>
      </c>
      <c r="D1028" t="n">
        <v>2</v>
      </c>
      <c r="E1028" t="s">
        <v>1039</v>
      </c>
      <c r="F1028" t="s"/>
      <c r="G1028" t="s"/>
      <c r="H1028" t="s"/>
      <c r="I1028" t="s"/>
      <c r="J1028" t="n">
        <v>0</v>
      </c>
      <c r="K1028" t="n">
        <v>0</v>
      </c>
      <c r="L1028" t="n">
        <v>1</v>
      </c>
      <c r="M1028" t="n">
        <v>0</v>
      </c>
    </row>
    <row r="1029" spans="1:13">
      <c r="A1029" s="1">
        <f>HYPERLINK("http://www.twitter.com/NathanBLawrence/status/990270954264809472", "990270954264809472")</f>
        <v/>
      </c>
      <c r="B1029" s="2" t="n">
        <v>43218.6987037037</v>
      </c>
      <c r="C1029" t="n">
        <v>4</v>
      </c>
      <c r="D1029" t="n">
        <v>0</v>
      </c>
      <c r="E1029" t="s">
        <v>1040</v>
      </c>
      <c r="F1029" t="s"/>
      <c r="G1029" t="s"/>
      <c r="H1029" t="s"/>
      <c r="I1029" t="s"/>
      <c r="J1029" t="n">
        <v>0</v>
      </c>
      <c r="K1029" t="n">
        <v>0</v>
      </c>
      <c r="L1029" t="n">
        <v>1</v>
      </c>
      <c r="M1029" t="n">
        <v>0</v>
      </c>
    </row>
    <row r="1030" spans="1:13">
      <c r="A1030" s="1">
        <f>HYPERLINK("http://www.twitter.com/NathanBLawrence/status/990270672780890112", "990270672780890112")</f>
        <v/>
      </c>
      <c r="B1030" s="2" t="n">
        <v>43218.69792824074</v>
      </c>
      <c r="C1030" t="n">
        <v>6</v>
      </c>
      <c r="D1030" t="n">
        <v>4</v>
      </c>
      <c r="E1030" t="s">
        <v>1041</v>
      </c>
      <c r="F1030" t="s"/>
      <c r="G1030" t="s"/>
      <c r="H1030" t="s"/>
      <c r="I1030" t="s"/>
      <c r="J1030" t="n">
        <v>0</v>
      </c>
      <c r="K1030" t="n">
        <v>0</v>
      </c>
      <c r="L1030" t="n">
        <v>1</v>
      </c>
      <c r="M1030" t="n">
        <v>0</v>
      </c>
    </row>
    <row r="1031" spans="1:13">
      <c r="A1031" s="1">
        <f>HYPERLINK("http://www.twitter.com/NathanBLawrence/status/990270129215889408", "990270129215889408")</f>
        <v/>
      </c>
      <c r="B1031" s="2" t="n">
        <v>43218.69642361111</v>
      </c>
      <c r="C1031" t="n">
        <v>3</v>
      </c>
      <c r="D1031" t="n">
        <v>0</v>
      </c>
      <c r="E1031" t="s">
        <v>1042</v>
      </c>
      <c r="F1031" t="s"/>
      <c r="G1031" t="s"/>
      <c r="H1031" t="s"/>
      <c r="I1031" t="s"/>
      <c r="J1031" t="n">
        <v>0</v>
      </c>
      <c r="K1031" t="n">
        <v>0</v>
      </c>
      <c r="L1031" t="n">
        <v>1</v>
      </c>
      <c r="M1031" t="n">
        <v>0</v>
      </c>
    </row>
    <row r="1032" spans="1:13">
      <c r="A1032" s="1">
        <f>HYPERLINK("http://www.twitter.com/NathanBLawrence/status/990269388258455552", "990269388258455552")</f>
        <v/>
      </c>
      <c r="B1032" s="2" t="n">
        <v>43218.69438657408</v>
      </c>
      <c r="C1032" t="n">
        <v>10</v>
      </c>
      <c r="D1032" t="n">
        <v>2</v>
      </c>
      <c r="E1032" t="s">
        <v>1043</v>
      </c>
      <c r="F1032">
        <f>HYPERLINK("http://pbs.twimg.com/media/Db4kwkJVwAA-Ra9.jpg", "http://pbs.twimg.com/media/Db4kwkJVwAA-Ra9.jpg")</f>
        <v/>
      </c>
      <c r="G1032" t="s"/>
      <c r="H1032" t="s"/>
      <c r="I1032" t="s"/>
      <c r="J1032" t="n">
        <v>0</v>
      </c>
      <c r="K1032" t="n">
        <v>0</v>
      </c>
      <c r="L1032" t="n">
        <v>1</v>
      </c>
      <c r="M1032" t="n">
        <v>0</v>
      </c>
    </row>
    <row r="1033" spans="1:13">
      <c r="A1033" s="1">
        <f>HYPERLINK("http://www.twitter.com/NathanBLawrence/status/990141958403317760", "990141958403317760")</f>
        <v/>
      </c>
      <c r="B1033" s="2" t="n">
        <v>43218.34274305555</v>
      </c>
      <c r="C1033" t="n">
        <v>2</v>
      </c>
      <c r="D1033" t="n">
        <v>0</v>
      </c>
      <c r="E1033" t="s">
        <v>1044</v>
      </c>
      <c r="F1033" t="s"/>
      <c r="G1033" t="s"/>
      <c r="H1033" t="s"/>
      <c r="I1033" t="s"/>
      <c r="J1033" t="n">
        <v>0.3989</v>
      </c>
      <c r="K1033" t="n">
        <v>0</v>
      </c>
      <c r="L1033" t="n">
        <v>0.829</v>
      </c>
      <c r="M1033" t="n">
        <v>0.171</v>
      </c>
    </row>
    <row r="1034" spans="1:13">
      <c r="A1034" s="1">
        <f>HYPERLINK("http://www.twitter.com/NathanBLawrence/status/990136473704951808", "990136473704951808")</f>
        <v/>
      </c>
      <c r="B1034" s="2" t="n">
        <v>43218.32760416667</v>
      </c>
      <c r="C1034" t="n">
        <v>3</v>
      </c>
      <c r="D1034" t="n">
        <v>0</v>
      </c>
      <c r="E1034" t="s">
        <v>1045</v>
      </c>
      <c r="F1034" t="s"/>
      <c r="G1034" t="s"/>
      <c r="H1034" t="s"/>
      <c r="I1034" t="s"/>
      <c r="J1034" t="n">
        <v>0.6597</v>
      </c>
      <c r="K1034" t="n">
        <v>0</v>
      </c>
      <c r="L1034" t="n">
        <v>0.873</v>
      </c>
      <c r="M1034" t="n">
        <v>0.127</v>
      </c>
    </row>
    <row r="1035" spans="1:13">
      <c r="A1035" s="1">
        <f>HYPERLINK("http://www.twitter.com/NathanBLawrence/status/990119835144253441", "990119835144253441")</f>
        <v/>
      </c>
      <c r="B1035" s="2" t="n">
        <v>43218.28168981482</v>
      </c>
      <c r="C1035" t="n">
        <v>1</v>
      </c>
      <c r="D1035" t="n">
        <v>1</v>
      </c>
      <c r="E1035" t="s">
        <v>1046</v>
      </c>
      <c r="F1035" t="s"/>
      <c r="G1035" t="s"/>
      <c r="H1035" t="s"/>
      <c r="I1035" t="s"/>
      <c r="J1035" t="n">
        <v>-0.4939</v>
      </c>
      <c r="K1035" t="n">
        <v>0.151</v>
      </c>
      <c r="L1035" t="n">
        <v>0.849</v>
      </c>
      <c r="M1035" t="n">
        <v>0</v>
      </c>
    </row>
    <row r="1036" spans="1:13">
      <c r="A1036" s="1">
        <f>HYPERLINK("http://www.twitter.com/NathanBLawrence/status/990118929921183744", "990118929921183744")</f>
        <v/>
      </c>
      <c r="B1036" s="2" t="n">
        <v>43218.27920138889</v>
      </c>
      <c r="C1036" t="n">
        <v>3</v>
      </c>
      <c r="D1036" t="n">
        <v>0</v>
      </c>
      <c r="E1036" t="s">
        <v>1047</v>
      </c>
      <c r="F1036" t="s"/>
      <c r="G1036" t="s"/>
      <c r="H1036" t="s"/>
      <c r="I1036" t="s"/>
      <c r="J1036" t="n">
        <v>0</v>
      </c>
      <c r="K1036" t="n">
        <v>0</v>
      </c>
      <c r="L1036" t="n">
        <v>1</v>
      </c>
      <c r="M1036" t="n">
        <v>0</v>
      </c>
    </row>
    <row r="1037" spans="1:13">
      <c r="A1037" s="1">
        <f>HYPERLINK("http://www.twitter.com/NathanBLawrence/status/990082630950547457", "990082630950547457")</f>
        <v/>
      </c>
      <c r="B1037" s="2" t="n">
        <v>43218.17902777778</v>
      </c>
      <c r="C1037" t="n">
        <v>11</v>
      </c>
      <c r="D1037" t="n">
        <v>6</v>
      </c>
      <c r="E1037" t="s">
        <v>1048</v>
      </c>
      <c r="F1037" t="s"/>
      <c r="G1037" t="s"/>
      <c r="H1037" t="s"/>
      <c r="I1037" t="s"/>
      <c r="J1037" t="n">
        <v>0</v>
      </c>
      <c r="K1037" t="n">
        <v>0</v>
      </c>
      <c r="L1037" t="n">
        <v>1</v>
      </c>
      <c r="M1037" t="n">
        <v>0</v>
      </c>
    </row>
    <row r="1038" spans="1:13">
      <c r="A1038" s="1">
        <f>HYPERLINK("http://www.twitter.com/NathanBLawrence/status/990078787906887680", "990078787906887680")</f>
        <v/>
      </c>
      <c r="B1038" s="2" t="n">
        <v>43218.16842592593</v>
      </c>
      <c r="C1038" t="n">
        <v>2</v>
      </c>
      <c r="D1038" t="n">
        <v>1</v>
      </c>
      <c r="E1038" t="s">
        <v>1049</v>
      </c>
      <c r="F1038" t="s"/>
      <c r="G1038" t="s"/>
      <c r="H1038" t="s"/>
      <c r="I1038" t="s"/>
      <c r="J1038" t="n">
        <v>0.6292</v>
      </c>
      <c r="K1038" t="n">
        <v>0.15</v>
      </c>
      <c r="L1038" t="n">
        <v>0.618</v>
      </c>
      <c r="M1038" t="n">
        <v>0.232</v>
      </c>
    </row>
    <row r="1039" spans="1:13">
      <c r="A1039" s="1">
        <f>HYPERLINK("http://www.twitter.com/NathanBLawrence/status/989972571507642369", "989972571507642369")</f>
        <v/>
      </c>
      <c r="B1039" s="2" t="n">
        <v>43217.87532407408</v>
      </c>
      <c r="C1039" t="n">
        <v>1</v>
      </c>
      <c r="D1039" t="n">
        <v>1</v>
      </c>
      <c r="E1039" t="s">
        <v>1050</v>
      </c>
      <c r="F1039" t="s"/>
      <c r="G1039" t="s"/>
      <c r="H1039" t="s"/>
      <c r="I1039" t="s"/>
      <c r="J1039" t="n">
        <v>0.3802</v>
      </c>
      <c r="K1039" t="n">
        <v>0</v>
      </c>
      <c r="L1039" t="n">
        <v>0.861</v>
      </c>
      <c r="M1039" t="n">
        <v>0.139</v>
      </c>
    </row>
    <row r="1040" spans="1:13">
      <c r="A1040" s="1">
        <f>HYPERLINK("http://www.twitter.com/NathanBLawrence/status/989971448348504065", "989971448348504065")</f>
        <v/>
      </c>
      <c r="B1040" s="2" t="n">
        <v>43217.87222222222</v>
      </c>
      <c r="C1040" t="n">
        <v>1</v>
      </c>
      <c r="D1040" t="n">
        <v>0</v>
      </c>
      <c r="E1040" t="s">
        <v>1051</v>
      </c>
      <c r="F1040" t="s"/>
      <c r="G1040" t="s"/>
      <c r="H1040" t="s"/>
      <c r="I1040" t="s"/>
      <c r="J1040" t="n">
        <v>0</v>
      </c>
      <c r="K1040" t="n">
        <v>0</v>
      </c>
      <c r="L1040" t="n">
        <v>1</v>
      </c>
      <c r="M1040" t="n">
        <v>0</v>
      </c>
    </row>
    <row r="1041" spans="1:13">
      <c r="A1041" s="1">
        <f>HYPERLINK("http://www.twitter.com/NathanBLawrence/status/989970451223990281", "989970451223990281")</f>
        <v/>
      </c>
      <c r="B1041" s="2" t="n">
        <v>43217.86946759259</v>
      </c>
      <c r="C1041" t="n">
        <v>0</v>
      </c>
      <c r="D1041" t="n">
        <v>4423</v>
      </c>
      <c r="E1041" t="s">
        <v>1052</v>
      </c>
      <c r="F1041">
        <f>HYPERLINK("https://video.twimg.com/ext_tw_video/989423219433267200/pu/vid/640x360/4GQigED4ZrY2GEiF.mp4?tag=3", "https://video.twimg.com/ext_tw_video/989423219433267200/pu/vid/640x360/4GQigED4ZrY2GEiF.mp4?tag=3")</f>
        <v/>
      </c>
      <c r="G1041" t="s"/>
      <c r="H1041" t="s"/>
      <c r="I1041" t="s"/>
      <c r="J1041" t="n">
        <v>0.3818</v>
      </c>
      <c r="K1041" t="n">
        <v>0</v>
      </c>
      <c r="L1041" t="n">
        <v>0.894</v>
      </c>
      <c r="M1041" t="n">
        <v>0.106</v>
      </c>
    </row>
    <row r="1042" spans="1:13">
      <c r="A1042" s="1">
        <f>HYPERLINK("http://www.twitter.com/NathanBLawrence/status/989962012087275520", "989962012087275520")</f>
        <v/>
      </c>
      <c r="B1042" s="2" t="n">
        <v>43217.84618055556</v>
      </c>
      <c r="C1042" t="n">
        <v>2</v>
      </c>
      <c r="D1042" t="n">
        <v>0</v>
      </c>
      <c r="E1042" t="s">
        <v>1053</v>
      </c>
      <c r="F1042" t="s"/>
      <c r="G1042" t="s"/>
      <c r="H1042" t="s"/>
      <c r="I1042" t="s"/>
      <c r="J1042" t="n">
        <v>0.6966</v>
      </c>
      <c r="K1042" t="n">
        <v>0</v>
      </c>
      <c r="L1042" t="n">
        <v>0.8110000000000001</v>
      </c>
      <c r="M1042" t="n">
        <v>0.189</v>
      </c>
    </row>
    <row r="1043" spans="1:13">
      <c r="A1043" s="1">
        <f>HYPERLINK("http://www.twitter.com/NathanBLawrence/status/989961090242109440", "989961090242109440")</f>
        <v/>
      </c>
      <c r="B1043" s="2" t="n">
        <v>43217.84364583333</v>
      </c>
      <c r="C1043" t="n">
        <v>1</v>
      </c>
      <c r="D1043" t="n">
        <v>0</v>
      </c>
      <c r="E1043" t="s">
        <v>1054</v>
      </c>
      <c r="F1043" t="s"/>
      <c r="G1043" t="s"/>
      <c r="H1043" t="s"/>
      <c r="I1043" t="s"/>
      <c r="J1043" t="n">
        <v>-0.7003</v>
      </c>
      <c r="K1043" t="n">
        <v>0.853</v>
      </c>
      <c r="L1043" t="n">
        <v>0.147</v>
      </c>
      <c r="M1043" t="n">
        <v>0</v>
      </c>
    </row>
    <row r="1044" spans="1:13">
      <c r="A1044" s="1">
        <f>HYPERLINK("http://www.twitter.com/NathanBLawrence/status/989904451933794305", "989904451933794305")</f>
        <v/>
      </c>
      <c r="B1044" s="2" t="n">
        <v>43217.68734953704</v>
      </c>
      <c r="C1044" t="n">
        <v>1</v>
      </c>
      <c r="D1044" t="n">
        <v>1</v>
      </c>
      <c r="E1044" t="s">
        <v>1055</v>
      </c>
      <c r="F1044" t="s"/>
      <c r="G1044" t="s"/>
      <c r="H1044" t="s"/>
      <c r="I1044" t="s"/>
      <c r="J1044" t="n">
        <v>0.4019</v>
      </c>
      <c r="K1044" t="n">
        <v>0</v>
      </c>
      <c r="L1044" t="n">
        <v>0.881</v>
      </c>
      <c r="M1044" t="n">
        <v>0.119</v>
      </c>
    </row>
    <row r="1045" spans="1:13">
      <c r="A1045" s="1">
        <f>HYPERLINK("http://www.twitter.com/NathanBLawrence/status/989904022600667137", "989904022600667137")</f>
        <v/>
      </c>
      <c r="B1045" s="2" t="n">
        <v>43217.68616898148</v>
      </c>
      <c r="C1045" t="n">
        <v>0</v>
      </c>
      <c r="D1045" t="n">
        <v>2</v>
      </c>
      <c r="E1045" t="s">
        <v>1056</v>
      </c>
      <c r="F1045" t="s"/>
      <c r="G1045" t="s"/>
      <c r="H1045" t="s"/>
      <c r="I1045" t="s"/>
      <c r="J1045" t="n">
        <v>0.6369</v>
      </c>
      <c r="K1045" t="n">
        <v>0</v>
      </c>
      <c r="L1045" t="n">
        <v>0.417</v>
      </c>
      <c r="M1045" t="n">
        <v>0.583</v>
      </c>
    </row>
    <row r="1046" spans="1:13">
      <c r="A1046" s="1">
        <f>HYPERLINK("http://www.twitter.com/NathanBLawrence/status/989903825631895552", "989903825631895552")</f>
        <v/>
      </c>
      <c r="B1046" s="2" t="n">
        <v>43217.685625</v>
      </c>
      <c r="C1046" t="n">
        <v>0</v>
      </c>
      <c r="D1046" t="n">
        <v>0</v>
      </c>
      <c r="E1046" t="s">
        <v>1057</v>
      </c>
      <c r="F1046" t="s"/>
      <c r="G1046" t="s"/>
      <c r="H1046" t="s"/>
      <c r="I1046" t="s"/>
      <c r="J1046" t="n">
        <v>-0.128</v>
      </c>
      <c r="K1046" t="n">
        <v>0.093</v>
      </c>
      <c r="L1046" t="n">
        <v>0.843</v>
      </c>
      <c r="M1046" t="n">
        <v>0.065</v>
      </c>
    </row>
    <row r="1047" spans="1:13">
      <c r="A1047" s="1">
        <f>HYPERLINK("http://www.twitter.com/NathanBLawrence/status/989896479996370944", "989896479996370944")</f>
        <v/>
      </c>
      <c r="B1047" s="2" t="n">
        <v>43217.66534722222</v>
      </c>
      <c r="C1047" t="n">
        <v>0</v>
      </c>
      <c r="D1047" t="n">
        <v>0</v>
      </c>
      <c r="E1047" t="s">
        <v>1058</v>
      </c>
      <c r="F1047" t="s"/>
      <c r="G1047" t="s"/>
      <c r="H1047" t="s"/>
      <c r="I1047" t="s"/>
      <c r="J1047" t="n">
        <v>0</v>
      </c>
      <c r="K1047" t="n">
        <v>0</v>
      </c>
      <c r="L1047" t="n">
        <v>1</v>
      </c>
      <c r="M1047" t="n">
        <v>0</v>
      </c>
    </row>
    <row r="1048" spans="1:13">
      <c r="A1048" s="1">
        <f>HYPERLINK("http://www.twitter.com/NathanBLawrence/status/989896258176331776", "989896258176331776")</f>
        <v/>
      </c>
      <c r="B1048" s="2" t="n">
        <v>43217.66473379629</v>
      </c>
      <c r="C1048" t="n">
        <v>2</v>
      </c>
      <c r="D1048" t="n">
        <v>1</v>
      </c>
      <c r="E1048" t="s">
        <v>1059</v>
      </c>
      <c r="F1048" t="s"/>
      <c r="G1048" t="s"/>
      <c r="H1048" t="s"/>
      <c r="I1048" t="s"/>
      <c r="J1048" t="n">
        <v>-0.802</v>
      </c>
      <c r="K1048" t="n">
        <v>0.201</v>
      </c>
      <c r="L1048" t="n">
        <v>0.759</v>
      </c>
      <c r="M1048" t="n">
        <v>0.04</v>
      </c>
    </row>
    <row r="1049" spans="1:13">
      <c r="A1049" s="1">
        <f>HYPERLINK("http://www.twitter.com/NathanBLawrence/status/989888480506535937", "989888480506535937")</f>
        <v/>
      </c>
      <c r="B1049" s="2" t="n">
        <v>43217.64327546296</v>
      </c>
      <c r="C1049" t="n">
        <v>0</v>
      </c>
      <c r="D1049" t="n">
        <v>0</v>
      </c>
      <c r="E1049" t="s">
        <v>1060</v>
      </c>
      <c r="F1049" t="s"/>
      <c r="G1049" t="s"/>
      <c r="H1049" t="s"/>
      <c r="I1049" t="s"/>
      <c r="J1049" t="n">
        <v>0.3527</v>
      </c>
      <c r="K1049" t="n">
        <v>0</v>
      </c>
      <c r="L1049" t="n">
        <v>0.765</v>
      </c>
      <c r="M1049" t="n">
        <v>0.235</v>
      </c>
    </row>
    <row r="1050" spans="1:13">
      <c r="A1050" s="1">
        <f>HYPERLINK("http://www.twitter.com/NathanBLawrence/status/989887796210028544", "989887796210028544")</f>
        <v/>
      </c>
      <c r="B1050" s="2" t="n">
        <v>43217.64138888889</v>
      </c>
      <c r="C1050" t="n">
        <v>6</v>
      </c>
      <c r="D1050" t="n">
        <v>2</v>
      </c>
      <c r="E1050" t="s">
        <v>1061</v>
      </c>
      <c r="F1050" t="s"/>
      <c r="G1050" t="s"/>
      <c r="H1050" t="s"/>
      <c r="I1050" t="s"/>
      <c r="J1050" t="n">
        <v>0</v>
      </c>
      <c r="K1050" t="n">
        <v>0</v>
      </c>
      <c r="L1050" t="n">
        <v>1</v>
      </c>
      <c r="M1050" t="n">
        <v>0</v>
      </c>
    </row>
    <row r="1051" spans="1:13">
      <c r="A1051" s="1">
        <f>HYPERLINK("http://www.twitter.com/NathanBLawrence/status/989887186026881025", "989887186026881025")</f>
        <v/>
      </c>
      <c r="B1051" s="2" t="n">
        <v>43217.63971064815</v>
      </c>
      <c r="C1051" t="n">
        <v>1</v>
      </c>
      <c r="D1051" t="n">
        <v>0</v>
      </c>
      <c r="E1051" t="s">
        <v>1062</v>
      </c>
      <c r="F1051" t="s"/>
      <c r="G1051" t="s"/>
      <c r="H1051" t="s"/>
      <c r="I1051" t="s"/>
      <c r="J1051" t="n">
        <v>0</v>
      </c>
      <c r="K1051" t="n">
        <v>0</v>
      </c>
      <c r="L1051" t="n">
        <v>1</v>
      </c>
      <c r="M1051" t="n">
        <v>0</v>
      </c>
    </row>
    <row r="1052" spans="1:13">
      <c r="A1052" s="1">
        <f>HYPERLINK("http://www.twitter.com/NathanBLawrence/status/989886950357307392", "989886950357307392")</f>
        <v/>
      </c>
      <c r="B1052" s="2" t="n">
        <v>43217.63905092593</v>
      </c>
      <c r="C1052" t="n">
        <v>0</v>
      </c>
      <c r="D1052" t="n">
        <v>11202</v>
      </c>
      <c r="E1052" t="s">
        <v>1063</v>
      </c>
      <c r="F1052" t="s"/>
      <c r="G1052" t="s"/>
      <c r="H1052" t="s"/>
      <c r="I1052" t="s"/>
      <c r="J1052" t="n">
        <v>0.128</v>
      </c>
      <c r="K1052" t="n">
        <v>0.08799999999999999</v>
      </c>
      <c r="L1052" t="n">
        <v>0.766</v>
      </c>
      <c r="M1052" t="n">
        <v>0.146</v>
      </c>
    </row>
    <row r="1053" spans="1:13">
      <c r="A1053" s="1">
        <f>HYPERLINK("http://www.twitter.com/NathanBLawrence/status/989886743385165824", "989886743385165824")</f>
        <v/>
      </c>
      <c r="B1053" s="2" t="n">
        <v>43217.6384837963</v>
      </c>
      <c r="C1053" t="n">
        <v>1</v>
      </c>
      <c r="D1053" t="n">
        <v>1</v>
      </c>
      <c r="E1053" t="s">
        <v>1064</v>
      </c>
      <c r="F1053" t="s"/>
      <c r="G1053" t="s"/>
      <c r="H1053" t="s"/>
      <c r="I1053" t="s"/>
      <c r="J1053" t="n">
        <v>0</v>
      </c>
      <c r="K1053" t="n">
        <v>0</v>
      </c>
      <c r="L1053" t="n">
        <v>1</v>
      </c>
      <c r="M1053" t="n">
        <v>0</v>
      </c>
    </row>
    <row r="1054" spans="1:13">
      <c r="A1054" s="1">
        <f>HYPERLINK("http://www.twitter.com/NathanBLawrence/status/989886015979642880", "989886015979642880")</f>
        <v/>
      </c>
      <c r="B1054" s="2" t="n">
        <v>43217.63648148148</v>
      </c>
      <c r="C1054" t="n">
        <v>0</v>
      </c>
      <c r="D1054" t="n">
        <v>116</v>
      </c>
      <c r="E1054" t="s">
        <v>1065</v>
      </c>
      <c r="F1054" t="s"/>
      <c r="G1054" t="s"/>
      <c r="H1054" t="s"/>
      <c r="I1054" t="s"/>
      <c r="J1054" t="n">
        <v>0</v>
      </c>
      <c r="K1054" t="n">
        <v>0</v>
      </c>
      <c r="L1054" t="n">
        <v>1</v>
      </c>
      <c r="M1054" t="n">
        <v>0</v>
      </c>
    </row>
    <row r="1055" spans="1:13">
      <c r="A1055" s="1">
        <f>HYPERLINK("http://www.twitter.com/NathanBLawrence/status/989875810797608961", "989875810797608961")</f>
        <v/>
      </c>
      <c r="B1055" s="2" t="n">
        <v>43217.60831018518</v>
      </c>
      <c r="C1055" t="n">
        <v>3</v>
      </c>
      <c r="D1055" t="n">
        <v>1</v>
      </c>
      <c r="E1055" t="s">
        <v>1066</v>
      </c>
      <c r="F1055" t="s"/>
      <c r="G1055" t="s"/>
      <c r="H1055" t="s"/>
      <c r="I1055" t="s"/>
      <c r="J1055" t="n">
        <v>0.6486</v>
      </c>
      <c r="K1055" t="n">
        <v>0.043</v>
      </c>
      <c r="L1055" t="n">
        <v>0.758</v>
      </c>
      <c r="M1055" t="n">
        <v>0.199</v>
      </c>
    </row>
    <row r="1056" spans="1:13">
      <c r="A1056" s="1">
        <f>HYPERLINK("http://www.twitter.com/NathanBLawrence/status/989875345838018560", "989875345838018560")</f>
        <v/>
      </c>
      <c r="B1056" s="2" t="n">
        <v>43217.60703703704</v>
      </c>
      <c r="C1056" t="n">
        <v>4</v>
      </c>
      <c r="D1056" t="n">
        <v>0</v>
      </c>
      <c r="E1056" t="s">
        <v>1067</v>
      </c>
      <c r="F1056" t="s"/>
      <c r="G1056" t="s"/>
      <c r="H1056" t="s"/>
      <c r="I1056" t="s"/>
      <c r="J1056" t="n">
        <v>0</v>
      </c>
      <c r="K1056" t="n">
        <v>0</v>
      </c>
      <c r="L1056" t="n">
        <v>1</v>
      </c>
      <c r="M1056" t="n">
        <v>0</v>
      </c>
    </row>
    <row r="1057" spans="1:13">
      <c r="A1057" s="1">
        <f>HYPERLINK("http://www.twitter.com/NathanBLawrence/status/989875126241058817", "989875126241058817")</f>
        <v/>
      </c>
      <c r="B1057" s="2" t="n">
        <v>43217.60642361111</v>
      </c>
      <c r="C1057" t="n">
        <v>2</v>
      </c>
      <c r="D1057" t="n">
        <v>0</v>
      </c>
      <c r="E1057" t="s">
        <v>1068</v>
      </c>
      <c r="F1057" t="s"/>
      <c r="G1057" t="s"/>
      <c r="H1057" t="s"/>
      <c r="I1057" t="s"/>
      <c r="J1057" t="n">
        <v>0</v>
      </c>
      <c r="K1057" t="n">
        <v>0</v>
      </c>
      <c r="L1057" t="n">
        <v>1</v>
      </c>
      <c r="M1057" t="n">
        <v>0</v>
      </c>
    </row>
    <row r="1058" spans="1:13">
      <c r="A1058" s="1">
        <f>HYPERLINK("http://www.twitter.com/NathanBLawrence/status/989874624501633025", "989874624501633025")</f>
        <v/>
      </c>
      <c r="B1058" s="2" t="n">
        <v>43217.6050462963</v>
      </c>
      <c r="C1058" t="n">
        <v>2</v>
      </c>
      <c r="D1058" t="n">
        <v>0</v>
      </c>
      <c r="E1058" t="s">
        <v>1069</v>
      </c>
      <c r="F1058" t="s"/>
      <c r="G1058" t="s"/>
      <c r="H1058" t="s"/>
      <c r="I1058" t="s"/>
      <c r="J1058" t="n">
        <v>-0.5574</v>
      </c>
      <c r="K1058" t="n">
        <v>0.231</v>
      </c>
      <c r="L1058" t="n">
        <v>0.769</v>
      </c>
      <c r="M1058" t="n">
        <v>0</v>
      </c>
    </row>
    <row r="1059" spans="1:13">
      <c r="A1059" s="1">
        <f>HYPERLINK("http://www.twitter.com/NathanBLawrence/status/989874269189558277", "989874269189558277")</f>
        <v/>
      </c>
      <c r="B1059" s="2" t="n">
        <v>43217.6040625</v>
      </c>
      <c r="C1059" t="n">
        <v>1</v>
      </c>
      <c r="D1059" t="n">
        <v>0</v>
      </c>
      <c r="E1059" t="s">
        <v>1070</v>
      </c>
      <c r="F1059" t="s"/>
      <c r="G1059" t="s"/>
      <c r="H1059" t="s"/>
      <c r="I1059" t="s"/>
      <c r="J1059" t="n">
        <v>0.4404</v>
      </c>
      <c r="K1059" t="n">
        <v>0</v>
      </c>
      <c r="L1059" t="n">
        <v>0.919</v>
      </c>
      <c r="M1059" t="n">
        <v>0.081</v>
      </c>
    </row>
    <row r="1060" spans="1:13">
      <c r="A1060" s="1">
        <f>HYPERLINK("http://www.twitter.com/NathanBLawrence/status/989872371468308480", "989872371468308480")</f>
        <v/>
      </c>
      <c r="B1060" s="2" t="n">
        <v>43217.59881944444</v>
      </c>
      <c r="C1060" t="n">
        <v>3</v>
      </c>
      <c r="D1060" t="n">
        <v>1</v>
      </c>
      <c r="E1060" t="s">
        <v>1071</v>
      </c>
      <c r="F1060" t="s"/>
      <c r="G1060" t="s"/>
      <c r="H1060" t="s"/>
      <c r="I1060" t="s"/>
      <c r="J1060" t="n">
        <v>-0.3612</v>
      </c>
      <c r="K1060" t="n">
        <v>0.15</v>
      </c>
      <c r="L1060" t="n">
        <v>0.765</v>
      </c>
      <c r="M1060" t="n">
        <v>0.08400000000000001</v>
      </c>
    </row>
    <row r="1061" spans="1:13">
      <c r="A1061" s="1">
        <f>HYPERLINK("http://www.twitter.com/NathanBLawrence/status/989869436441161728", "989869436441161728")</f>
        <v/>
      </c>
      <c r="B1061" s="2" t="n">
        <v>43217.59072916667</v>
      </c>
      <c r="C1061" t="n">
        <v>3</v>
      </c>
      <c r="D1061" t="n">
        <v>0</v>
      </c>
      <c r="E1061" t="s">
        <v>1072</v>
      </c>
      <c r="F1061" t="s"/>
      <c r="G1061" t="s"/>
      <c r="H1061" t="s"/>
      <c r="I1061" t="s"/>
      <c r="J1061" t="n">
        <v>-0.2732</v>
      </c>
      <c r="K1061" t="n">
        <v>0.077</v>
      </c>
      <c r="L1061" t="n">
        <v>0.923</v>
      </c>
      <c r="M1061" t="n">
        <v>0</v>
      </c>
    </row>
    <row r="1062" spans="1:13">
      <c r="A1062" s="1">
        <f>HYPERLINK("http://www.twitter.com/NathanBLawrence/status/989869006915096581", "989869006915096581")</f>
        <v/>
      </c>
      <c r="B1062" s="2" t="n">
        <v>43217.58953703703</v>
      </c>
      <c r="C1062" t="n">
        <v>3</v>
      </c>
      <c r="D1062" t="n">
        <v>1</v>
      </c>
      <c r="E1062" t="s">
        <v>1073</v>
      </c>
      <c r="F1062">
        <f>HYPERLINK("http://pbs.twimg.com/media/Dby4m-aUQAAvv15.jpg", "http://pbs.twimg.com/media/Dby4m-aUQAAvv15.jpg")</f>
        <v/>
      </c>
      <c r="G1062" t="s"/>
      <c r="H1062" t="s"/>
      <c r="I1062" t="s"/>
      <c r="J1062" t="n">
        <v>0</v>
      </c>
      <c r="K1062" t="n">
        <v>0</v>
      </c>
      <c r="L1062" t="n">
        <v>1</v>
      </c>
      <c r="M1062" t="n">
        <v>0</v>
      </c>
    </row>
    <row r="1063" spans="1:13">
      <c r="A1063" s="1">
        <f>HYPERLINK("http://www.twitter.com/NathanBLawrence/status/989868685358714880", "989868685358714880")</f>
        <v/>
      </c>
      <c r="B1063" s="2" t="n">
        <v>43217.58865740741</v>
      </c>
      <c r="C1063" t="n">
        <v>1</v>
      </c>
      <c r="D1063" t="n">
        <v>0</v>
      </c>
      <c r="E1063" t="s">
        <v>1074</v>
      </c>
      <c r="F1063" t="s"/>
      <c r="G1063" t="s"/>
      <c r="H1063" t="s"/>
      <c r="I1063" t="s"/>
      <c r="J1063" t="n">
        <v>-0.0343</v>
      </c>
      <c r="K1063" t="n">
        <v>0.104</v>
      </c>
      <c r="L1063" t="n">
        <v>0.795</v>
      </c>
      <c r="M1063" t="n">
        <v>0.101</v>
      </c>
    </row>
    <row r="1064" spans="1:13">
      <c r="A1064" s="1">
        <f>HYPERLINK("http://www.twitter.com/NathanBLawrence/status/989867471124516870", "989867471124516870")</f>
        <v/>
      </c>
      <c r="B1064" s="2" t="n">
        <v>43217.58530092592</v>
      </c>
      <c r="C1064" t="n">
        <v>4</v>
      </c>
      <c r="D1064" t="n">
        <v>0</v>
      </c>
      <c r="E1064" t="s">
        <v>1075</v>
      </c>
      <c r="F1064" t="s"/>
      <c r="G1064" t="s"/>
      <c r="H1064" t="s"/>
      <c r="I1064" t="s"/>
      <c r="J1064" t="n">
        <v>-0.481</v>
      </c>
      <c r="K1064" t="n">
        <v>0.08</v>
      </c>
      <c r="L1064" t="n">
        <v>0.92</v>
      </c>
      <c r="M1064" t="n">
        <v>0</v>
      </c>
    </row>
    <row r="1065" spans="1:13">
      <c r="A1065" s="1">
        <f>HYPERLINK("http://www.twitter.com/NathanBLawrence/status/989866246551334913", "989866246551334913")</f>
        <v/>
      </c>
      <c r="B1065" s="2" t="n">
        <v>43217.5819212963</v>
      </c>
      <c r="C1065" t="n">
        <v>2</v>
      </c>
      <c r="D1065" t="n">
        <v>0</v>
      </c>
      <c r="E1065" t="s">
        <v>1076</v>
      </c>
      <c r="F1065" t="s"/>
      <c r="G1065" t="s"/>
      <c r="H1065" t="s"/>
      <c r="I1065" t="s"/>
      <c r="J1065" t="n">
        <v>0</v>
      </c>
      <c r="K1065" t="n">
        <v>0</v>
      </c>
      <c r="L1065" t="n">
        <v>1</v>
      </c>
      <c r="M1065" t="n">
        <v>0</v>
      </c>
    </row>
    <row r="1066" spans="1:13">
      <c r="A1066" s="1">
        <f>HYPERLINK("http://www.twitter.com/NathanBLawrence/status/989864748891230208", "989864748891230208")</f>
        <v/>
      </c>
      <c r="B1066" s="2" t="n">
        <v>43217.57778935185</v>
      </c>
      <c r="C1066" t="n">
        <v>1</v>
      </c>
      <c r="D1066" t="n">
        <v>2</v>
      </c>
      <c r="E1066" t="s">
        <v>1077</v>
      </c>
      <c r="F1066" t="s"/>
      <c r="G1066" t="s"/>
      <c r="H1066" t="s"/>
      <c r="I1066" t="s"/>
      <c r="J1066" t="n">
        <v>-0.2969</v>
      </c>
      <c r="K1066" t="n">
        <v>0.191</v>
      </c>
      <c r="L1066" t="n">
        <v>0.695</v>
      </c>
      <c r="M1066" t="n">
        <v>0.114</v>
      </c>
    </row>
    <row r="1067" spans="1:13">
      <c r="A1067" s="1">
        <f>HYPERLINK("http://www.twitter.com/NathanBLawrence/status/989863030027677696", "989863030027677696")</f>
        <v/>
      </c>
      <c r="B1067" s="2" t="n">
        <v>43217.57304398148</v>
      </c>
      <c r="C1067" t="n">
        <v>1</v>
      </c>
      <c r="D1067" t="n">
        <v>0</v>
      </c>
      <c r="E1067" t="s">
        <v>1078</v>
      </c>
      <c r="F1067" t="s"/>
      <c r="G1067" t="s"/>
      <c r="H1067" t="s"/>
      <c r="I1067" t="s"/>
      <c r="J1067" t="n">
        <v>0</v>
      </c>
      <c r="K1067" t="n">
        <v>0</v>
      </c>
      <c r="L1067" t="n">
        <v>1</v>
      </c>
      <c r="M1067" t="n">
        <v>0</v>
      </c>
    </row>
    <row r="1068" spans="1:13">
      <c r="A1068" s="1">
        <f>HYPERLINK("http://www.twitter.com/NathanBLawrence/status/989862462999670785", "989862462999670785")</f>
        <v/>
      </c>
      <c r="B1068" s="2" t="n">
        <v>43217.57148148148</v>
      </c>
      <c r="C1068" t="n">
        <v>2</v>
      </c>
      <c r="D1068" t="n">
        <v>0</v>
      </c>
      <c r="E1068" t="s">
        <v>1079</v>
      </c>
      <c r="F1068" t="s"/>
      <c r="G1068" t="s"/>
      <c r="H1068" t="s"/>
      <c r="I1068" t="s"/>
      <c r="J1068" t="n">
        <v>-0.0935</v>
      </c>
      <c r="K1068" t="n">
        <v>0.108</v>
      </c>
      <c r="L1068" t="n">
        <v>0.795</v>
      </c>
      <c r="M1068" t="n">
        <v>0.097</v>
      </c>
    </row>
    <row r="1069" spans="1:13">
      <c r="A1069" s="1">
        <f>HYPERLINK("http://www.twitter.com/NathanBLawrence/status/989858900680871938", "989858900680871938")</f>
        <v/>
      </c>
      <c r="B1069" s="2" t="n">
        <v>43217.56165509259</v>
      </c>
      <c r="C1069" t="n">
        <v>1</v>
      </c>
      <c r="D1069" t="n">
        <v>1</v>
      </c>
      <c r="E1069" t="s">
        <v>1080</v>
      </c>
      <c r="F1069" t="s"/>
      <c r="G1069" t="s"/>
      <c r="H1069" t="s"/>
      <c r="I1069" t="s"/>
      <c r="J1069" t="n">
        <v>0</v>
      </c>
      <c r="K1069" t="n">
        <v>0</v>
      </c>
      <c r="L1069" t="n">
        <v>1</v>
      </c>
      <c r="M1069" t="n">
        <v>0</v>
      </c>
    </row>
    <row r="1070" spans="1:13">
      <c r="A1070" s="1">
        <f>HYPERLINK("http://www.twitter.com/NathanBLawrence/status/989857201547304961", "989857201547304961")</f>
        <v/>
      </c>
      <c r="B1070" s="2" t="n">
        <v>43217.55696759259</v>
      </c>
      <c r="C1070" t="n">
        <v>2</v>
      </c>
      <c r="D1070" t="n">
        <v>1</v>
      </c>
      <c r="E1070" t="s">
        <v>1081</v>
      </c>
      <c r="F1070" t="s"/>
      <c r="G1070" t="s"/>
      <c r="H1070" t="s"/>
      <c r="I1070" t="s"/>
      <c r="J1070" t="n">
        <v>0.0772</v>
      </c>
      <c r="K1070" t="n">
        <v>0.1</v>
      </c>
      <c r="L1070" t="n">
        <v>0.79</v>
      </c>
      <c r="M1070" t="n">
        <v>0.11</v>
      </c>
    </row>
    <row r="1071" spans="1:13">
      <c r="A1071" s="1">
        <f>HYPERLINK("http://www.twitter.com/NathanBLawrence/status/989856400422686720", "989856400422686720")</f>
        <v/>
      </c>
      <c r="B1071" s="2" t="n">
        <v>43217.55475694445</v>
      </c>
      <c r="C1071" t="n">
        <v>0</v>
      </c>
      <c r="D1071" t="n">
        <v>0</v>
      </c>
      <c r="E1071" t="s">
        <v>1082</v>
      </c>
      <c r="F1071" t="s"/>
      <c r="G1071" t="s"/>
      <c r="H1071" t="s"/>
      <c r="I1071" t="s"/>
      <c r="J1071" t="n">
        <v>0</v>
      </c>
      <c r="K1071" t="n">
        <v>0</v>
      </c>
      <c r="L1071" t="n">
        <v>1</v>
      </c>
      <c r="M1071" t="n">
        <v>0</v>
      </c>
    </row>
    <row r="1072" spans="1:13">
      <c r="A1072" s="1">
        <f>HYPERLINK("http://www.twitter.com/NathanBLawrence/status/989855830056099840", "989855830056099840")</f>
        <v/>
      </c>
      <c r="B1072" s="2" t="n">
        <v>43217.55318287037</v>
      </c>
      <c r="C1072" t="n">
        <v>0</v>
      </c>
      <c r="D1072" t="n">
        <v>0</v>
      </c>
      <c r="E1072" t="s">
        <v>1083</v>
      </c>
      <c r="F1072" t="s"/>
      <c r="G1072" t="s"/>
      <c r="H1072" t="s"/>
      <c r="I1072" t="s"/>
      <c r="J1072" t="n">
        <v>0.3182</v>
      </c>
      <c r="K1072" t="n">
        <v>0</v>
      </c>
      <c r="L1072" t="n">
        <v>0.777</v>
      </c>
      <c r="M1072" t="n">
        <v>0.223</v>
      </c>
    </row>
    <row r="1073" spans="1:13">
      <c r="A1073" s="1">
        <f>HYPERLINK("http://www.twitter.com/NathanBLawrence/status/989835022193577984", "989835022193577984")</f>
        <v/>
      </c>
      <c r="B1073" s="2" t="n">
        <v>43217.49576388889</v>
      </c>
      <c r="C1073" t="n">
        <v>1</v>
      </c>
      <c r="D1073" t="n">
        <v>0</v>
      </c>
      <c r="E1073" t="s">
        <v>1084</v>
      </c>
      <c r="F1073" t="s"/>
      <c r="G1073" t="s"/>
      <c r="H1073" t="s"/>
      <c r="I1073" t="s"/>
      <c r="J1073" t="n">
        <v>0</v>
      </c>
      <c r="K1073" t="n">
        <v>0</v>
      </c>
      <c r="L1073" t="n">
        <v>1</v>
      </c>
      <c r="M1073" t="n">
        <v>0</v>
      </c>
    </row>
    <row r="1074" spans="1:13">
      <c r="A1074" s="1">
        <f>HYPERLINK("http://www.twitter.com/NathanBLawrence/status/989831514421678080", "989831514421678080")</f>
        <v/>
      </c>
      <c r="B1074" s="2" t="n">
        <v>43217.48607638889</v>
      </c>
      <c r="C1074" t="n">
        <v>4</v>
      </c>
      <c r="D1074" t="n">
        <v>3</v>
      </c>
      <c r="E1074" t="s">
        <v>1085</v>
      </c>
      <c r="F1074" t="s"/>
      <c r="G1074" t="s"/>
      <c r="H1074" t="s"/>
      <c r="I1074" t="s"/>
      <c r="J1074" t="n">
        <v>0</v>
      </c>
      <c r="K1074" t="n">
        <v>0</v>
      </c>
      <c r="L1074" t="n">
        <v>1</v>
      </c>
      <c r="M1074" t="n">
        <v>0</v>
      </c>
    </row>
    <row r="1075" spans="1:13">
      <c r="A1075" s="1">
        <f>HYPERLINK("http://www.twitter.com/NathanBLawrence/status/989830385075982336", "989830385075982336")</f>
        <v/>
      </c>
      <c r="B1075" s="2" t="n">
        <v>43217.48296296296</v>
      </c>
      <c r="C1075" t="n">
        <v>12</v>
      </c>
      <c r="D1075" t="n">
        <v>11</v>
      </c>
      <c r="E1075" t="s">
        <v>1086</v>
      </c>
      <c r="F1075" t="s"/>
      <c r="G1075" t="s"/>
      <c r="H1075" t="s"/>
      <c r="I1075" t="s"/>
      <c r="J1075" t="n">
        <v>0</v>
      </c>
      <c r="K1075" t="n">
        <v>0</v>
      </c>
      <c r="L1075" t="n">
        <v>1</v>
      </c>
      <c r="M1075" t="n">
        <v>0</v>
      </c>
    </row>
    <row r="1076" spans="1:13">
      <c r="A1076" s="1">
        <f>HYPERLINK("http://www.twitter.com/NathanBLawrence/status/989696995722964992", "989696995722964992")</f>
        <v/>
      </c>
      <c r="B1076" s="2" t="n">
        <v>43217.11488425926</v>
      </c>
      <c r="C1076" t="n">
        <v>0</v>
      </c>
      <c r="D1076" t="n">
        <v>3</v>
      </c>
      <c r="E1076" t="s">
        <v>1087</v>
      </c>
      <c r="F1076" t="s"/>
      <c r="G1076" t="s"/>
      <c r="H1076" t="s"/>
      <c r="I1076" t="s"/>
      <c r="J1076" t="n">
        <v>0.8507</v>
      </c>
      <c r="K1076" t="n">
        <v>0</v>
      </c>
      <c r="L1076" t="n">
        <v>0.673</v>
      </c>
      <c r="M1076" t="n">
        <v>0.327</v>
      </c>
    </row>
    <row r="1077" spans="1:13">
      <c r="A1077" s="1">
        <f>HYPERLINK("http://www.twitter.com/NathanBLawrence/status/989696619435184128", "989696619435184128")</f>
        <v/>
      </c>
      <c r="B1077" s="2" t="n">
        <v>43217.11384259259</v>
      </c>
      <c r="C1077" t="n">
        <v>2</v>
      </c>
      <c r="D1077" t="n">
        <v>0</v>
      </c>
      <c r="E1077" t="s">
        <v>1088</v>
      </c>
      <c r="F1077" t="s"/>
      <c r="G1077" t="s"/>
      <c r="H1077" t="s"/>
      <c r="I1077" t="s"/>
      <c r="J1077" t="n">
        <v>0.3612</v>
      </c>
      <c r="K1077" t="n">
        <v>0.114</v>
      </c>
      <c r="L1077" t="n">
        <v>0.65</v>
      </c>
      <c r="M1077" t="n">
        <v>0.236</v>
      </c>
    </row>
    <row r="1078" spans="1:13">
      <c r="A1078" s="1">
        <f>HYPERLINK("http://www.twitter.com/NathanBLawrence/status/989695982047776769", "989695982047776769")</f>
        <v/>
      </c>
      <c r="B1078" s="2" t="n">
        <v>43217.11208333333</v>
      </c>
      <c r="C1078" t="n">
        <v>1</v>
      </c>
      <c r="D1078" t="n">
        <v>0</v>
      </c>
      <c r="E1078" t="s">
        <v>1089</v>
      </c>
      <c r="F1078" t="s"/>
      <c r="G1078" t="s"/>
      <c r="H1078" t="s"/>
      <c r="I1078" t="s"/>
      <c r="J1078" t="n">
        <v>0</v>
      </c>
      <c r="K1078" t="n">
        <v>0</v>
      </c>
      <c r="L1078" t="n">
        <v>1</v>
      </c>
      <c r="M1078" t="n">
        <v>0</v>
      </c>
    </row>
    <row r="1079" spans="1:13">
      <c r="A1079" s="1">
        <f>HYPERLINK("http://www.twitter.com/NathanBLawrence/status/989684967939690499", "989684967939690499")</f>
        <v/>
      </c>
      <c r="B1079" s="2" t="n">
        <v>43217.08168981481</v>
      </c>
      <c r="C1079" t="n">
        <v>4</v>
      </c>
      <c r="D1079" t="n">
        <v>1</v>
      </c>
      <c r="E1079" t="s">
        <v>1090</v>
      </c>
      <c r="F1079">
        <f>HYPERLINK("http://pbs.twimg.com/media/DbwRNQlVQAAZXcn.jpg", "http://pbs.twimg.com/media/DbwRNQlVQAAZXcn.jpg")</f>
        <v/>
      </c>
      <c r="G1079" t="s"/>
      <c r="H1079" t="s"/>
      <c r="I1079" t="s"/>
      <c r="J1079" t="n">
        <v>0.8718</v>
      </c>
      <c r="K1079" t="n">
        <v>0</v>
      </c>
      <c r="L1079" t="n">
        <v>0.447</v>
      </c>
      <c r="M1079" t="n">
        <v>0.553</v>
      </c>
    </row>
    <row r="1080" spans="1:13">
      <c r="A1080" s="1">
        <f>HYPERLINK("http://www.twitter.com/NathanBLawrence/status/989677504381227008", "989677504381227008")</f>
        <v/>
      </c>
      <c r="B1080" s="2" t="n">
        <v>43217.06109953704</v>
      </c>
      <c r="C1080" t="n">
        <v>23</v>
      </c>
      <c r="D1080" t="n">
        <v>14</v>
      </c>
      <c r="E1080" t="s">
        <v>1091</v>
      </c>
      <c r="F1080">
        <f>HYPERLINK("http://pbs.twimg.com/media/DbwKbzhV0AEiJl4.jpg", "http://pbs.twimg.com/media/DbwKbzhV0AEiJl4.jpg")</f>
        <v/>
      </c>
      <c r="G1080" t="s"/>
      <c r="H1080" t="s"/>
      <c r="I1080" t="s"/>
      <c r="J1080" t="n">
        <v>0</v>
      </c>
      <c r="K1080" t="n">
        <v>0</v>
      </c>
      <c r="L1080" t="n">
        <v>1</v>
      </c>
      <c r="M1080" t="n">
        <v>0</v>
      </c>
    </row>
    <row r="1081" spans="1:13">
      <c r="A1081" s="1">
        <f>HYPERLINK("http://www.twitter.com/NathanBLawrence/status/989677503055892481", "989677503055892481")</f>
        <v/>
      </c>
      <c r="B1081" s="2" t="n">
        <v>43217.06108796296</v>
      </c>
      <c r="C1081" t="n">
        <v>2</v>
      </c>
      <c r="D1081" t="n">
        <v>2</v>
      </c>
      <c r="E1081" t="s">
        <v>1092</v>
      </c>
      <c r="F1081">
        <f>HYPERLINK("http://pbs.twimg.com/media/DbwKbypU0AA-xI9.jpg", "http://pbs.twimg.com/media/DbwKbypU0AA-xI9.jpg")</f>
        <v/>
      </c>
      <c r="G1081" t="s"/>
      <c r="H1081" t="s"/>
      <c r="I1081" t="s"/>
      <c r="J1081" t="n">
        <v>0</v>
      </c>
      <c r="K1081" t="n">
        <v>0</v>
      </c>
      <c r="L1081" t="n">
        <v>1</v>
      </c>
      <c r="M1081" t="n">
        <v>0</v>
      </c>
    </row>
    <row r="1082" spans="1:13">
      <c r="A1082" s="1">
        <f>HYPERLINK("http://www.twitter.com/NathanBLawrence/status/989677502829383682", "989677502829383682")</f>
        <v/>
      </c>
      <c r="B1082" s="2" t="n">
        <v>43217.06108796296</v>
      </c>
      <c r="C1082" t="n">
        <v>46</v>
      </c>
      <c r="D1082" t="n">
        <v>18</v>
      </c>
      <c r="E1082" t="s">
        <v>1093</v>
      </c>
      <c r="F1082">
        <f>HYPERLINK("http://pbs.twimg.com/media/DbwKbxrV4AASX_D.jpg", "http://pbs.twimg.com/media/DbwKbxrV4AASX_D.jpg")</f>
        <v/>
      </c>
      <c r="G1082" t="s"/>
      <c r="H1082" t="s"/>
      <c r="I1082" t="s"/>
      <c r="J1082" t="n">
        <v>0</v>
      </c>
      <c r="K1082" t="n">
        <v>0</v>
      </c>
      <c r="L1082" t="n">
        <v>1</v>
      </c>
      <c r="M1082" t="n">
        <v>0</v>
      </c>
    </row>
    <row r="1083" spans="1:13">
      <c r="A1083" s="1">
        <f>HYPERLINK("http://www.twitter.com/NathanBLawrence/status/989677502170828800", "989677502170828800")</f>
        <v/>
      </c>
      <c r="B1083" s="2" t="n">
        <v>43217.06108796296</v>
      </c>
      <c r="C1083" t="n">
        <v>14</v>
      </c>
      <c r="D1083" t="n">
        <v>9</v>
      </c>
      <c r="E1083" t="s">
        <v>1094</v>
      </c>
      <c r="F1083">
        <f>HYPERLINK("http://pbs.twimg.com/media/DbwKbxrV0AA4Ncf.jpg", "http://pbs.twimg.com/media/DbwKbxrV0AA4Ncf.jpg")</f>
        <v/>
      </c>
      <c r="G1083" t="s"/>
      <c r="H1083" t="s"/>
      <c r="I1083" t="s"/>
      <c r="J1083" t="n">
        <v>0</v>
      </c>
      <c r="K1083" t="n">
        <v>0</v>
      </c>
      <c r="L1083" t="n">
        <v>1</v>
      </c>
      <c r="M1083" t="n">
        <v>0</v>
      </c>
    </row>
    <row r="1084" spans="1:13">
      <c r="A1084" s="1">
        <f>HYPERLINK("http://www.twitter.com/NathanBLawrence/status/989672327968428032", "989672327968428032")</f>
        <v/>
      </c>
      <c r="B1084" s="2" t="n">
        <v>43217.04680555555</v>
      </c>
      <c r="C1084" t="n">
        <v>0</v>
      </c>
      <c r="D1084" t="n">
        <v>10</v>
      </c>
      <c r="E1084" t="s">
        <v>1095</v>
      </c>
      <c r="F1084" t="s"/>
      <c r="G1084" t="s"/>
      <c r="H1084" t="s"/>
      <c r="I1084" t="s"/>
      <c r="J1084" t="n">
        <v>-0.3412</v>
      </c>
      <c r="K1084" t="n">
        <v>0.118</v>
      </c>
      <c r="L1084" t="n">
        <v>0.882</v>
      </c>
      <c r="M1084" t="n">
        <v>0</v>
      </c>
    </row>
    <row r="1085" spans="1:13">
      <c r="A1085" s="1">
        <f>HYPERLINK("http://www.twitter.com/NathanBLawrence/status/989672284037185536", "989672284037185536")</f>
        <v/>
      </c>
      <c r="B1085" s="2" t="n">
        <v>43217.04668981482</v>
      </c>
      <c r="C1085" t="n">
        <v>0</v>
      </c>
      <c r="D1085" t="n">
        <v>0</v>
      </c>
      <c r="E1085" t="s">
        <v>1096</v>
      </c>
      <c r="F1085" t="s"/>
      <c r="G1085" t="s"/>
      <c r="H1085" t="s"/>
      <c r="I1085" t="s"/>
      <c r="J1085" t="n">
        <v>0.0762</v>
      </c>
      <c r="K1085" t="n">
        <v>0</v>
      </c>
      <c r="L1085" t="n">
        <v>0.885</v>
      </c>
      <c r="M1085" t="n">
        <v>0.115</v>
      </c>
    </row>
    <row r="1086" spans="1:13">
      <c r="A1086" s="1">
        <f>HYPERLINK("http://www.twitter.com/NathanBLawrence/status/989672124154548224", "989672124154548224")</f>
        <v/>
      </c>
      <c r="B1086" s="2" t="n">
        <v>43217.04625</v>
      </c>
      <c r="C1086" t="n">
        <v>0</v>
      </c>
      <c r="D1086" t="n">
        <v>1</v>
      </c>
      <c r="E1086" t="s">
        <v>1097</v>
      </c>
      <c r="F1086" t="s"/>
      <c r="G1086" t="s"/>
      <c r="H1086" t="s"/>
      <c r="I1086" t="s"/>
      <c r="J1086" t="n">
        <v>0</v>
      </c>
      <c r="K1086" t="n">
        <v>0</v>
      </c>
      <c r="L1086" t="n">
        <v>1</v>
      </c>
      <c r="M1086" t="n">
        <v>0</v>
      </c>
    </row>
    <row r="1087" spans="1:13">
      <c r="A1087" s="1">
        <f>HYPERLINK("http://www.twitter.com/NathanBLawrence/status/989638185696276481", "989638185696276481")</f>
        <v/>
      </c>
      <c r="B1087" s="2" t="n">
        <v>43216.95259259259</v>
      </c>
      <c r="C1087" t="n">
        <v>29</v>
      </c>
      <c r="D1087" t="n">
        <v>11</v>
      </c>
      <c r="E1087" t="s">
        <v>1098</v>
      </c>
      <c r="F1087" t="s"/>
      <c r="G1087" t="s"/>
      <c r="H1087" t="s"/>
      <c r="I1087" t="s"/>
      <c r="J1087" t="n">
        <v>0</v>
      </c>
      <c r="K1087" t="n">
        <v>0</v>
      </c>
      <c r="L1087" t="n">
        <v>1</v>
      </c>
      <c r="M1087" t="n">
        <v>0</v>
      </c>
    </row>
    <row r="1088" spans="1:13">
      <c r="A1088" s="1">
        <f>HYPERLINK("http://www.twitter.com/NathanBLawrence/status/989637268448129024", "989637268448129024")</f>
        <v/>
      </c>
      <c r="B1088" s="2" t="n">
        <v>43216.95006944444</v>
      </c>
      <c r="C1088" t="n">
        <v>0</v>
      </c>
      <c r="D1088" t="n">
        <v>0</v>
      </c>
      <c r="E1088" t="s">
        <v>1099</v>
      </c>
      <c r="F1088" t="s"/>
      <c r="G1088" t="s"/>
      <c r="H1088" t="s"/>
      <c r="I1088" t="s"/>
      <c r="J1088" t="n">
        <v>0</v>
      </c>
      <c r="K1088" t="n">
        <v>0</v>
      </c>
      <c r="L1088" t="n">
        <v>1</v>
      </c>
      <c r="M1088" t="n">
        <v>0</v>
      </c>
    </row>
    <row r="1089" spans="1:13">
      <c r="A1089" s="1">
        <f>HYPERLINK("http://www.twitter.com/NathanBLawrence/status/989617040418856960", "989617040418856960")</f>
        <v/>
      </c>
      <c r="B1089" s="2" t="n">
        <v>43216.89424768519</v>
      </c>
      <c r="C1089" t="n">
        <v>0</v>
      </c>
      <c r="D1089" t="n">
        <v>0</v>
      </c>
      <c r="E1089" t="s">
        <v>1100</v>
      </c>
      <c r="F1089" t="s"/>
      <c r="G1089" t="s"/>
      <c r="H1089" t="s"/>
      <c r="I1089" t="s"/>
      <c r="J1089" t="n">
        <v>-0.6577</v>
      </c>
      <c r="K1089" t="n">
        <v>0.182</v>
      </c>
      <c r="L1089" t="n">
        <v>0.756</v>
      </c>
      <c r="M1089" t="n">
        <v>0.062</v>
      </c>
    </row>
    <row r="1090" spans="1:13">
      <c r="A1090" s="1">
        <f>HYPERLINK("http://www.twitter.com/NathanBLawrence/status/989596253167280129", "989596253167280129")</f>
        <v/>
      </c>
      <c r="B1090" s="2" t="n">
        <v>43216.83688657408</v>
      </c>
      <c r="C1090" t="n">
        <v>0</v>
      </c>
      <c r="D1090" t="n">
        <v>14</v>
      </c>
      <c r="E1090" t="s">
        <v>1101</v>
      </c>
      <c r="F1090">
        <f>HYPERLINK("http://pbs.twimg.com/media/Dbu_5swUQAApywE.jpg", "http://pbs.twimg.com/media/Dbu_5swUQAApywE.jpg")</f>
        <v/>
      </c>
      <c r="G1090" t="s"/>
      <c r="H1090" t="s"/>
      <c r="I1090" t="s"/>
      <c r="J1090" t="n">
        <v>0.4717</v>
      </c>
      <c r="K1090" t="n">
        <v>0</v>
      </c>
      <c r="L1090" t="n">
        <v>0.775</v>
      </c>
      <c r="M1090" t="n">
        <v>0.225</v>
      </c>
    </row>
    <row r="1091" spans="1:13">
      <c r="A1091" s="1">
        <f>HYPERLINK("http://www.twitter.com/NathanBLawrence/status/989595811662229510", "989595811662229510")</f>
        <v/>
      </c>
      <c r="B1091" s="2" t="n">
        <v>43216.83565972222</v>
      </c>
      <c r="C1091" t="n">
        <v>2</v>
      </c>
      <c r="D1091" t="n">
        <v>1</v>
      </c>
      <c r="E1091" t="s">
        <v>1102</v>
      </c>
      <c r="F1091" t="s"/>
      <c r="G1091" t="s"/>
      <c r="H1091" t="s"/>
      <c r="I1091" t="s"/>
      <c r="J1091" t="n">
        <v>0.4753</v>
      </c>
      <c r="K1091" t="n">
        <v>0</v>
      </c>
      <c r="L1091" t="n">
        <v>0.492</v>
      </c>
      <c r="M1091" t="n">
        <v>0.508</v>
      </c>
    </row>
    <row r="1092" spans="1:13">
      <c r="A1092" s="1">
        <f>HYPERLINK("http://www.twitter.com/NathanBLawrence/status/989590788907720704", "989590788907720704")</f>
        <v/>
      </c>
      <c r="B1092" s="2" t="n">
        <v>43216.82180555556</v>
      </c>
      <c r="C1092" t="n">
        <v>2</v>
      </c>
      <c r="D1092" t="n">
        <v>0</v>
      </c>
      <c r="E1092" t="s">
        <v>1103</v>
      </c>
      <c r="F1092" t="s"/>
      <c r="G1092" t="s"/>
      <c r="H1092" t="s"/>
      <c r="I1092" t="s"/>
      <c r="J1092" t="n">
        <v>0.2714</v>
      </c>
      <c r="K1092" t="n">
        <v>0</v>
      </c>
      <c r="L1092" t="n">
        <v>0.589</v>
      </c>
      <c r="M1092" t="n">
        <v>0.411</v>
      </c>
    </row>
    <row r="1093" spans="1:13">
      <c r="A1093" s="1">
        <f>HYPERLINK("http://www.twitter.com/NathanBLawrence/status/989565093590568960", "989565093590568960")</f>
        <v/>
      </c>
      <c r="B1093" s="2" t="n">
        <v>43216.75090277778</v>
      </c>
      <c r="C1093" t="n">
        <v>4</v>
      </c>
      <c r="D1093" t="n">
        <v>0</v>
      </c>
      <c r="E1093" t="s">
        <v>1104</v>
      </c>
      <c r="F1093" t="s"/>
      <c r="G1093" t="s"/>
      <c r="H1093" t="s"/>
      <c r="I1093" t="s"/>
      <c r="J1093" t="n">
        <v>0</v>
      </c>
      <c r="K1093" t="n">
        <v>0</v>
      </c>
      <c r="L1093" t="n">
        <v>1</v>
      </c>
      <c r="M1093" t="n">
        <v>0</v>
      </c>
    </row>
    <row r="1094" spans="1:13">
      <c r="A1094" s="1">
        <f>HYPERLINK("http://www.twitter.com/NathanBLawrence/status/989553678251167745", "989553678251167745")</f>
        <v/>
      </c>
      <c r="B1094" s="2" t="n">
        <v>43216.71939814815</v>
      </c>
      <c r="C1094" t="n">
        <v>0</v>
      </c>
      <c r="D1094" t="n">
        <v>0</v>
      </c>
      <c r="E1094" t="s">
        <v>1105</v>
      </c>
      <c r="F1094" t="s"/>
      <c r="G1094" t="s"/>
      <c r="H1094" t="s"/>
      <c r="I1094" t="s"/>
      <c r="J1094" t="n">
        <v>-0.4019</v>
      </c>
      <c r="K1094" t="n">
        <v>0.403</v>
      </c>
      <c r="L1094" t="n">
        <v>0.597</v>
      </c>
      <c r="M1094" t="n">
        <v>0</v>
      </c>
    </row>
    <row r="1095" spans="1:13">
      <c r="A1095" s="1">
        <f>HYPERLINK("http://www.twitter.com/NathanBLawrence/status/989553428740345857", "989553428740345857")</f>
        <v/>
      </c>
      <c r="B1095" s="2" t="n">
        <v>43216.71871527778</v>
      </c>
      <c r="C1095" t="n">
        <v>0</v>
      </c>
      <c r="D1095" t="n">
        <v>0</v>
      </c>
      <c r="E1095" t="s">
        <v>1106</v>
      </c>
      <c r="F1095" t="s"/>
      <c r="G1095" t="s"/>
      <c r="H1095" t="s"/>
      <c r="I1095" t="s"/>
      <c r="J1095" t="n">
        <v>0</v>
      </c>
      <c r="K1095" t="n">
        <v>0</v>
      </c>
      <c r="L1095" t="n">
        <v>1</v>
      </c>
      <c r="M1095" t="n">
        <v>0</v>
      </c>
    </row>
    <row r="1096" spans="1:13">
      <c r="A1096" s="1">
        <f>HYPERLINK("http://www.twitter.com/NathanBLawrence/status/989552968918884354", "989552968918884354")</f>
        <v/>
      </c>
      <c r="B1096" s="2" t="n">
        <v>43216.71744212963</v>
      </c>
      <c r="C1096" t="n">
        <v>0</v>
      </c>
      <c r="D1096" t="n">
        <v>0</v>
      </c>
      <c r="E1096" t="s">
        <v>1107</v>
      </c>
      <c r="F1096" t="s"/>
      <c r="G1096" t="s"/>
      <c r="H1096" t="s"/>
      <c r="I1096" t="s"/>
      <c r="J1096" t="n">
        <v>-0.4767</v>
      </c>
      <c r="K1096" t="n">
        <v>0.256</v>
      </c>
      <c r="L1096" t="n">
        <v>0.744</v>
      </c>
      <c r="M1096" t="n">
        <v>0</v>
      </c>
    </row>
    <row r="1097" spans="1:13">
      <c r="A1097" s="1">
        <f>HYPERLINK("http://www.twitter.com/NathanBLawrence/status/989524170257129472", "989524170257129472")</f>
        <v/>
      </c>
      <c r="B1097" s="2" t="n">
        <v>43216.63797453704</v>
      </c>
      <c r="C1097" t="n">
        <v>1</v>
      </c>
      <c r="D1097" t="n">
        <v>0</v>
      </c>
      <c r="E1097" t="s">
        <v>1108</v>
      </c>
      <c r="F1097" t="s"/>
      <c r="G1097" t="s"/>
      <c r="H1097" t="s"/>
      <c r="I1097" t="s"/>
      <c r="J1097" t="n">
        <v>0.6826</v>
      </c>
      <c r="K1097" t="n">
        <v>0</v>
      </c>
      <c r="L1097" t="n">
        <v>0.738</v>
      </c>
      <c r="M1097" t="n">
        <v>0.262</v>
      </c>
    </row>
    <row r="1098" spans="1:13">
      <c r="A1098" s="1">
        <f>HYPERLINK("http://www.twitter.com/NathanBLawrence/status/989523953348743174", "989523953348743174")</f>
        <v/>
      </c>
      <c r="B1098" s="2" t="n">
        <v>43216.63737268518</v>
      </c>
      <c r="C1098" t="n">
        <v>0</v>
      </c>
      <c r="D1098" t="n">
        <v>1</v>
      </c>
      <c r="E1098" t="s">
        <v>1109</v>
      </c>
      <c r="F1098" t="s"/>
      <c r="G1098" t="s"/>
      <c r="H1098" t="s"/>
      <c r="I1098" t="s"/>
      <c r="J1098" t="n">
        <v>0</v>
      </c>
      <c r="K1098" t="n">
        <v>0</v>
      </c>
      <c r="L1098" t="n">
        <v>1</v>
      </c>
      <c r="M1098" t="n">
        <v>0</v>
      </c>
    </row>
    <row r="1099" spans="1:13">
      <c r="A1099" s="1">
        <f>HYPERLINK("http://www.twitter.com/NathanBLawrence/status/989522900473602049", "989522900473602049")</f>
        <v/>
      </c>
      <c r="B1099" s="2" t="n">
        <v>43216.63446759259</v>
      </c>
      <c r="C1099" t="n">
        <v>0</v>
      </c>
      <c r="D1099" t="n">
        <v>18253</v>
      </c>
      <c r="E1099" t="s">
        <v>1110</v>
      </c>
      <c r="F1099">
        <f>HYPERLINK("http://pbs.twimg.com/media/C-WM3GbVYAA4AHD.jpg", "http://pbs.twimg.com/media/C-WM3GbVYAA4AHD.jpg")</f>
        <v/>
      </c>
      <c r="G1099" t="s"/>
      <c r="H1099" t="s"/>
      <c r="I1099" t="s"/>
      <c r="J1099" t="n">
        <v>0.6932</v>
      </c>
      <c r="K1099" t="n">
        <v>0</v>
      </c>
      <c r="L1099" t="n">
        <v>0.656</v>
      </c>
      <c r="M1099" t="n">
        <v>0.344</v>
      </c>
    </row>
    <row r="1100" spans="1:13">
      <c r="A1100" s="1">
        <f>HYPERLINK("http://www.twitter.com/NathanBLawrence/status/989522599028908032", "989522599028908032")</f>
        <v/>
      </c>
      <c r="B1100" s="2" t="n">
        <v>43216.63363425926</v>
      </c>
      <c r="C1100" t="n">
        <v>0</v>
      </c>
      <c r="D1100" t="n">
        <v>0</v>
      </c>
      <c r="E1100" t="s">
        <v>1111</v>
      </c>
      <c r="F1100" t="s"/>
      <c r="G1100" t="s"/>
      <c r="H1100" t="s"/>
      <c r="I1100" t="s"/>
      <c r="J1100" t="n">
        <v>0.7096</v>
      </c>
      <c r="K1100" t="n">
        <v>0</v>
      </c>
      <c r="L1100" t="n">
        <v>0.537</v>
      </c>
      <c r="M1100" t="n">
        <v>0.463</v>
      </c>
    </row>
    <row r="1101" spans="1:13">
      <c r="A1101" s="1">
        <f>HYPERLINK("http://www.twitter.com/NathanBLawrence/status/989522002481483776", "989522002481483776")</f>
        <v/>
      </c>
      <c r="B1101" s="2" t="n">
        <v>43216.63199074074</v>
      </c>
      <c r="C1101" t="n">
        <v>7</v>
      </c>
      <c r="D1101" t="n">
        <v>3</v>
      </c>
      <c r="E1101" t="s">
        <v>1112</v>
      </c>
      <c r="F1101" t="s"/>
      <c r="G1101" t="s"/>
      <c r="H1101" t="s"/>
      <c r="I1101" t="s"/>
      <c r="J1101" t="n">
        <v>0</v>
      </c>
      <c r="K1101" t="n">
        <v>0</v>
      </c>
      <c r="L1101" t="n">
        <v>1</v>
      </c>
      <c r="M1101" t="n">
        <v>0</v>
      </c>
    </row>
    <row r="1102" spans="1:13">
      <c r="A1102" s="1">
        <f>HYPERLINK("http://www.twitter.com/NathanBLawrence/status/989521636050309122", "989521636050309122")</f>
        <v/>
      </c>
      <c r="B1102" s="2" t="n">
        <v>43216.6309837963</v>
      </c>
      <c r="C1102" t="n">
        <v>1</v>
      </c>
      <c r="D1102" t="n">
        <v>0</v>
      </c>
      <c r="E1102" t="s">
        <v>1113</v>
      </c>
      <c r="F1102" t="s"/>
      <c r="G1102" t="s"/>
      <c r="H1102" t="s"/>
      <c r="I1102" t="s"/>
      <c r="J1102" t="n">
        <v>0.5093</v>
      </c>
      <c r="K1102" t="n">
        <v>0</v>
      </c>
      <c r="L1102" t="n">
        <v>0.708</v>
      </c>
      <c r="M1102" t="n">
        <v>0.292</v>
      </c>
    </row>
    <row r="1103" spans="1:13">
      <c r="A1103" s="1">
        <f>HYPERLINK("http://www.twitter.com/NathanBLawrence/status/989521271007346688", "989521271007346688")</f>
        <v/>
      </c>
      <c r="B1103" s="2" t="n">
        <v>43216.62997685185</v>
      </c>
      <c r="C1103" t="n">
        <v>1</v>
      </c>
      <c r="D1103" t="n">
        <v>0</v>
      </c>
      <c r="E1103" t="s">
        <v>1114</v>
      </c>
      <c r="F1103">
        <f>HYPERLINK("http://pbs.twimg.com/media/Dbt8V-oW4AAZCKf.jpg", "http://pbs.twimg.com/media/Dbt8V-oW4AAZCKf.jpg")</f>
        <v/>
      </c>
      <c r="G1103" t="s"/>
      <c r="H1103" t="s"/>
      <c r="I1103" t="s"/>
      <c r="J1103" t="n">
        <v>0.4215</v>
      </c>
      <c r="K1103" t="n">
        <v>0</v>
      </c>
      <c r="L1103" t="n">
        <v>0.763</v>
      </c>
      <c r="M1103" t="n">
        <v>0.237</v>
      </c>
    </row>
    <row r="1104" spans="1:13">
      <c r="A1104" s="1">
        <f>HYPERLINK("http://www.twitter.com/NathanBLawrence/status/989496859696693249", "989496859696693249")</f>
        <v/>
      </c>
      <c r="B1104" s="2" t="n">
        <v>43216.56260416667</v>
      </c>
      <c r="C1104" t="n">
        <v>3</v>
      </c>
      <c r="D1104" t="n">
        <v>0</v>
      </c>
      <c r="E1104" t="s">
        <v>1115</v>
      </c>
      <c r="F1104">
        <f>HYPERLINK("http://pbs.twimg.com/media/DbtmIMTVwAAuMAC.jpg", "http://pbs.twimg.com/media/DbtmIMTVwAAuMAC.jpg")</f>
        <v/>
      </c>
      <c r="G1104" t="s"/>
      <c r="H1104" t="s"/>
      <c r="I1104" t="s"/>
      <c r="J1104" t="n">
        <v>0</v>
      </c>
      <c r="K1104" t="n">
        <v>0</v>
      </c>
      <c r="L1104" t="n">
        <v>1</v>
      </c>
      <c r="M1104" t="n">
        <v>0</v>
      </c>
    </row>
    <row r="1105" spans="1:13">
      <c r="A1105" s="1">
        <f>HYPERLINK("http://www.twitter.com/NathanBLawrence/status/989496853157859328", "989496853157859328")</f>
        <v/>
      </c>
      <c r="B1105" s="2" t="n">
        <v>43216.56259259259</v>
      </c>
      <c r="C1105" t="n">
        <v>1</v>
      </c>
      <c r="D1105" t="n">
        <v>0</v>
      </c>
      <c r="E1105" t="s">
        <v>1116</v>
      </c>
      <c r="F1105">
        <f>HYPERLINK("http://pbs.twimg.com/media/DbtmIMTUwAEma2N.jpg", "http://pbs.twimg.com/media/DbtmIMTUwAEma2N.jpg")</f>
        <v/>
      </c>
      <c r="G1105" t="s"/>
      <c r="H1105" t="s"/>
      <c r="I1105" t="s"/>
      <c r="J1105" t="n">
        <v>0</v>
      </c>
      <c r="K1105" t="n">
        <v>0</v>
      </c>
      <c r="L1105" t="n">
        <v>1</v>
      </c>
      <c r="M1105" t="n">
        <v>0</v>
      </c>
    </row>
    <row r="1106" spans="1:13">
      <c r="A1106" s="1">
        <f>HYPERLINK("http://www.twitter.com/NathanBLawrence/status/989484444544364544", "989484444544364544")</f>
        <v/>
      </c>
      <c r="B1106" s="2" t="n">
        <v>43216.5283449074</v>
      </c>
      <c r="C1106" t="n">
        <v>2</v>
      </c>
      <c r="D1106" t="n">
        <v>0</v>
      </c>
      <c r="E1106" t="s">
        <v>1117</v>
      </c>
      <c r="F1106" t="s"/>
      <c r="G1106" t="s"/>
      <c r="H1106" t="s"/>
      <c r="I1106" t="s"/>
      <c r="J1106" t="n">
        <v>0.296</v>
      </c>
      <c r="K1106" t="n">
        <v>0</v>
      </c>
      <c r="L1106" t="n">
        <v>0.879</v>
      </c>
      <c r="M1106" t="n">
        <v>0.121</v>
      </c>
    </row>
    <row r="1107" spans="1:13">
      <c r="A1107" s="1">
        <f>HYPERLINK("http://www.twitter.com/NathanBLawrence/status/989483955475886080", "989483955475886080")</f>
        <v/>
      </c>
      <c r="B1107" s="2" t="n">
        <v>43216.52700231481</v>
      </c>
      <c r="C1107" t="n">
        <v>0</v>
      </c>
      <c r="D1107" t="n">
        <v>0</v>
      </c>
      <c r="E1107" t="s">
        <v>1118</v>
      </c>
      <c r="F1107" t="s"/>
      <c r="G1107" t="s"/>
      <c r="H1107" t="s"/>
      <c r="I1107" t="s"/>
      <c r="J1107" t="n">
        <v>0</v>
      </c>
      <c r="K1107" t="n">
        <v>0</v>
      </c>
      <c r="L1107" t="n">
        <v>1</v>
      </c>
      <c r="M1107" t="n">
        <v>0</v>
      </c>
    </row>
    <row r="1108" spans="1:13">
      <c r="A1108" s="1">
        <f>HYPERLINK("http://www.twitter.com/NathanBLawrence/status/989476771304263681", "989476771304263681")</f>
        <v/>
      </c>
      <c r="B1108" s="2" t="n">
        <v>43216.50717592592</v>
      </c>
      <c r="C1108" t="n">
        <v>1</v>
      </c>
      <c r="D1108" t="n">
        <v>0</v>
      </c>
      <c r="E1108" t="s">
        <v>1119</v>
      </c>
      <c r="F1108" t="s"/>
      <c r="G1108" t="s"/>
      <c r="H1108" t="s"/>
      <c r="I1108" t="s"/>
      <c r="J1108" t="n">
        <v>0.5106000000000001</v>
      </c>
      <c r="K1108" t="n">
        <v>0</v>
      </c>
      <c r="L1108" t="n">
        <v>0.708</v>
      </c>
      <c r="M1108" t="n">
        <v>0.292</v>
      </c>
    </row>
    <row r="1109" spans="1:13">
      <c r="A1109" s="1">
        <f>HYPERLINK("http://www.twitter.com/NathanBLawrence/status/989475774607626241", "989475774607626241")</f>
        <v/>
      </c>
      <c r="B1109" s="2" t="n">
        <v>43216.5044212963</v>
      </c>
      <c r="C1109" t="n">
        <v>3</v>
      </c>
      <c r="D1109" t="n">
        <v>0</v>
      </c>
      <c r="E1109" t="s">
        <v>1120</v>
      </c>
      <c r="F1109" t="s"/>
      <c r="G1109" t="s"/>
      <c r="H1109" t="s"/>
      <c r="I1109" t="s"/>
      <c r="J1109" t="n">
        <v>-0.1119</v>
      </c>
      <c r="K1109" t="n">
        <v>0.167</v>
      </c>
      <c r="L1109" t="n">
        <v>0.6850000000000001</v>
      </c>
      <c r="M1109" t="n">
        <v>0.148</v>
      </c>
    </row>
    <row r="1110" spans="1:13">
      <c r="A1110" s="1">
        <f>HYPERLINK("http://www.twitter.com/NathanBLawrence/status/989472079421607936", "989472079421607936")</f>
        <v/>
      </c>
      <c r="B1110" s="2" t="n">
        <v>43216.49422453704</v>
      </c>
      <c r="C1110" t="n">
        <v>1</v>
      </c>
      <c r="D1110" t="n">
        <v>0</v>
      </c>
      <c r="E1110" t="s">
        <v>1121</v>
      </c>
      <c r="F1110" t="s"/>
      <c r="G1110" t="s"/>
      <c r="H1110" t="s"/>
      <c r="I1110" t="s"/>
      <c r="J1110" t="n">
        <v>-0.5423</v>
      </c>
      <c r="K1110" t="n">
        <v>0.143</v>
      </c>
      <c r="L1110" t="n">
        <v>0.857</v>
      </c>
      <c r="M1110" t="n">
        <v>0</v>
      </c>
    </row>
    <row r="1111" spans="1:13">
      <c r="A1111" s="1">
        <f>HYPERLINK("http://www.twitter.com/NathanBLawrence/status/989471522673889280", "989471522673889280")</f>
        <v/>
      </c>
      <c r="B1111" s="2" t="n">
        <v>43216.49269675926</v>
      </c>
      <c r="C1111" t="n">
        <v>2</v>
      </c>
      <c r="D1111" t="n">
        <v>0</v>
      </c>
      <c r="E1111" t="s">
        <v>1122</v>
      </c>
      <c r="F1111" t="s"/>
      <c r="G1111" t="s"/>
      <c r="H1111" t="s"/>
      <c r="I1111" t="s"/>
      <c r="J1111" t="n">
        <v>0</v>
      </c>
      <c r="K1111" t="n">
        <v>0</v>
      </c>
      <c r="L1111" t="n">
        <v>1</v>
      </c>
      <c r="M1111" t="n">
        <v>0</v>
      </c>
    </row>
    <row r="1112" spans="1:13">
      <c r="A1112" s="1">
        <f>HYPERLINK("http://www.twitter.com/NathanBLawrence/status/989466680064606208", "989466680064606208")</f>
        <v/>
      </c>
      <c r="B1112" s="2" t="n">
        <v>43216.4793287037</v>
      </c>
      <c r="C1112" t="n">
        <v>0</v>
      </c>
      <c r="D1112" t="n">
        <v>9</v>
      </c>
      <c r="E1112" t="s">
        <v>1123</v>
      </c>
      <c r="F1112" t="s"/>
      <c r="G1112" t="s"/>
      <c r="H1112" t="s"/>
      <c r="I1112" t="s"/>
      <c r="J1112" t="n">
        <v>0.4926</v>
      </c>
      <c r="K1112" t="n">
        <v>0</v>
      </c>
      <c r="L1112" t="n">
        <v>0.79</v>
      </c>
      <c r="M1112" t="n">
        <v>0.21</v>
      </c>
    </row>
    <row r="1113" spans="1:13">
      <c r="A1113" s="1">
        <f>HYPERLINK("http://www.twitter.com/NathanBLawrence/status/989466633969242113", "989466633969242113")</f>
        <v/>
      </c>
      <c r="B1113" s="2" t="n">
        <v>43216.47920138889</v>
      </c>
      <c r="C1113" t="n">
        <v>0</v>
      </c>
      <c r="D1113" t="n">
        <v>0</v>
      </c>
      <c r="E1113" t="s">
        <v>1124</v>
      </c>
      <c r="F1113" t="s"/>
      <c r="G1113" t="s"/>
      <c r="H1113" t="s"/>
      <c r="I1113" t="s"/>
      <c r="J1113" t="n">
        <v>0.296</v>
      </c>
      <c r="K1113" t="n">
        <v>0</v>
      </c>
      <c r="L1113" t="n">
        <v>0.901</v>
      </c>
      <c r="M1113" t="n">
        <v>0.099</v>
      </c>
    </row>
    <row r="1114" spans="1:13">
      <c r="A1114" s="1">
        <f>HYPERLINK("http://www.twitter.com/NathanBLawrence/status/989466071244697601", "989466071244697601")</f>
        <v/>
      </c>
      <c r="B1114" s="2" t="n">
        <v>43216.47765046296</v>
      </c>
      <c r="C1114" t="n">
        <v>0</v>
      </c>
      <c r="D1114" t="n">
        <v>0</v>
      </c>
      <c r="E1114" t="s">
        <v>1125</v>
      </c>
      <c r="F1114" t="s"/>
      <c r="G1114" t="s"/>
      <c r="H1114" t="s"/>
      <c r="I1114" t="s"/>
      <c r="J1114" t="n">
        <v>0</v>
      </c>
      <c r="K1114" t="n">
        <v>0</v>
      </c>
      <c r="L1114" t="n">
        <v>1</v>
      </c>
      <c r="M1114" t="n">
        <v>0</v>
      </c>
    </row>
    <row r="1115" spans="1:13">
      <c r="A1115" s="1">
        <f>HYPERLINK("http://www.twitter.com/NathanBLawrence/status/989465546637873152", "989465546637873152")</f>
        <v/>
      </c>
      <c r="B1115" s="2" t="n">
        <v>43216.47620370371</v>
      </c>
      <c r="C1115" t="n">
        <v>3</v>
      </c>
      <c r="D1115" t="n">
        <v>0</v>
      </c>
      <c r="E1115" t="s">
        <v>1126</v>
      </c>
      <c r="F1115" t="s"/>
      <c r="G1115" t="s"/>
      <c r="H1115" t="s"/>
      <c r="I1115" t="s"/>
      <c r="J1115" t="n">
        <v>-0.6997</v>
      </c>
      <c r="K1115" t="n">
        <v>0.194</v>
      </c>
      <c r="L1115" t="n">
        <v>0.806</v>
      </c>
      <c r="M1115" t="n">
        <v>0</v>
      </c>
    </row>
    <row r="1116" spans="1:13">
      <c r="A1116" s="1">
        <f>HYPERLINK("http://www.twitter.com/NathanBLawrence/status/989347240090185729", "989347240090185729")</f>
        <v/>
      </c>
      <c r="B1116" s="2" t="n">
        <v>43216.14973379629</v>
      </c>
      <c r="C1116" t="n">
        <v>0</v>
      </c>
      <c r="D1116" t="n">
        <v>0</v>
      </c>
      <c r="E1116" t="s">
        <v>1127</v>
      </c>
      <c r="F1116" t="s"/>
      <c r="G1116" t="s"/>
      <c r="H1116" t="s"/>
      <c r="I1116" t="s"/>
      <c r="J1116" t="n">
        <v>0.4215</v>
      </c>
      <c r="K1116" t="n">
        <v>0</v>
      </c>
      <c r="L1116" t="n">
        <v>0.896</v>
      </c>
      <c r="M1116" t="n">
        <v>0.104</v>
      </c>
    </row>
    <row r="1117" spans="1:13">
      <c r="A1117" s="1">
        <f>HYPERLINK("http://www.twitter.com/NathanBLawrence/status/989339986351869952", "989339986351869952")</f>
        <v/>
      </c>
      <c r="B1117" s="2" t="n">
        <v>43216.12972222222</v>
      </c>
      <c r="C1117" t="n">
        <v>0</v>
      </c>
      <c r="D1117" t="n">
        <v>1</v>
      </c>
      <c r="E1117" t="s">
        <v>1128</v>
      </c>
      <c r="F1117" t="s"/>
      <c r="G1117" t="s"/>
      <c r="H1117" t="s"/>
      <c r="I1117" t="s"/>
      <c r="J1117" t="n">
        <v>-0.6908</v>
      </c>
      <c r="K1117" t="n">
        <v>0.27</v>
      </c>
      <c r="L1117" t="n">
        <v>0.623</v>
      </c>
      <c r="M1117" t="n">
        <v>0.107</v>
      </c>
    </row>
    <row r="1118" spans="1:13">
      <c r="A1118" s="1">
        <f>HYPERLINK("http://www.twitter.com/NathanBLawrence/status/989334945490391040", "989334945490391040")</f>
        <v/>
      </c>
      <c r="B1118" s="2" t="n">
        <v>43216.11581018518</v>
      </c>
      <c r="C1118" t="n">
        <v>0</v>
      </c>
      <c r="D1118" t="n">
        <v>0</v>
      </c>
      <c r="E1118" t="s">
        <v>1129</v>
      </c>
      <c r="F1118" t="s"/>
      <c r="G1118" t="s"/>
      <c r="H1118" t="s"/>
      <c r="I1118" t="s"/>
      <c r="J1118" t="n">
        <v>0.9324</v>
      </c>
      <c r="K1118" t="n">
        <v>0.127</v>
      </c>
      <c r="L1118" t="n">
        <v>0.224</v>
      </c>
      <c r="M1118" t="n">
        <v>0.649</v>
      </c>
    </row>
    <row r="1119" spans="1:13">
      <c r="A1119" s="1">
        <f>HYPERLINK("http://www.twitter.com/NathanBLawrence/status/989333577950220289", "989333577950220289")</f>
        <v/>
      </c>
      <c r="B1119" s="2" t="n">
        <v>43216.11203703703</v>
      </c>
      <c r="C1119" t="n">
        <v>0</v>
      </c>
      <c r="D1119" t="n">
        <v>391</v>
      </c>
      <c r="E1119" t="s">
        <v>1130</v>
      </c>
      <c r="F1119">
        <f>HYPERLINK("http://pbs.twimg.com/media/DbqwJqKU8AA2DTh.jpg", "http://pbs.twimg.com/media/DbqwJqKU8AA2DTh.jpg")</f>
        <v/>
      </c>
      <c r="G1119" t="s"/>
      <c r="H1119" t="s"/>
      <c r="I1119" t="s"/>
      <c r="J1119" t="n">
        <v>-0.0516</v>
      </c>
      <c r="K1119" t="n">
        <v>0.23</v>
      </c>
      <c r="L1119" t="n">
        <v>0.576</v>
      </c>
      <c r="M1119" t="n">
        <v>0.194</v>
      </c>
    </row>
    <row r="1120" spans="1:13">
      <c r="A1120" s="1">
        <f>HYPERLINK("http://www.twitter.com/NathanBLawrence/status/989333352032473088", "989333352032473088")</f>
        <v/>
      </c>
      <c r="B1120" s="2" t="n">
        <v>43216.11141203704</v>
      </c>
      <c r="C1120" t="n">
        <v>0</v>
      </c>
      <c r="D1120" t="n">
        <v>9</v>
      </c>
      <c r="E1120" t="s">
        <v>1131</v>
      </c>
      <c r="F1120" t="s"/>
      <c r="G1120" t="s"/>
      <c r="H1120" t="s"/>
      <c r="I1120" t="s"/>
      <c r="J1120" t="n">
        <v>0</v>
      </c>
      <c r="K1120" t="n">
        <v>0</v>
      </c>
      <c r="L1120" t="n">
        <v>1</v>
      </c>
      <c r="M1120" t="n">
        <v>0</v>
      </c>
    </row>
    <row r="1121" spans="1:13">
      <c r="A1121" s="1">
        <f>HYPERLINK("http://www.twitter.com/NathanBLawrence/status/989333154476494848", "989333154476494848")</f>
        <v/>
      </c>
      <c r="B1121" s="2" t="n">
        <v>43216.11086805556</v>
      </c>
      <c r="C1121" t="n">
        <v>0</v>
      </c>
      <c r="D1121" t="n">
        <v>18</v>
      </c>
      <c r="E1121" t="s">
        <v>1132</v>
      </c>
      <c r="F1121" t="s"/>
      <c r="G1121" t="s"/>
      <c r="H1121" t="s"/>
      <c r="I1121" t="s"/>
      <c r="J1121" t="n">
        <v>0.6705</v>
      </c>
      <c r="K1121" t="n">
        <v>0</v>
      </c>
      <c r="L1121" t="n">
        <v>0.744</v>
      </c>
      <c r="M1121" t="n">
        <v>0.256</v>
      </c>
    </row>
    <row r="1122" spans="1:13">
      <c r="A1122" s="1">
        <f>HYPERLINK("http://www.twitter.com/NathanBLawrence/status/989332803484602368", "989332803484602368")</f>
        <v/>
      </c>
      <c r="B1122" s="2" t="n">
        <v>43216.10989583333</v>
      </c>
      <c r="C1122" t="n">
        <v>0</v>
      </c>
      <c r="D1122" t="n">
        <v>3</v>
      </c>
      <c r="E1122" t="s">
        <v>1133</v>
      </c>
      <c r="F1122" t="s"/>
      <c r="G1122" t="s"/>
      <c r="H1122" t="s"/>
      <c r="I1122" t="s"/>
      <c r="J1122" t="n">
        <v>-0.6908</v>
      </c>
      <c r="K1122" t="n">
        <v>0.215</v>
      </c>
      <c r="L1122" t="n">
        <v>0.717</v>
      </c>
      <c r="M1122" t="n">
        <v>0.06900000000000001</v>
      </c>
    </row>
    <row r="1123" spans="1:13">
      <c r="A1123" s="1">
        <f>HYPERLINK("http://www.twitter.com/NathanBLawrence/status/989332363149762560", "989332363149762560")</f>
        <v/>
      </c>
      <c r="B1123" s="2" t="n">
        <v>43216.10868055555</v>
      </c>
      <c r="C1123" t="n">
        <v>0</v>
      </c>
      <c r="D1123" t="n">
        <v>0</v>
      </c>
      <c r="E1123" t="s">
        <v>1134</v>
      </c>
      <c r="F1123" t="s"/>
      <c r="G1123" t="s"/>
      <c r="H1123" t="s"/>
      <c r="I1123" t="s"/>
      <c r="J1123" t="n">
        <v>0</v>
      </c>
      <c r="K1123" t="n">
        <v>0</v>
      </c>
      <c r="L1123" t="n">
        <v>1</v>
      </c>
      <c r="M1123" t="n">
        <v>0</v>
      </c>
    </row>
    <row r="1124" spans="1:13">
      <c r="A1124" s="1">
        <f>HYPERLINK("http://www.twitter.com/NathanBLawrence/status/989325850028969985", "989325850028969985")</f>
        <v/>
      </c>
      <c r="B1124" s="2" t="n">
        <v>43216.09071759259</v>
      </c>
      <c r="C1124" t="n">
        <v>0</v>
      </c>
      <c r="D1124" t="n">
        <v>0</v>
      </c>
      <c r="E1124" t="s">
        <v>1135</v>
      </c>
      <c r="F1124" t="s"/>
      <c r="G1124" t="s"/>
      <c r="H1124" t="s"/>
      <c r="I1124" t="s"/>
      <c r="J1124" t="n">
        <v>0</v>
      </c>
      <c r="K1124" t="n">
        <v>0</v>
      </c>
      <c r="L1124" t="n">
        <v>1</v>
      </c>
      <c r="M1124" t="n">
        <v>0</v>
      </c>
    </row>
    <row r="1125" spans="1:13">
      <c r="A1125" s="1">
        <f>HYPERLINK("http://www.twitter.com/NathanBLawrence/status/989324905517846529", "989324905517846529")</f>
        <v/>
      </c>
      <c r="B1125" s="2" t="n">
        <v>43216.08810185185</v>
      </c>
      <c r="C1125" t="n">
        <v>0</v>
      </c>
      <c r="D1125" t="n">
        <v>215</v>
      </c>
      <c r="E1125" t="s">
        <v>1136</v>
      </c>
      <c r="F1125">
        <f>HYPERLINK("http://pbs.twimg.com/media/Dbq4_IXXcAAekpe.jpg", "http://pbs.twimg.com/media/Dbq4_IXXcAAekpe.jpg")</f>
        <v/>
      </c>
      <c r="G1125" t="s"/>
      <c r="H1125" t="s"/>
      <c r="I1125" t="s"/>
      <c r="J1125" t="n">
        <v>0.5859</v>
      </c>
      <c r="K1125" t="n">
        <v>0</v>
      </c>
      <c r="L1125" t="n">
        <v>0.678</v>
      </c>
      <c r="M1125" t="n">
        <v>0.322</v>
      </c>
    </row>
    <row r="1126" spans="1:13">
      <c r="A1126" s="1">
        <f>HYPERLINK("http://www.twitter.com/NathanBLawrence/status/989324719966097408", "989324719966097408")</f>
        <v/>
      </c>
      <c r="B1126" s="2" t="n">
        <v>43216.08759259259</v>
      </c>
      <c r="C1126" t="n">
        <v>0</v>
      </c>
      <c r="D1126" t="n">
        <v>0</v>
      </c>
      <c r="E1126" t="s">
        <v>1137</v>
      </c>
      <c r="F1126" t="s"/>
      <c r="G1126" t="s"/>
      <c r="H1126" t="s"/>
      <c r="I1126" t="s"/>
      <c r="J1126" t="n">
        <v>0.4574</v>
      </c>
      <c r="K1126" t="n">
        <v>0</v>
      </c>
      <c r="L1126" t="n">
        <v>0.701</v>
      </c>
      <c r="M1126" t="n">
        <v>0.299</v>
      </c>
    </row>
    <row r="1127" spans="1:13">
      <c r="A1127" s="1">
        <f>HYPERLINK("http://www.twitter.com/NathanBLawrence/status/989323007670800384", "989323007670800384")</f>
        <v/>
      </c>
      <c r="B1127" s="2" t="n">
        <v>43216.08287037037</v>
      </c>
      <c r="C1127" t="n">
        <v>0</v>
      </c>
      <c r="D1127" t="n">
        <v>1504</v>
      </c>
      <c r="E1127" t="s">
        <v>1138</v>
      </c>
      <c r="F1127">
        <f>HYPERLINK("http://pbs.twimg.com/media/DbeYG1-VwAAX3zR.jpg", "http://pbs.twimg.com/media/DbeYG1-VwAAX3zR.jpg")</f>
        <v/>
      </c>
      <c r="G1127" t="s"/>
      <c r="H1127" t="s"/>
      <c r="I1127" t="s"/>
      <c r="J1127" t="n">
        <v>-0.8378</v>
      </c>
      <c r="K1127" t="n">
        <v>0.306</v>
      </c>
      <c r="L1127" t="n">
        <v>0.694</v>
      </c>
      <c r="M1127" t="n">
        <v>0</v>
      </c>
    </row>
    <row r="1128" spans="1:13">
      <c r="A1128" s="1">
        <f>HYPERLINK("http://www.twitter.com/NathanBLawrence/status/989322711175516162", "989322711175516162")</f>
        <v/>
      </c>
      <c r="B1128" s="2" t="n">
        <v>43216.08204861111</v>
      </c>
      <c r="C1128" t="n">
        <v>0</v>
      </c>
      <c r="D1128" t="n">
        <v>0</v>
      </c>
      <c r="E1128" t="s">
        <v>1139</v>
      </c>
      <c r="F1128" t="s"/>
      <c r="G1128" t="s"/>
      <c r="H1128" t="s"/>
      <c r="I1128" t="s"/>
      <c r="J1128" t="n">
        <v>0.6369</v>
      </c>
      <c r="K1128" t="n">
        <v>0.068</v>
      </c>
      <c r="L1128" t="n">
        <v>0.758</v>
      </c>
      <c r="M1128" t="n">
        <v>0.174</v>
      </c>
    </row>
    <row r="1129" spans="1:13">
      <c r="A1129" s="1">
        <f>HYPERLINK("http://www.twitter.com/NathanBLawrence/status/989321359594541057", "989321359594541057")</f>
        <v/>
      </c>
      <c r="B1129" s="2" t="n">
        <v>43216.07832175926</v>
      </c>
      <c r="C1129" t="n">
        <v>2</v>
      </c>
      <c r="D1129" t="n">
        <v>0</v>
      </c>
      <c r="E1129" t="s">
        <v>1140</v>
      </c>
      <c r="F1129" t="s"/>
      <c r="G1129" t="s"/>
      <c r="H1129" t="s"/>
      <c r="I1129" t="s"/>
      <c r="J1129" t="n">
        <v>-0.296</v>
      </c>
      <c r="K1129" t="n">
        <v>0.167</v>
      </c>
      <c r="L1129" t="n">
        <v>0.833</v>
      </c>
      <c r="M1129" t="n">
        <v>0</v>
      </c>
    </row>
    <row r="1130" spans="1:13">
      <c r="A1130" s="1">
        <f>HYPERLINK("http://www.twitter.com/NathanBLawrence/status/989320719342456832", "989320719342456832")</f>
        <v/>
      </c>
      <c r="B1130" s="2" t="n">
        <v>43216.07655092593</v>
      </c>
      <c r="C1130" t="n">
        <v>7</v>
      </c>
      <c r="D1130" t="n">
        <v>0</v>
      </c>
      <c r="E1130" t="s">
        <v>1141</v>
      </c>
      <c r="F1130" t="s"/>
      <c r="G1130" t="s"/>
      <c r="H1130" t="s"/>
      <c r="I1130" t="s"/>
      <c r="J1130" t="n">
        <v>-0.7672</v>
      </c>
      <c r="K1130" t="n">
        <v>0.869</v>
      </c>
      <c r="L1130" t="n">
        <v>0.131</v>
      </c>
      <c r="M1130" t="n">
        <v>0</v>
      </c>
    </row>
    <row r="1131" spans="1:13">
      <c r="A1131" s="1">
        <f>HYPERLINK("http://www.twitter.com/NathanBLawrence/status/989320473950515200", "989320473950515200")</f>
        <v/>
      </c>
      <c r="B1131" s="2" t="n">
        <v>43216.07587962963</v>
      </c>
      <c r="C1131" t="n">
        <v>0</v>
      </c>
      <c r="D1131" t="n">
        <v>0</v>
      </c>
      <c r="E1131" t="s">
        <v>1142</v>
      </c>
      <c r="F1131" t="s"/>
      <c r="G1131" t="s"/>
      <c r="H1131" t="s"/>
      <c r="I1131" t="s"/>
      <c r="J1131" t="n">
        <v>0</v>
      </c>
      <c r="K1131" t="n">
        <v>0</v>
      </c>
      <c r="L1131" t="n">
        <v>1</v>
      </c>
      <c r="M1131" t="n">
        <v>0</v>
      </c>
    </row>
    <row r="1132" spans="1:13">
      <c r="A1132" s="1">
        <f>HYPERLINK("http://www.twitter.com/NathanBLawrence/status/989320221369520129", "989320221369520129")</f>
        <v/>
      </c>
      <c r="B1132" s="2" t="n">
        <v>43216.07518518518</v>
      </c>
      <c r="C1132" t="n">
        <v>0</v>
      </c>
      <c r="D1132" t="n">
        <v>1</v>
      </c>
      <c r="E1132" t="s">
        <v>1143</v>
      </c>
      <c r="F1132" t="s"/>
      <c r="G1132" t="s"/>
      <c r="H1132" t="s"/>
      <c r="I1132" t="s"/>
      <c r="J1132" t="n">
        <v>-0.4559</v>
      </c>
      <c r="K1132" t="n">
        <v>0.199</v>
      </c>
      <c r="L1132" t="n">
        <v>0.801</v>
      </c>
      <c r="M1132" t="n">
        <v>0</v>
      </c>
    </row>
    <row r="1133" spans="1:13">
      <c r="A1133" s="1">
        <f>HYPERLINK("http://www.twitter.com/NathanBLawrence/status/989315898753404928", "989315898753404928")</f>
        <v/>
      </c>
      <c r="B1133" s="2" t="n">
        <v>43216.06325231482</v>
      </c>
      <c r="C1133" t="n">
        <v>2</v>
      </c>
      <c r="D1133" t="n">
        <v>1</v>
      </c>
      <c r="E1133" t="s">
        <v>1144</v>
      </c>
      <c r="F1133" t="s"/>
      <c r="G1133" t="s"/>
      <c r="H1133" t="s"/>
      <c r="I1133" t="s"/>
      <c r="J1133" t="n">
        <v>0.8807</v>
      </c>
      <c r="K1133" t="n">
        <v>0.057</v>
      </c>
      <c r="L1133" t="n">
        <v>0.648</v>
      </c>
      <c r="M1133" t="n">
        <v>0.295</v>
      </c>
    </row>
    <row r="1134" spans="1:13">
      <c r="A1134" s="1">
        <f>HYPERLINK("http://www.twitter.com/NathanBLawrence/status/989315362452799489", "989315362452799489")</f>
        <v/>
      </c>
      <c r="B1134" s="2" t="n">
        <v>43216.06177083333</v>
      </c>
      <c r="C1134" t="n">
        <v>0</v>
      </c>
      <c r="D1134" t="n">
        <v>0</v>
      </c>
      <c r="E1134" t="s">
        <v>1145</v>
      </c>
      <c r="F1134" t="s"/>
      <c r="G1134" t="s"/>
      <c r="H1134" t="s"/>
      <c r="I1134" t="s"/>
      <c r="J1134" t="n">
        <v>0</v>
      </c>
      <c r="K1134" t="n">
        <v>0</v>
      </c>
      <c r="L1134" t="n">
        <v>1</v>
      </c>
      <c r="M1134" t="n">
        <v>0</v>
      </c>
    </row>
    <row r="1135" spans="1:13">
      <c r="A1135" s="1">
        <f>HYPERLINK("http://www.twitter.com/NathanBLawrence/status/989314800248344576", "989314800248344576")</f>
        <v/>
      </c>
      <c r="B1135" s="2" t="n">
        <v>43216.06021990741</v>
      </c>
      <c r="C1135" t="n">
        <v>0</v>
      </c>
      <c r="D1135" t="n">
        <v>0</v>
      </c>
      <c r="E1135" t="s">
        <v>1146</v>
      </c>
      <c r="F1135" t="s"/>
      <c r="G1135" t="s"/>
      <c r="H1135" t="s"/>
      <c r="I1135" t="s"/>
      <c r="J1135" t="n">
        <v>-0.1027</v>
      </c>
      <c r="K1135" t="n">
        <v>0.121</v>
      </c>
      <c r="L1135" t="n">
        <v>0.777</v>
      </c>
      <c r="M1135" t="n">
        <v>0.102</v>
      </c>
    </row>
    <row r="1136" spans="1:13">
      <c r="A1136" s="1">
        <f>HYPERLINK("http://www.twitter.com/NathanBLawrence/status/989314245715210240", "989314245715210240")</f>
        <v/>
      </c>
      <c r="B1136" s="2" t="n">
        <v>43216.05869212963</v>
      </c>
      <c r="C1136" t="n">
        <v>2</v>
      </c>
      <c r="D1136" t="n">
        <v>0</v>
      </c>
      <c r="E1136" t="s">
        <v>1147</v>
      </c>
      <c r="F1136" t="s"/>
      <c r="G1136" t="s"/>
      <c r="H1136" t="s"/>
      <c r="I1136" t="s"/>
      <c r="J1136" t="n">
        <v>0.3147</v>
      </c>
      <c r="K1136" t="n">
        <v>0</v>
      </c>
      <c r="L1136" t="n">
        <v>0.875</v>
      </c>
      <c r="M1136" t="n">
        <v>0.125</v>
      </c>
    </row>
    <row r="1137" spans="1:13">
      <c r="A1137" s="1">
        <f>HYPERLINK("http://www.twitter.com/NathanBLawrence/status/989313572453978112", "989313572453978112")</f>
        <v/>
      </c>
      <c r="B1137" s="2" t="n">
        <v>43216.0568287037</v>
      </c>
      <c r="C1137" t="n">
        <v>1</v>
      </c>
      <c r="D1137" t="n">
        <v>0</v>
      </c>
      <c r="E1137" t="s">
        <v>1148</v>
      </c>
      <c r="F1137" t="s"/>
      <c r="G1137" t="s"/>
      <c r="H1137" t="s"/>
      <c r="I1137" t="s"/>
      <c r="J1137" t="n">
        <v>0</v>
      </c>
      <c r="K1137" t="n">
        <v>0</v>
      </c>
      <c r="L1137" t="n">
        <v>1</v>
      </c>
      <c r="M1137" t="n">
        <v>0</v>
      </c>
    </row>
    <row r="1138" spans="1:13">
      <c r="A1138" s="1">
        <f>HYPERLINK("http://www.twitter.com/NathanBLawrence/status/989312083450892289", "989312083450892289")</f>
        <v/>
      </c>
      <c r="B1138" s="2" t="n">
        <v>43216.05271990741</v>
      </c>
      <c r="C1138" t="n">
        <v>0</v>
      </c>
      <c r="D1138" t="n">
        <v>0</v>
      </c>
      <c r="E1138" t="s">
        <v>1149</v>
      </c>
      <c r="F1138" t="s"/>
      <c r="G1138" t="s"/>
      <c r="H1138" t="s"/>
      <c r="I1138" t="s"/>
      <c r="J1138" t="n">
        <v>0</v>
      </c>
      <c r="K1138" t="n">
        <v>0</v>
      </c>
      <c r="L1138" t="n">
        <v>1</v>
      </c>
      <c r="M1138" t="n">
        <v>0</v>
      </c>
    </row>
    <row r="1139" spans="1:13">
      <c r="A1139" s="1">
        <f>HYPERLINK("http://www.twitter.com/NathanBLawrence/status/989311154173480961", "989311154173480961")</f>
        <v/>
      </c>
      <c r="B1139" s="2" t="n">
        <v>43216.05016203703</v>
      </c>
      <c r="C1139" t="n">
        <v>0</v>
      </c>
      <c r="D1139" t="n">
        <v>0</v>
      </c>
      <c r="E1139" t="s">
        <v>1150</v>
      </c>
      <c r="F1139" t="s"/>
      <c r="G1139" t="s"/>
      <c r="H1139" t="s"/>
      <c r="I1139" t="s"/>
      <c r="J1139" t="n">
        <v>0.296</v>
      </c>
      <c r="K1139" t="n">
        <v>0</v>
      </c>
      <c r="L1139" t="n">
        <v>0.845</v>
      </c>
      <c r="M1139" t="n">
        <v>0.155</v>
      </c>
    </row>
    <row r="1140" spans="1:13">
      <c r="A1140" s="1">
        <f>HYPERLINK("http://www.twitter.com/NathanBLawrence/status/989307798235295744", "989307798235295744")</f>
        <v/>
      </c>
      <c r="B1140" s="2" t="n">
        <v>43216.04090277778</v>
      </c>
      <c r="C1140" t="n">
        <v>0</v>
      </c>
      <c r="D1140" t="n">
        <v>0</v>
      </c>
      <c r="E1140" t="s">
        <v>1151</v>
      </c>
      <c r="F1140" t="s"/>
      <c r="G1140" t="s"/>
      <c r="H1140" t="s"/>
      <c r="I1140" t="s"/>
      <c r="J1140" t="n">
        <v>-0.8176</v>
      </c>
      <c r="K1140" t="n">
        <v>0.789</v>
      </c>
      <c r="L1140" t="n">
        <v>0.211</v>
      </c>
      <c r="M1140" t="n">
        <v>0</v>
      </c>
    </row>
    <row r="1141" spans="1:13">
      <c r="A1141" s="1">
        <f>HYPERLINK("http://www.twitter.com/NathanBLawrence/status/989307193240489985", "989307193240489985")</f>
        <v/>
      </c>
      <c r="B1141" s="2" t="n">
        <v>43216.03922453704</v>
      </c>
      <c r="C1141" t="n">
        <v>1</v>
      </c>
      <c r="D1141" t="n">
        <v>0</v>
      </c>
      <c r="E1141" t="s">
        <v>1152</v>
      </c>
      <c r="F1141" t="s"/>
      <c r="G1141" t="s"/>
      <c r="H1141" t="s"/>
      <c r="I1141" t="s"/>
      <c r="J1141" t="n">
        <v>0.2263</v>
      </c>
      <c r="K1141" t="n">
        <v>0</v>
      </c>
      <c r="L1141" t="n">
        <v>0.905</v>
      </c>
      <c r="M1141" t="n">
        <v>0.095</v>
      </c>
    </row>
    <row r="1142" spans="1:13">
      <c r="A1142" s="1">
        <f>HYPERLINK("http://www.twitter.com/NathanBLawrence/status/989306504334446592", "989306504334446592")</f>
        <v/>
      </c>
      <c r="B1142" s="2" t="n">
        <v>43216.03732638889</v>
      </c>
      <c r="C1142" t="n">
        <v>2</v>
      </c>
      <c r="D1142" t="n">
        <v>0</v>
      </c>
      <c r="E1142" t="s">
        <v>1153</v>
      </c>
      <c r="F1142" t="s"/>
      <c r="G1142" t="s"/>
      <c r="H1142" t="s"/>
      <c r="I1142" t="s"/>
      <c r="J1142" t="n">
        <v>-0.357</v>
      </c>
      <c r="K1142" t="n">
        <v>0.262</v>
      </c>
      <c r="L1142" t="n">
        <v>0.738</v>
      </c>
      <c r="M1142" t="n">
        <v>0</v>
      </c>
    </row>
    <row r="1143" spans="1:13">
      <c r="A1143" s="1">
        <f>HYPERLINK("http://www.twitter.com/NathanBLawrence/status/989305938908729344", "989305938908729344")</f>
        <v/>
      </c>
      <c r="B1143" s="2" t="n">
        <v>43216.03576388889</v>
      </c>
      <c r="C1143" t="n">
        <v>2</v>
      </c>
      <c r="D1143" t="n">
        <v>0</v>
      </c>
      <c r="E1143" t="s">
        <v>1154</v>
      </c>
      <c r="F1143" t="s"/>
      <c r="G1143" t="s"/>
      <c r="H1143" t="s"/>
      <c r="I1143" t="s"/>
      <c r="J1143" t="n">
        <v>0.2263</v>
      </c>
      <c r="K1143" t="n">
        <v>0</v>
      </c>
      <c r="L1143" t="n">
        <v>0.954</v>
      </c>
      <c r="M1143" t="n">
        <v>0.046</v>
      </c>
    </row>
    <row r="1144" spans="1:13">
      <c r="A1144" s="1">
        <f>HYPERLINK("http://www.twitter.com/NathanBLawrence/status/989302369212076033", "989302369212076033")</f>
        <v/>
      </c>
      <c r="B1144" s="2" t="n">
        <v>43216.02591435185</v>
      </c>
      <c r="C1144" t="n">
        <v>2</v>
      </c>
      <c r="D1144" t="n">
        <v>0</v>
      </c>
      <c r="E1144" t="s">
        <v>1155</v>
      </c>
      <c r="F1144">
        <f>HYPERLINK("http://pbs.twimg.com/media/Dbq1OksU8AADyl0.jpg", "http://pbs.twimg.com/media/Dbq1OksU8AADyl0.jpg")</f>
        <v/>
      </c>
      <c r="G1144" t="s"/>
      <c r="H1144" t="s"/>
      <c r="I1144" t="s"/>
      <c r="J1144" t="n">
        <v>0.296</v>
      </c>
      <c r="K1144" t="n">
        <v>0</v>
      </c>
      <c r="L1144" t="n">
        <v>0.784</v>
      </c>
      <c r="M1144" t="n">
        <v>0.216</v>
      </c>
    </row>
    <row r="1145" spans="1:13">
      <c r="A1145" s="1">
        <f>HYPERLINK("http://www.twitter.com/NathanBLawrence/status/989301695510470656", "989301695510470656")</f>
        <v/>
      </c>
      <c r="B1145" s="2" t="n">
        <v>43216.0240625</v>
      </c>
      <c r="C1145" t="n">
        <v>0</v>
      </c>
      <c r="D1145" t="n">
        <v>0</v>
      </c>
      <c r="E1145" t="s">
        <v>1156</v>
      </c>
      <c r="F1145">
        <f>HYPERLINK("http://pbs.twimg.com/media/Dbq0oumVwAA50LG.jpg", "http://pbs.twimg.com/media/Dbq0oumVwAA50LG.jpg")</f>
        <v/>
      </c>
      <c r="G1145" t="s"/>
      <c r="H1145" t="s"/>
      <c r="I1145" t="s"/>
      <c r="J1145" t="n">
        <v>0.4939</v>
      </c>
      <c r="K1145" t="n">
        <v>0</v>
      </c>
      <c r="L1145" t="n">
        <v>0.652</v>
      </c>
      <c r="M1145" t="n">
        <v>0.348</v>
      </c>
    </row>
    <row r="1146" spans="1:13">
      <c r="A1146" s="1">
        <f>HYPERLINK("http://www.twitter.com/NathanBLawrence/status/989294529487540225", "989294529487540225")</f>
        <v/>
      </c>
      <c r="B1146" s="2" t="n">
        <v>43216.0042824074</v>
      </c>
      <c r="C1146" t="n">
        <v>11</v>
      </c>
      <c r="D1146" t="n">
        <v>0</v>
      </c>
      <c r="E1146" t="s">
        <v>1157</v>
      </c>
      <c r="F1146">
        <f>HYPERLINK("http://pbs.twimg.com/media/DbquIVzUQAAh7jB.jpg", "http://pbs.twimg.com/media/DbquIVzUQAAh7jB.jpg")</f>
        <v/>
      </c>
      <c r="G1146" t="s"/>
      <c r="H1146" t="s"/>
      <c r="I1146" t="s"/>
      <c r="J1146" t="n">
        <v>0.922</v>
      </c>
      <c r="K1146" t="n">
        <v>0</v>
      </c>
      <c r="L1146" t="n">
        <v>0.653</v>
      </c>
      <c r="M1146" t="n">
        <v>0.347</v>
      </c>
    </row>
    <row r="1147" spans="1:13">
      <c r="A1147" s="1">
        <f>HYPERLINK("http://www.twitter.com/NathanBLawrence/status/989274110285893632", "989274110285893632")</f>
        <v/>
      </c>
      <c r="B1147" s="2" t="n">
        <v>43215.94793981482</v>
      </c>
      <c r="C1147" t="n">
        <v>4</v>
      </c>
      <c r="D1147" t="n">
        <v>3</v>
      </c>
      <c r="E1147" t="s">
        <v>1158</v>
      </c>
      <c r="F1147" t="s"/>
      <c r="G1147" t="s"/>
      <c r="H1147" t="s"/>
      <c r="I1147" t="s"/>
      <c r="J1147" t="n">
        <v>0.4019</v>
      </c>
      <c r="K1147" t="n">
        <v>0</v>
      </c>
      <c r="L1147" t="n">
        <v>0.8159999999999999</v>
      </c>
      <c r="M1147" t="n">
        <v>0.184</v>
      </c>
    </row>
    <row r="1148" spans="1:13">
      <c r="A1148" s="1">
        <f>HYPERLINK("http://www.twitter.com/NathanBLawrence/status/989270362859982848", "989270362859982848")</f>
        <v/>
      </c>
      <c r="B1148" s="2" t="n">
        <v>43215.93759259259</v>
      </c>
      <c r="C1148" t="n">
        <v>1</v>
      </c>
      <c r="D1148" t="n">
        <v>0</v>
      </c>
      <c r="E1148" t="s">
        <v>1159</v>
      </c>
      <c r="F1148" t="s"/>
      <c r="G1148" t="s"/>
      <c r="H1148" t="s"/>
      <c r="I1148" t="s"/>
      <c r="J1148" t="n">
        <v>0.2905</v>
      </c>
      <c r="K1148" t="n">
        <v>0</v>
      </c>
      <c r="L1148" t="n">
        <v>0.917</v>
      </c>
      <c r="M1148" t="n">
        <v>0.083</v>
      </c>
    </row>
    <row r="1149" spans="1:13">
      <c r="A1149" s="1">
        <f>HYPERLINK("http://www.twitter.com/NathanBLawrence/status/989270195444355072", "989270195444355072")</f>
        <v/>
      </c>
      <c r="B1149" s="2" t="n">
        <v>43215.93714120371</v>
      </c>
      <c r="C1149" t="n">
        <v>0</v>
      </c>
      <c r="D1149" t="n">
        <v>0</v>
      </c>
      <c r="E1149" t="s">
        <v>1160</v>
      </c>
      <c r="F1149" t="s"/>
      <c r="G1149" t="s"/>
      <c r="H1149" t="s"/>
      <c r="I1149" t="s"/>
      <c r="J1149" t="n">
        <v>0</v>
      </c>
      <c r="K1149" t="n">
        <v>0</v>
      </c>
      <c r="L1149" t="n">
        <v>1</v>
      </c>
      <c r="M1149" t="n">
        <v>0</v>
      </c>
    </row>
    <row r="1150" spans="1:13">
      <c r="A1150" s="1">
        <f>HYPERLINK("http://www.twitter.com/NathanBLawrence/status/989269884432453632", "989269884432453632")</f>
        <v/>
      </c>
      <c r="B1150" s="2" t="n">
        <v>43215.93627314815</v>
      </c>
      <c r="C1150" t="n">
        <v>0</v>
      </c>
      <c r="D1150" t="n">
        <v>0</v>
      </c>
      <c r="E1150" t="s">
        <v>1161</v>
      </c>
      <c r="F1150" t="s"/>
      <c r="G1150" t="s"/>
      <c r="H1150" t="s"/>
      <c r="I1150" t="s"/>
      <c r="J1150" t="n">
        <v>0.5473</v>
      </c>
      <c r="K1150" t="n">
        <v>0</v>
      </c>
      <c r="L1150" t="n">
        <v>0.85</v>
      </c>
      <c r="M1150" t="n">
        <v>0.15</v>
      </c>
    </row>
    <row r="1151" spans="1:13">
      <c r="A1151" s="1">
        <f>HYPERLINK("http://www.twitter.com/NathanBLawrence/status/989248843060363265", "989248843060363265")</f>
        <v/>
      </c>
      <c r="B1151" s="2" t="n">
        <v>43215.8782175926</v>
      </c>
      <c r="C1151" t="n">
        <v>8</v>
      </c>
      <c r="D1151" t="n">
        <v>2</v>
      </c>
      <c r="E1151" t="s">
        <v>1162</v>
      </c>
      <c r="F1151" t="s"/>
      <c r="G1151" t="s"/>
      <c r="H1151" t="s"/>
      <c r="I1151" t="s"/>
      <c r="J1151" t="n">
        <v>-0.4767</v>
      </c>
      <c r="K1151" t="n">
        <v>0.081</v>
      </c>
      <c r="L1151" t="n">
        <v>0.919</v>
      </c>
      <c r="M1151" t="n">
        <v>0</v>
      </c>
    </row>
    <row r="1152" spans="1:13">
      <c r="A1152" s="1">
        <f>HYPERLINK("http://www.twitter.com/NathanBLawrence/status/989246131329740801", "989246131329740801")</f>
        <v/>
      </c>
      <c r="B1152" s="2" t="n">
        <v>43215.87072916667</v>
      </c>
      <c r="C1152" t="n">
        <v>0</v>
      </c>
      <c r="D1152" t="n">
        <v>0</v>
      </c>
      <c r="E1152" t="s">
        <v>1163</v>
      </c>
      <c r="F1152" t="s"/>
      <c r="G1152" t="s"/>
      <c r="H1152" t="s"/>
      <c r="I1152" t="s"/>
      <c r="J1152" t="n">
        <v>0</v>
      </c>
      <c r="K1152" t="n">
        <v>0</v>
      </c>
      <c r="L1152" t="n">
        <v>1</v>
      </c>
      <c r="M1152" t="n">
        <v>0</v>
      </c>
    </row>
    <row r="1153" spans="1:13">
      <c r="A1153" s="1">
        <f>HYPERLINK("http://www.twitter.com/NathanBLawrence/status/989199219486535680", "989199219486535680")</f>
        <v/>
      </c>
      <c r="B1153" s="2" t="n">
        <v>43215.74128472222</v>
      </c>
      <c r="C1153" t="n">
        <v>0</v>
      </c>
      <c r="D1153" t="n">
        <v>3</v>
      </c>
      <c r="E1153" t="s">
        <v>1164</v>
      </c>
      <c r="F1153" t="s"/>
      <c r="G1153" t="s"/>
      <c r="H1153" t="s"/>
      <c r="I1153" t="s"/>
      <c r="J1153" t="n">
        <v>-0.0258</v>
      </c>
      <c r="K1153" t="n">
        <v>0.111</v>
      </c>
      <c r="L1153" t="n">
        <v>0.783</v>
      </c>
      <c r="M1153" t="n">
        <v>0.106</v>
      </c>
    </row>
    <row r="1154" spans="1:13">
      <c r="A1154" s="1">
        <f>HYPERLINK("http://www.twitter.com/NathanBLawrence/status/989199009498714112", "989199009498714112")</f>
        <v/>
      </c>
      <c r="B1154" s="2" t="n">
        <v>43215.74069444444</v>
      </c>
      <c r="C1154" t="n">
        <v>0</v>
      </c>
      <c r="D1154" t="n">
        <v>2</v>
      </c>
      <c r="E1154" t="s">
        <v>1165</v>
      </c>
      <c r="F1154">
        <f>HYPERLINK("http://pbs.twimg.com/media/DbpWRaSU0AAGZK3.jpg", "http://pbs.twimg.com/media/DbpWRaSU0AAGZK3.jpg")</f>
        <v/>
      </c>
      <c r="G1154" t="s"/>
      <c r="H1154" t="s"/>
      <c r="I1154" t="s"/>
      <c r="J1154" t="n">
        <v>0</v>
      </c>
      <c r="K1154" t="n">
        <v>0</v>
      </c>
      <c r="L1154" t="n">
        <v>1</v>
      </c>
      <c r="M1154" t="n">
        <v>0</v>
      </c>
    </row>
    <row r="1155" spans="1:13">
      <c r="A1155" s="1">
        <f>HYPERLINK("http://www.twitter.com/NathanBLawrence/status/989198703356497922", "989198703356497922")</f>
        <v/>
      </c>
      <c r="B1155" s="2" t="n">
        <v>43215.73984953704</v>
      </c>
      <c r="C1155" t="n">
        <v>0</v>
      </c>
      <c r="D1155" t="n">
        <v>0</v>
      </c>
      <c r="E1155" t="s">
        <v>1166</v>
      </c>
      <c r="F1155" t="s"/>
      <c r="G1155" t="s"/>
      <c r="H1155" t="s"/>
      <c r="I1155" t="s"/>
      <c r="J1155" t="n">
        <v>0</v>
      </c>
      <c r="K1155" t="n">
        <v>0</v>
      </c>
      <c r="L1155" t="n">
        <v>1</v>
      </c>
      <c r="M1155" t="n">
        <v>0</v>
      </c>
    </row>
    <row r="1156" spans="1:13">
      <c r="A1156" s="1">
        <f>HYPERLINK("http://www.twitter.com/NathanBLawrence/status/989198534065913856", "989198534065913856")</f>
        <v/>
      </c>
      <c r="B1156" s="2" t="n">
        <v>43215.73938657407</v>
      </c>
      <c r="C1156" t="n">
        <v>1</v>
      </c>
      <c r="D1156" t="n">
        <v>0</v>
      </c>
      <c r="E1156" t="s">
        <v>1167</v>
      </c>
      <c r="F1156" t="s"/>
      <c r="G1156" t="s"/>
      <c r="H1156" t="s"/>
      <c r="I1156" t="s"/>
      <c r="J1156" t="n">
        <v>0</v>
      </c>
      <c r="K1156" t="n">
        <v>0</v>
      </c>
      <c r="L1156" t="n">
        <v>1</v>
      </c>
      <c r="M1156" t="n">
        <v>0</v>
      </c>
    </row>
    <row r="1157" spans="1:13">
      <c r="A1157" s="1">
        <f>HYPERLINK("http://www.twitter.com/NathanBLawrence/status/989198343585914880", "989198343585914880")</f>
        <v/>
      </c>
      <c r="B1157" s="2" t="n">
        <v>43215.73886574074</v>
      </c>
      <c r="C1157" t="n">
        <v>0</v>
      </c>
      <c r="D1157" t="n">
        <v>0</v>
      </c>
      <c r="E1157" t="s">
        <v>1168</v>
      </c>
      <c r="F1157" t="s"/>
      <c r="G1157" t="s"/>
      <c r="H1157" t="s"/>
      <c r="I1157" t="s"/>
      <c r="J1157" t="n">
        <v>0</v>
      </c>
      <c r="K1157" t="n">
        <v>0</v>
      </c>
      <c r="L1157" t="n">
        <v>1</v>
      </c>
      <c r="M1157" t="n">
        <v>0</v>
      </c>
    </row>
    <row r="1158" spans="1:13">
      <c r="A1158" s="1">
        <f>HYPERLINK("http://www.twitter.com/NathanBLawrence/status/989197908766584832", "989197908766584832")</f>
        <v/>
      </c>
      <c r="B1158" s="2" t="n">
        <v>43215.73766203703</v>
      </c>
      <c r="C1158" t="n">
        <v>1</v>
      </c>
      <c r="D1158" t="n">
        <v>0</v>
      </c>
      <c r="E1158" t="s">
        <v>1169</v>
      </c>
      <c r="F1158" t="s"/>
      <c r="G1158" t="s"/>
      <c r="H1158" t="s"/>
      <c r="I1158" t="s"/>
      <c r="J1158" t="n">
        <v>0</v>
      </c>
      <c r="K1158" t="n">
        <v>0</v>
      </c>
      <c r="L1158" t="n">
        <v>1</v>
      </c>
      <c r="M1158" t="n">
        <v>0</v>
      </c>
    </row>
    <row r="1159" spans="1:13">
      <c r="A1159" s="1">
        <f>HYPERLINK("http://www.twitter.com/NathanBLawrence/status/989197636975525888", "989197636975525888")</f>
        <v/>
      </c>
      <c r="B1159" s="2" t="n">
        <v>43215.73690972223</v>
      </c>
      <c r="C1159" t="n">
        <v>0</v>
      </c>
      <c r="D1159" t="n">
        <v>0</v>
      </c>
      <c r="E1159" t="s">
        <v>1170</v>
      </c>
      <c r="F1159" t="s"/>
      <c r="G1159" t="s"/>
      <c r="H1159" t="s"/>
      <c r="I1159" t="s"/>
      <c r="J1159" t="n">
        <v>0.2942</v>
      </c>
      <c r="K1159" t="n">
        <v>0</v>
      </c>
      <c r="L1159" t="n">
        <v>0.865</v>
      </c>
      <c r="M1159" t="n">
        <v>0.135</v>
      </c>
    </row>
    <row r="1160" spans="1:13">
      <c r="A1160" s="1">
        <f>HYPERLINK("http://www.twitter.com/NathanBLawrence/status/989194047079288832", "989194047079288832")</f>
        <v/>
      </c>
      <c r="B1160" s="2" t="n">
        <v>43215.72700231482</v>
      </c>
      <c r="C1160" t="n">
        <v>0</v>
      </c>
      <c r="D1160" t="n">
        <v>3</v>
      </c>
      <c r="E1160" t="s">
        <v>1171</v>
      </c>
      <c r="F1160" t="s"/>
      <c r="G1160" t="s"/>
      <c r="H1160" t="s"/>
      <c r="I1160" t="s"/>
      <c r="J1160" t="n">
        <v>0</v>
      </c>
      <c r="K1160" t="n">
        <v>0</v>
      </c>
      <c r="L1160" t="n">
        <v>1</v>
      </c>
      <c r="M1160" t="n">
        <v>0</v>
      </c>
    </row>
    <row r="1161" spans="1:13">
      <c r="A1161" s="1">
        <f>HYPERLINK("http://www.twitter.com/NathanBLawrence/status/989193620061376512", "989193620061376512")</f>
        <v/>
      </c>
      <c r="B1161" s="2" t="n">
        <v>43215.72583333333</v>
      </c>
      <c r="C1161" t="n">
        <v>2</v>
      </c>
      <c r="D1161" t="n">
        <v>0</v>
      </c>
      <c r="E1161" t="s">
        <v>1172</v>
      </c>
      <c r="F1161" t="s"/>
      <c r="G1161" t="s"/>
      <c r="H1161" t="s"/>
      <c r="I1161" t="s"/>
      <c r="J1161" t="n">
        <v>0</v>
      </c>
      <c r="K1161" t="n">
        <v>0</v>
      </c>
      <c r="L1161" t="n">
        <v>1</v>
      </c>
      <c r="M1161" t="n">
        <v>0</v>
      </c>
    </row>
    <row r="1162" spans="1:13">
      <c r="A1162" s="1">
        <f>HYPERLINK("http://www.twitter.com/NathanBLawrence/status/989193508513869824", "989193508513869824")</f>
        <v/>
      </c>
      <c r="B1162" s="2" t="n">
        <v>43215.72552083333</v>
      </c>
      <c r="C1162" t="n">
        <v>0</v>
      </c>
      <c r="D1162" t="n">
        <v>0</v>
      </c>
      <c r="E1162" t="s">
        <v>1173</v>
      </c>
      <c r="F1162" t="s"/>
      <c r="G1162" t="s"/>
      <c r="H1162" t="s"/>
      <c r="I1162" t="s"/>
      <c r="J1162" t="n">
        <v>0</v>
      </c>
      <c r="K1162" t="n">
        <v>0</v>
      </c>
      <c r="L1162" t="n">
        <v>1</v>
      </c>
      <c r="M1162" t="n">
        <v>0</v>
      </c>
    </row>
    <row r="1163" spans="1:13">
      <c r="A1163" s="1">
        <f>HYPERLINK("http://www.twitter.com/NathanBLawrence/status/989192761084661761", "989192761084661761")</f>
        <v/>
      </c>
      <c r="B1163" s="2" t="n">
        <v>43215.72346064815</v>
      </c>
      <c r="C1163" t="n">
        <v>1</v>
      </c>
      <c r="D1163" t="n">
        <v>0</v>
      </c>
      <c r="E1163" t="s">
        <v>1174</v>
      </c>
      <c r="F1163" t="s"/>
      <c r="G1163" t="s"/>
      <c r="H1163" t="s"/>
      <c r="I1163" t="s"/>
      <c r="J1163" t="n">
        <v>0.7534999999999999</v>
      </c>
      <c r="K1163" t="n">
        <v>0</v>
      </c>
      <c r="L1163" t="n">
        <v>0.705</v>
      </c>
      <c r="M1163" t="n">
        <v>0.295</v>
      </c>
    </row>
    <row r="1164" spans="1:13">
      <c r="A1164" s="1">
        <f>HYPERLINK("http://www.twitter.com/NathanBLawrence/status/989172990993686528", "989172990993686528")</f>
        <v/>
      </c>
      <c r="B1164" s="2" t="n">
        <v>43215.66890046297</v>
      </c>
      <c r="C1164" t="n">
        <v>1</v>
      </c>
      <c r="D1164" t="n">
        <v>0</v>
      </c>
      <c r="E1164" t="s">
        <v>1175</v>
      </c>
      <c r="F1164" t="s"/>
      <c r="G1164" t="s"/>
      <c r="H1164" t="s"/>
      <c r="I1164" t="s"/>
      <c r="J1164" t="n">
        <v>0.5229</v>
      </c>
      <c r="K1164" t="n">
        <v>0</v>
      </c>
      <c r="L1164" t="n">
        <v>0.542</v>
      </c>
      <c r="M1164" t="n">
        <v>0.458</v>
      </c>
    </row>
    <row r="1165" spans="1:13">
      <c r="A1165" s="1">
        <f>HYPERLINK("http://www.twitter.com/NathanBLawrence/status/989168746806808576", "989168746806808576")</f>
        <v/>
      </c>
      <c r="B1165" s="2" t="n">
        <v>43215.6571875</v>
      </c>
      <c r="C1165" t="n">
        <v>9</v>
      </c>
      <c r="D1165" t="n">
        <v>3</v>
      </c>
      <c r="E1165" t="s">
        <v>1176</v>
      </c>
      <c r="F1165" t="s"/>
      <c r="G1165" t="s"/>
      <c r="H1165" t="s"/>
      <c r="I1165" t="s"/>
      <c r="J1165" t="n">
        <v>0.4574</v>
      </c>
      <c r="K1165" t="n">
        <v>0</v>
      </c>
      <c r="L1165" t="n">
        <v>0.77</v>
      </c>
      <c r="M1165" t="n">
        <v>0.23</v>
      </c>
    </row>
    <row r="1166" spans="1:13">
      <c r="A1166" s="1">
        <f>HYPERLINK("http://www.twitter.com/NathanBLawrence/status/989168316597010432", "989168316597010432")</f>
        <v/>
      </c>
      <c r="B1166" s="2" t="n">
        <v>43215.65600694445</v>
      </c>
      <c r="C1166" t="n">
        <v>0</v>
      </c>
      <c r="D1166" t="n">
        <v>0</v>
      </c>
      <c r="E1166" t="s">
        <v>1177</v>
      </c>
      <c r="F1166" t="s"/>
      <c r="G1166" t="s"/>
      <c r="H1166" t="s"/>
      <c r="I1166" t="s"/>
      <c r="J1166" t="n">
        <v>-0.2023</v>
      </c>
      <c r="K1166" t="n">
        <v>0.406</v>
      </c>
      <c r="L1166" t="n">
        <v>0.312</v>
      </c>
      <c r="M1166" t="n">
        <v>0.281</v>
      </c>
    </row>
    <row r="1167" spans="1:13">
      <c r="A1167" s="1">
        <f>HYPERLINK("http://www.twitter.com/NathanBLawrence/status/989167678656077829", "989167678656077829")</f>
        <v/>
      </c>
      <c r="B1167" s="2" t="n">
        <v>43215.65424768518</v>
      </c>
      <c r="C1167" t="n">
        <v>0</v>
      </c>
      <c r="D1167" t="n">
        <v>384</v>
      </c>
      <c r="E1167" t="s">
        <v>1178</v>
      </c>
      <c r="F1167">
        <f>HYPERLINK("http://pbs.twimg.com/media/DbkZhNmWkAAJAuR.jpg", "http://pbs.twimg.com/media/DbkZhNmWkAAJAuR.jpg")</f>
        <v/>
      </c>
      <c r="G1167" t="s"/>
      <c r="H1167" t="s"/>
      <c r="I1167" t="s"/>
      <c r="J1167" t="n">
        <v>0.4939</v>
      </c>
      <c r="K1167" t="n">
        <v>0</v>
      </c>
      <c r="L1167" t="n">
        <v>0.878</v>
      </c>
      <c r="M1167" t="n">
        <v>0.122</v>
      </c>
    </row>
    <row r="1168" spans="1:13">
      <c r="A1168" s="1">
        <f>HYPERLINK("http://www.twitter.com/NathanBLawrence/status/989167388053602305", "989167388053602305")</f>
        <v/>
      </c>
      <c r="B1168" s="2" t="n">
        <v>43215.6534375</v>
      </c>
      <c r="C1168" t="n">
        <v>11</v>
      </c>
      <c r="D1168" t="n">
        <v>6</v>
      </c>
      <c r="E1168" t="s">
        <v>1179</v>
      </c>
      <c r="F1168" t="s"/>
      <c r="G1168" t="s"/>
      <c r="H1168" t="s"/>
      <c r="I1168" t="s"/>
      <c r="J1168" t="n">
        <v>0.3612</v>
      </c>
      <c r="K1168" t="n">
        <v>0</v>
      </c>
      <c r="L1168" t="n">
        <v>0.878</v>
      </c>
      <c r="M1168" t="n">
        <v>0.122</v>
      </c>
    </row>
    <row r="1169" spans="1:13">
      <c r="A1169" s="1">
        <f>HYPERLINK("http://www.twitter.com/NathanBLawrence/status/989166907558383618", "989166907558383618")</f>
        <v/>
      </c>
      <c r="B1169" s="2" t="n">
        <v>43215.65211805556</v>
      </c>
      <c r="C1169" t="n">
        <v>3</v>
      </c>
      <c r="D1169" t="n">
        <v>0</v>
      </c>
      <c r="E1169" t="s">
        <v>1180</v>
      </c>
      <c r="F1169" t="s"/>
      <c r="G1169" t="s"/>
      <c r="H1169" t="s"/>
      <c r="I1169" t="s"/>
      <c r="J1169" t="n">
        <v>0.6792</v>
      </c>
      <c r="K1169" t="n">
        <v>0</v>
      </c>
      <c r="L1169" t="n">
        <v>0.604</v>
      </c>
      <c r="M1169" t="n">
        <v>0.396</v>
      </c>
    </row>
    <row r="1170" spans="1:13">
      <c r="A1170" s="1">
        <f>HYPERLINK("http://www.twitter.com/NathanBLawrence/status/989166849240821761", "989166849240821761")</f>
        <v/>
      </c>
      <c r="B1170" s="2" t="n">
        <v>43215.65195601852</v>
      </c>
      <c r="C1170" t="n">
        <v>2</v>
      </c>
      <c r="D1170" t="n">
        <v>0</v>
      </c>
      <c r="E1170" t="s">
        <v>1181</v>
      </c>
      <c r="F1170" t="s"/>
      <c r="G1170" t="s"/>
      <c r="H1170" t="s"/>
      <c r="I1170" t="s"/>
      <c r="J1170" t="n">
        <v>0</v>
      </c>
      <c r="K1170" t="n">
        <v>0</v>
      </c>
      <c r="L1170" t="n">
        <v>1</v>
      </c>
      <c r="M1170" t="n">
        <v>0</v>
      </c>
    </row>
    <row r="1171" spans="1:13">
      <c r="A1171" s="1">
        <f>HYPERLINK("http://www.twitter.com/NathanBLawrence/status/989166718676275200", "989166718676275200")</f>
        <v/>
      </c>
      <c r="B1171" s="2" t="n">
        <v>43215.65159722222</v>
      </c>
      <c r="C1171" t="n">
        <v>8</v>
      </c>
      <c r="D1171" t="n">
        <v>4</v>
      </c>
      <c r="E1171" t="s">
        <v>1182</v>
      </c>
      <c r="F1171" t="s"/>
      <c r="G1171" t="s"/>
      <c r="H1171" t="s"/>
      <c r="I1171" t="s"/>
      <c r="J1171" t="n">
        <v>0</v>
      </c>
      <c r="K1171" t="n">
        <v>0</v>
      </c>
      <c r="L1171" t="n">
        <v>1</v>
      </c>
      <c r="M1171" t="n">
        <v>0</v>
      </c>
    </row>
    <row r="1172" spans="1:13">
      <c r="A1172" s="1">
        <f>HYPERLINK("http://www.twitter.com/NathanBLawrence/status/989165751172034560", "989165751172034560")</f>
        <v/>
      </c>
      <c r="B1172" s="2" t="n">
        <v>43215.64892361111</v>
      </c>
      <c r="C1172" t="n">
        <v>0</v>
      </c>
      <c r="D1172" t="n">
        <v>4</v>
      </c>
      <c r="E1172" t="s">
        <v>1183</v>
      </c>
      <c r="F1172" t="s"/>
      <c r="G1172" t="s"/>
      <c r="H1172" t="s"/>
      <c r="I1172" t="s"/>
      <c r="J1172" t="n">
        <v>0</v>
      </c>
      <c r="K1172" t="n">
        <v>0</v>
      </c>
      <c r="L1172" t="n">
        <v>1</v>
      </c>
      <c r="M1172" t="n">
        <v>0</v>
      </c>
    </row>
    <row r="1173" spans="1:13">
      <c r="A1173" s="1">
        <f>HYPERLINK("http://www.twitter.com/NathanBLawrence/status/989165271100293120", "989165271100293120")</f>
        <v/>
      </c>
      <c r="B1173" s="2" t="n">
        <v>43215.64760416667</v>
      </c>
      <c r="C1173" t="n">
        <v>1</v>
      </c>
      <c r="D1173" t="n">
        <v>0</v>
      </c>
      <c r="E1173" t="s">
        <v>1184</v>
      </c>
      <c r="F1173" t="s"/>
      <c r="G1173" t="s"/>
      <c r="H1173" t="s"/>
      <c r="I1173" t="s"/>
      <c r="J1173" t="n">
        <v>0</v>
      </c>
      <c r="K1173" t="n">
        <v>0</v>
      </c>
      <c r="L1173" t="n">
        <v>1</v>
      </c>
      <c r="M1173" t="n">
        <v>0</v>
      </c>
    </row>
    <row r="1174" spans="1:13">
      <c r="A1174" s="1">
        <f>HYPERLINK("http://www.twitter.com/NathanBLawrence/status/989165011124850690", "989165011124850690")</f>
        <v/>
      </c>
      <c r="B1174" s="2" t="n">
        <v>43215.64688657408</v>
      </c>
      <c r="C1174" t="n">
        <v>7</v>
      </c>
      <c r="D1174" t="n">
        <v>5</v>
      </c>
      <c r="E1174" t="s">
        <v>1185</v>
      </c>
      <c r="F1174">
        <f>HYPERLINK("http://pbs.twimg.com/media/Dbo4U1jVAAEjKwx.jpg", "http://pbs.twimg.com/media/Dbo4U1jVAAEjKwx.jpg")</f>
        <v/>
      </c>
      <c r="G1174" t="s"/>
      <c r="H1174" t="s"/>
      <c r="I1174" t="s"/>
      <c r="J1174" t="n">
        <v>0</v>
      </c>
      <c r="K1174" t="n">
        <v>0</v>
      </c>
      <c r="L1174" t="n">
        <v>1</v>
      </c>
      <c r="M1174" t="n">
        <v>0</v>
      </c>
    </row>
    <row r="1175" spans="1:13">
      <c r="A1175" s="1">
        <f>HYPERLINK("http://www.twitter.com/NathanBLawrence/status/989158155434319874", "989158155434319874")</f>
        <v/>
      </c>
      <c r="B1175" s="2" t="n">
        <v>43215.62796296296</v>
      </c>
      <c r="C1175" t="n">
        <v>3</v>
      </c>
      <c r="D1175" t="n">
        <v>1</v>
      </c>
      <c r="E1175" t="s">
        <v>1186</v>
      </c>
      <c r="F1175">
        <f>HYPERLINK("http://pbs.twimg.com/media/DboyF_jVQAA-N3N.jpg", "http://pbs.twimg.com/media/DboyF_jVQAA-N3N.jpg")</f>
        <v/>
      </c>
      <c r="G1175" t="s"/>
      <c r="H1175" t="s"/>
      <c r="I1175" t="s"/>
      <c r="J1175" t="n">
        <v>0</v>
      </c>
      <c r="K1175" t="n">
        <v>0</v>
      </c>
      <c r="L1175" t="n">
        <v>1</v>
      </c>
      <c r="M1175" t="n">
        <v>0</v>
      </c>
    </row>
    <row r="1176" spans="1:13">
      <c r="A1176" s="1">
        <f>HYPERLINK("http://www.twitter.com/NathanBLawrence/status/989157907316006917", "989157907316006917")</f>
        <v/>
      </c>
      <c r="B1176" s="2" t="n">
        <v>43215.62728009259</v>
      </c>
      <c r="C1176" t="n">
        <v>0</v>
      </c>
      <c r="D1176" t="n">
        <v>6</v>
      </c>
      <c r="E1176" t="s">
        <v>1187</v>
      </c>
      <c r="F1176">
        <f>HYPERLINK("http://pbs.twimg.com/media/Dbou07gUQAEDDZ5.jpg", "http://pbs.twimg.com/media/Dbou07gUQAEDDZ5.jpg")</f>
        <v/>
      </c>
      <c r="G1176" t="s"/>
      <c r="H1176" t="s"/>
      <c r="I1176" t="s"/>
      <c r="J1176" t="n">
        <v>0</v>
      </c>
      <c r="K1176" t="n">
        <v>0</v>
      </c>
      <c r="L1176" t="n">
        <v>1</v>
      </c>
      <c r="M1176" t="n">
        <v>0</v>
      </c>
    </row>
    <row r="1177" spans="1:13">
      <c r="A1177" s="1">
        <f>HYPERLINK("http://www.twitter.com/NathanBLawrence/status/989156007522816000", "989156007522816000")</f>
        <v/>
      </c>
      <c r="B1177" s="2" t="n">
        <v>43215.62203703704</v>
      </c>
      <c r="C1177" t="n">
        <v>0</v>
      </c>
      <c r="D1177" t="n">
        <v>6</v>
      </c>
      <c r="E1177" t="s">
        <v>1188</v>
      </c>
      <c r="F1177" t="s"/>
      <c r="G1177" t="s"/>
      <c r="H1177" t="s"/>
      <c r="I1177" t="s"/>
      <c r="J1177" t="n">
        <v>-0.4781</v>
      </c>
      <c r="K1177" t="n">
        <v>0.285</v>
      </c>
      <c r="L1177" t="n">
        <v>0.533</v>
      </c>
      <c r="M1177" t="n">
        <v>0.182</v>
      </c>
    </row>
    <row r="1178" spans="1:13">
      <c r="A1178" s="1">
        <f>HYPERLINK("http://www.twitter.com/NathanBLawrence/status/989155722922483714", "989155722922483714")</f>
        <v/>
      </c>
      <c r="B1178" s="2" t="n">
        <v>43215.62125</v>
      </c>
      <c r="C1178" t="n">
        <v>2</v>
      </c>
      <c r="D1178" t="n">
        <v>1</v>
      </c>
      <c r="E1178" t="s">
        <v>1189</v>
      </c>
      <c r="F1178" t="s"/>
      <c r="G1178" t="s"/>
      <c r="H1178" t="s"/>
      <c r="I1178" t="s"/>
      <c r="J1178" t="n">
        <v>-0.4466</v>
      </c>
      <c r="K1178" t="n">
        <v>0.073</v>
      </c>
      <c r="L1178" t="n">
        <v>0.927</v>
      </c>
      <c r="M1178" t="n">
        <v>0</v>
      </c>
    </row>
    <row r="1179" spans="1:13">
      <c r="A1179" s="1">
        <f>HYPERLINK("http://www.twitter.com/NathanBLawrence/status/989149485011005440", "989149485011005440")</f>
        <v/>
      </c>
      <c r="B1179" s="2" t="n">
        <v>43215.60403935185</v>
      </c>
      <c r="C1179" t="n">
        <v>2</v>
      </c>
      <c r="D1179" t="n">
        <v>0</v>
      </c>
      <c r="E1179" t="s">
        <v>1190</v>
      </c>
      <c r="F1179" t="s"/>
      <c r="G1179" t="s"/>
      <c r="H1179" t="s"/>
      <c r="I1179" t="s"/>
      <c r="J1179" t="n">
        <v>-0.0609</v>
      </c>
      <c r="K1179" t="n">
        <v>0.08699999999999999</v>
      </c>
      <c r="L1179" t="n">
        <v>0.8120000000000001</v>
      </c>
      <c r="M1179" t="n">
        <v>0.101</v>
      </c>
    </row>
    <row r="1180" spans="1:13">
      <c r="A1180" s="1">
        <f>HYPERLINK("http://www.twitter.com/NathanBLawrence/status/989148687661191168", "989148687661191168")</f>
        <v/>
      </c>
      <c r="B1180" s="2" t="n">
        <v>43215.60184027778</v>
      </c>
      <c r="C1180" t="n">
        <v>1</v>
      </c>
      <c r="D1180" t="n">
        <v>0</v>
      </c>
      <c r="E1180" t="s">
        <v>1191</v>
      </c>
      <c r="F1180" t="s"/>
      <c r="G1180" t="s"/>
      <c r="H1180" t="s"/>
      <c r="I1180" t="s"/>
      <c r="J1180" t="n">
        <v>0.296</v>
      </c>
      <c r="K1180" t="n">
        <v>0</v>
      </c>
      <c r="L1180" t="n">
        <v>0.947</v>
      </c>
      <c r="M1180" t="n">
        <v>0.053</v>
      </c>
    </row>
    <row r="1181" spans="1:13">
      <c r="A1181" s="1">
        <f>HYPERLINK("http://www.twitter.com/NathanBLawrence/status/989148324287664128", "989148324287664128")</f>
        <v/>
      </c>
      <c r="B1181" s="2" t="n">
        <v>43215.60083333333</v>
      </c>
      <c r="C1181" t="n">
        <v>0</v>
      </c>
      <c r="D1181" t="n">
        <v>0</v>
      </c>
      <c r="E1181" t="s">
        <v>1192</v>
      </c>
      <c r="F1181" t="s"/>
      <c r="G1181" t="s"/>
      <c r="H1181" t="s"/>
      <c r="I1181" t="s"/>
      <c r="J1181" t="n">
        <v>-0.3167</v>
      </c>
      <c r="K1181" t="n">
        <v>0.309</v>
      </c>
      <c r="L1181" t="n">
        <v>0.488</v>
      </c>
      <c r="M1181" t="n">
        <v>0.203</v>
      </c>
    </row>
    <row r="1182" spans="1:13">
      <c r="A1182" s="1">
        <f>HYPERLINK("http://www.twitter.com/NathanBLawrence/status/989147971710259200", "989147971710259200")</f>
        <v/>
      </c>
      <c r="B1182" s="2" t="n">
        <v>43215.59986111111</v>
      </c>
      <c r="C1182" t="n">
        <v>1</v>
      </c>
      <c r="D1182" t="n">
        <v>0</v>
      </c>
      <c r="E1182" t="s">
        <v>1193</v>
      </c>
      <c r="F1182" t="s"/>
      <c r="G1182" t="s"/>
      <c r="H1182" t="s"/>
      <c r="I1182" t="s"/>
      <c r="J1182" t="n">
        <v>-0.1761</v>
      </c>
      <c r="K1182" t="n">
        <v>0.07099999999999999</v>
      </c>
      <c r="L1182" t="n">
        <v>0.878</v>
      </c>
      <c r="M1182" t="n">
        <v>0.051</v>
      </c>
    </row>
    <row r="1183" spans="1:13">
      <c r="A1183" s="1">
        <f>HYPERLINK("http://www.twitter.com/NathanBLawrence/status/989132789961445379", "989132789961445379")</f>
        <v/>
      </c>
      <c r="B1183" s="2" t="n">
        <v>43215.55796296296</v>
      </c>
      <c r="C1183" t="n">
        <v>2</v>
      </c>
      <c r="D1183" t="n">
        <v>0</v>
      </c>
      <c r="E1183" t="s">
        <v>1194</v>
      </c>
      <c r="F1183" t="s"/>
      <c r="G1183" t="s"/>
      <c r="H1183" t="s"/>
      <c r="I1183" t="s"/>
      <c r="J1183" t="n">
        <v>-0.2514</v>
      </c>
      <c r="K1183" t="n">
        <v>0.054</v>
      </c>
      <c r="L1183" t="n">
        <v>0.915</v>
      </c>
      <c r="M1183" t="n">
        <v>0.031</v>
      </c>
    </row>
    <row r="1184" spans="1:13">
      <c r="A1184" s="1">
        <f>HYPERLINK("http://www.twitter.com/NathanBLawrence/status/989123272200540160", "989123272200540160")</f>
        <v/>
      </c>
      <c r="B1184" s="2" t="n">
        <v>43215.53170138889</v>
      </c>
      <c r="C1184" t="n">
        <v>8</v>
      </c>
      <c r="D1184" t="n">
        <v>4</v>
      </c>
      <c r="E1184" t="s">
        <v>1195</v>
      </c>
      <c r="F1184">
        <f>HYPERLINK("http://pbs.twimg.com/media/DboSXPwVwAAXyof.jpg", "http://pbs.twimg.com/media/DboSXPwVwAAXyof.jpg")</f>
        <v/>
      </c>
      <c r="G1184" t="s"/>
      <c r="H1184" t="s"/>
      <c r="I1184" t="s"/>
      <c r="J1184" t="n">
        <v>0.3612</v>
      </c>
      <c r="K1184" t="n">
        <v>0</v>
      </c>
      <c r="L1184" t="n">
        <v>0.737</v>
      </c>
      <c r="M1184" t="n">
        <v>0.263</v>
      </c>
    </row>
    <row r="1185" spans="1:13">
      <c r="A1185" s="1">
        <f>HYPERLINK("http://www.twitter.com/NathanBLawrence/status/989121498119098369", "989121498119098369")</f>
        <v/>
      </c>
      <c r="B1185" s="2" t="n">
        <v>43215.52680555556</v>
      </c>
      <c r="C1185" t="n">
        <v>3</v>
      </c>
      <c r="D1185" t="n">
        <v>0</v>
      </c>
      <c r="E1185" t="s">
        <v>1196</v>
      </c>
      <c r="F1185">
        <f>HYPERLINK("http://pbs.twimg.com/media/DboQwEDVMAAIe9X.jpg", "http://pbs.twimg.com/media/DboQwEDVMAAIe9X.jpg")</f>
        <v/>
      </c>
      <c r="G1185" t="s"/>
      <c r="H1185" t="s"/>
      <c r="I1185" t="s"/>
      <c r="J1185" t="n">
        <v>0.1027</v>
      </c>
      <c r="K1185" t="n">
        <v>0</v>
      </c>
      <c r="L1185" t="n">
        <v>0.951</v>
      </c>
      <c r="M1185" t="n">
        <v>0.049</v>
      </c>
    </row>
    <row r="1186" spans="1:13">
      <c r="A1186" s="1">
        <f>HYPERLINK("http://www.twitter.com/NathanBLawrence/status/989107186738462720", "989107186738462720")</f>
        <v/>
      </c>
      <c r="B1186" s="2" t="n">
        <v>43215.48731481482</v>
      </c>
      <c r="C1186" t="n">
        <v>2</v>
      </c>
      <c r="D1186" t="n">
        <v>1</v>
      </c>
      <c r="E1186" t="s">
        <v>1197</v>
      </c>
      <c r="F1186" t="s"/>
      <c r="G1186" t="s"/>
      <c r="H1186" t="s"/>
      <c r="I1186" t="s"/>
      <c r="J1186" t="n">
        <v>0</v>
      </c>
      <c r="K1186" t="n">
        <v>0</v>
      </c>
      <c r="L1186" t="n">
        <v>1</v>
      </c>
      <c r="M1186" t="n">
        <v>0</v>
      </c>
    </row>
    <row r="1187" spans="1:13">
      <c r="A1187" s="1">
        <f>HYPERLINK("http://www.twitter.com/NathanBLawrence/status/989106646684241922", "989106646684241922")</f>
        <v/>
      </c>
      <c r="B1187" s="2" t="n">
        <v>43215.48582175926</v>
      </c>
      <c r="C1187" t="n">
        <v>2</v>
      </c>
      <c r="D1187" t="n">
        <v>0</v>
      </c>
      <c r="E1187" t="s">
        <v>1198</v>
      </c>
      <c r="F1187" t="s"/>
      <c r="G1187" t="s"/>
      <c r="H1187" t="s"/>
      <c r="I1187" t="s"/>
      <c r="J1187" t="n">
        <v>-0.5859</v>
      </c>
      <c r="K1187" t="n">
        <v>0.202</v>
      </c>
      <c r="L1187" t="n">
        <v>0.798</v>
      </c>
      <c r="M1187" t="n">
        <v>0</v>
      </c>
    </row>
    <row r="1188" spans="1:13">
      <c r="A1188" s="1">
        <f>HYPERLINK("http://www.twitter.com/NathanBLawrence/status/989106355058470912", "989106355058470912")</f>
        <v/>
      </c>
      <c r="B1188" s="2" t="n">
        <v>43215.48502314815</v>
      </c>
      <c r="C1188" t="n">
        <v>9</v>
      </c>
      <c r="D1188" t="n">
        <v>4</v>
      </c>
      <c r="E1188" t="s">
        <v>1199</v>
      </c>
      <c r="F1188" t="s"/>
      <c r="G1188" t="s"/>
      <c r="H1188" t="s"/>
      <c r="I1188" t="s"/>
      <c r="J1188" t="n">
        <v>0</v>
      </c>
      <c r="K1188" t="n">
        <v>0</v>
      </c>
      <c r="L1188" t="n">
        <v>1</v>
      </c>
      <c r="M1188" t="n">
        <v>0</v>
      </c>
    </row>
    <row r="1189" spans="1:13">
      <c r="A1189" s="1">
        <f>HYPERLINK("http://www.twitter.com/NathanBLawrence/status/989105163741880320", "989105163741880320")</f>
        <v/>
      </c>
      <c r="B1189" s="2" t="n">
        <v>43215.48173611111</v>
      </c>
      <c r="C1189" t="n">
        <v>1</v>
      </c>
      <c r="D1189" t="n">
        <v>0</v>
      </c>
      <c r="E1189" t="s">
        <v>1200</v>
      </c>
      <c r="F1189" t="s"/>
      <c r="G1189" t="s"/>
      <c r="H1189" t="s"/>
      <c r="I1189" t="s"/>
      <c r="J1189" t="n">
        <v>-0.4939</v>
      </c>
      <c r="K1189" t="n">
        <v>0.094</v>
      </c>
      <c r="L1189" t="n">
        <v>0.906</v>
      </c>
      <c r="M1189" t="n">
        <v>0</v>
      </c>
    </row>
    <row r="1190" spans="1:13">
      <c r="A1190" s="1">
        <f>HYPERLINK("http://www.twitter.com/NathanBLawrence/status/988985294392299521", "988985294392299521")</f>
        <v/>
      </c>
      <c r="B1190" s="2" t="n">
        <v>43215.15096064815</v>
      </c>
      <c r="C1190" t="n">
        <v>0</v>
      </c>
      <c r="D1190" t="n">
        <v>5</v>
      </c>
      <c r="E1190" t="s">
        <v>1201</v>
      </c>
      <c r="F1190" t="s"/>
      <c r="G1190" t="s"/>
      <c r="H1190" t="s"/>
      <c r="I1190" t="s"/>
      <c r="J1190" t="n">
        <v>0</v>
      </c>
      <c r="K1190" t="n">
        <v>0.1</v>
      </c>
      <c r="L1190" t="n">
        <v>0.8</v>
      </c>
      <c r="M1190" t="n">
        <v>0.1</v>
      </c>
    </row>
    <row r="1191" spans="1:13">
      <c r="A1191" s="1">
        <f>HYPERLINK("http://www.twitter.com/NathanBLawrence/status/988985060752846848", "988985060752846848")</f>
        <v/>
      </c>
      <c r="B1191" s="2" t="n">
        <v>43215.1503125</v>
      </c>
      <c r="C1191" t="n">
        <v>2</v>
      </c>
      <c r="D1191" t="n">
        <v>1</v>
      </c>
      <c r="E1191" t="s">
        <v>1202</v>
      </c>
      <c r="F1191" t="s"/>
      <c r="G1191" t="s"/>
      <c r="H1191" t="s"/>
      <c r="I1191" t="s"/>
      <c r="J1191" t="n">
        <v>0</v>
      </c>
      <c r="K1191" t="n">
        <v>0</v>
      </c>
      <c r="L1191" t="n">
        <v>1</v>
      </c>
      <c r="M1191" t="n">
        <v>0</v>
      </c>
    </row>
    <row r="1192" spans="1:13">
      <c r="A1192" s="1">
        <f>HYPERLINK("http://www.twitter.com/NathanBLawrence/status/988984634527637504", "988984634527637504")</f>
        <v/>
      </c>
      <c r="B1192" s="2" t="n">
        <v>43215.14913194445</v>
      </c>
      <c r="C1192" t="n">
        <v>2</v>
      </c>
      <c r="D1192" t="n">
        <v>1</v>
      </c>
      <c r="E1192" t="s">
        <v>1203</v>
      </c>
      <c r="F1192" t="s"/>
      <c r="G1192" t="s"/>
      <c r="H1192" t="s"/>
      <c r="I1192" t="s"/>
      <c r="J1192" t="n">
        <v>0.5242</v>
      </c>
      <c r="K1192" t="n">
        <v>0</v>
      </c>
      <c r="L1192" t="n">
        <v>0.542</v>
      </c>
      <c r="M1192" t="n">
        <v>0.458</v>
      </c>
    </row>
    <row r="1193" spans="1:13">
      <c r="A1193" s="1">
        <f>HYPERLINK("http://www.twitter.com/NathanBLawrence/status/988984190640316417", "988984190640316417")</f>
        <v/>
      </c>
      <c r="B1193" s="2" t="n">
        <v>43215.14791666667</v>
      </c>
      <c r="C1193" t="n">
        <v>2</v>
      </c>
      <c r="D1193" t="n">
        <v>0</v>
      </c>
      <c r="E1193" t="s">
        <v>1204</v>
      </c>
      <c r="F1193" t="s"/>
      <c r="G1193" t="s"/>
      <c r="H1193" t="s"/>
      <c r="I1193" t="s"/>
      <c r="J1193" t="n">
        <v>-0.4109</v>
      </c>
      <c r="K1193" t="n">
        <v>0.111</v>
      </c>
      <c r="L1193" t="n">
        <v>0.889</v>
      </c>
      <c r="M1193" t="n">
        <v>0</v>
      </c>
    </row>
    <row r="1194" spans="1:13">
      <c r="A1194" s="1">
        <f>HYPERLINK("http://www.twitter.com/NathanBLawrence/status/988983109210255360", "988983109210255360")</f>
        <v/>
      </c>
      <c r="B1194" s="2" t="n">
        <v>43215.14493055556</v>
      </c>
      <c r="C1194" t="n">
        <v>2</v>
      </c>
      <c r="D1194" t="n">
        <v>0</v>
      </c>
      <c r="E1194" t="s">
        <v>1205</v>
      </c>
      <c r="F1194" t="s"/>
      <c r="G1194" t="s"/>
      <c r="H1194" t="s"/>
      <c r="I1194" t="s"/>
      <c r="J1194" t="n">
        <v>0.6249</v>
      </c>
      <c r="K1194" t="n">
        <v>0</v>
      </c>
      <c r="L1194" t="n">
        <v>0.83</v>
      </c>
      <c r="M1194" t="n">
        <v>0.17</v>
      </c>
    </row>
    <row r="1195" spans="1:13">
      <c r="A1195" s="1">
        <f>HYPERLINK("http://www.twitter.com/NathanBLawrence/status/988982683186458624", "988982683186458624")</f>
        <v/>
      </c>
      <c r="B1195" s="2" t="n">
        <v>43215.14375</v>
      </c>
      <c r="C1195" t="n">
        <v>1</v>
      </c>
      <c r="D1195" t="n">
        <v>0</v>
      </c>
      <c r="E1195" t="s">
        <v>1206</v>
      </c>
      <c r="F1195" t="s"/>
      <c r="G1195" t="s"/>
      <c r="H1195" t="s"/>
      <c r="I1195" t="s"/>
      <c r="J1195" t="n">
        <v>-0.2942</v>
      </c>
      <c r="K1195" t="n">
        <v>0.095</v>
      </c>
      <c r="L1195" t="n">
        <v>0.905</v>
      </c>
      <c r="M1195" t="n">
        <v>0</v>
      </c>
    </row>
    <row r="1196" spans="1:13">
      <c r="A1196" s="1">
        <f>HYPERLINK("http://www.twitter.com/NathanBLawrence/status/988981988328722432", "988981988328722432")</f>
        <v/>
      </c>
      <c r="B1196" s="2" t="n">
        <v>43215.14184027778</v>
      </c>
      <c r="C1196" t="n">
        <v>0</v>
      </c>
      <c r="D1196" t="n">
        <v>1</v>
      </c>
      <c r="E1196" t="s">
        <v>1207</v>
      </c>
      <c r="F1196" t="s"/>
      <c r="G1196" t="s"/>
      <c r="H1196" t="s"/>
      <c r="I1196" t="s"/>
      <c r="J1196" t="n">
        <v>-0.8126</v>
      </c>
      <c r="K1196" t="n">
        <v>0.307</v>
      </c>
      <c r="L1196" t="n">
        <v>0.6929999999999999</v>
      </c>
      <c r="M1196" t="n">
        <v>0</v>
      </c>
    </row>
    <row r="1197" spans="1:13">
      <c r="A1197" s="1">
        <f>HYPERLINK("http://www.twitter.com/NathanBLawrence/status/988981911350595584", "988981911350595584")</f>
        <v/>
      </c>
      <c r="B1197" s="2" t="n">
        <v>43215.14162037037</v>
      </c>
      <c r="C1197" t="n">
        <v>0</v>
      </c>
      <c r="D1197" t="n">
        <v>38</v>
      </c>
      <c r="E1197" t="s">
        <v>1208</v>
      </c>
      <c r="F1197" t="s"/>
      <c r="G1197" t="s"/>
      <c r="H1197" t="s"/>
      <c r="I1197" t="s"/>
      <c r="J1197" t="n">
        <v>0.34</v>
      </c>
      <c r="K1197" t="n">
        <v>0</v>
      </c>
      <c r="L1197" t="n">
        <v>0.897</v>
      </c>
      <c r="M1197" t="n">
        <v>0.103</v>
      </c>
    </row>
    <row r="1198" spans="1:13">
      <c r="A1198" s="1">
        <f>HYPERLINK("http://www.twitter.com/NathanBLawrence/status/988981801392771073", "988981801392771073")</f>
        <v/>
      </c>
      <c r="B1198" s="2" t="n">
        <v>43215.14131944445</v>
      </c>
      <c r="C1198" t="n">
        <v>0</v>
      </c>
      <c r="D1198" t="n">
        <v>13</v>
      </c>
      <c r="E1198" t="s">
        <v>1209</v>
      </c>
      <c r="F1198">
        <f>HYPERLINK("http://pbs.twimg.com/media/DbjxxkyV0AEzlJa.jpg", "http://pbs.twimg.com/media/DbjxxkyV0AEzlJa.jpg")</f>
        <v/>
      </c>
      <c r="G1198" t="s"/>
      <c r="H1198" t="s"/>
      <c r="I1198" t="s"/>
      <c r="J1198" t="n">
        <v>0</v>
      </c>
      <c r="K1198" t="n">
        <v>0</v>
      </c>
      <c r="L1198" t="n">
        <v>1</v>
      </c>
      <c r="M1198" t="n">
        <v>0</v>
      </c>
    </row>
    <row r="1199" spans="1:13">
      <c r="A1199" s="1">
        <f>HYPERLINK("http://www.twitter.com/NathanBLawrence/status/988981679812378624", "988981679812378624")</f>
        <v/>
      </c>
      <c r="B1199" s="2" t="n">
        <v>43215.14098379629</v>
      </c>
      <c r="C1199" t="n">
        <v>0</v>
      </c>
      <c r="D1199" t="n">
        <v>12</v>
      </c>
      <c r="E1199" t="s">
        <v>1210</v>
      </c>
      <c r="F1199">
        <f>HYPERLINK("http://pbs.twimg.com/media/DbklY4nWkAACgWt.jpg", "http://pbs.twimg.com/media/DbklY4nWkAACgWt.jpg")</f>
        <v/>
      </c>
      <c r="G1199" t="s"/>
      <c r="H1199" t="s"/>
      <c r="I1199" t="s"/>
      <c r="J1199" t="n">
        <v>0</v>
      </c>
      <c r="K1199" t="n">
        <v>0</v>
      </c>
      <c r="L1199" t="n">
        <v>1</v>
      </c>
      <c r="M1199" t="n">
        <v>0</v>
      </c>
    </row>
    <row r="1200" spans="1:13">
      <c r="A1200" s="1">
        <f>HYPERLINK("http://www.twitter.com/NathanBLawrence/status/988981341864767489", "988981341864767489")</f>
        <v/>
      </c>
      <c r="B1200" s="2" t="n">
        <v>43215.1400462963</v>
      </c>
      <c r="C1200" t="n">
        <v>0</v>
      </c>
      <c r="D1200" t="n">
        <v>0</v>
      </c>
      <c r="E1200" t="s">
        <v>1211</v>
      </c>
      <c r="F1200" t="s"/>
      <c r="G1200" t="s"/>
      <c r="H1200" t="s"/>
      <c r="I1200" t="s"/>
      <c r="J1200" t="n">
        <v>0</v>
      </c>
      <c r="K1200" t="n">
        <v>0</v>
      </c>
      <c r="L1200" t="n">
        <v>1</v>
      </c>
      <c r="M1200" t="n">
        <v>0</v>
      </c>
    </row>
    <row r="1201" spans="1:13">
      <c r="A1201" s="1">
        <f>HYPERLINK("http://www.twitter.com/NathanBLawrence/status/988980953715527681", "988980953715527681")</f>
        <v/>
      </c>
      <c r="B1201" s="2" t="n">
        <v>43215.13898148148</v>
      </c>
      <c r="C1201" t="n">
        <v>1</v>
      </c>
      <c r="D1201" t="n">
        <v>0</v>
      </c>
      <c r="E1201" t="s">
        <v>1212</v>
      </c>
      <c r="F1201" t="s"/>
      <c r="G1201" t="s"/>
      <c r="H1201" t="s"/>
      <c r="I1201" t="s"/>
      <c r="J1201" t="n">
        <v>0</v>
      </c>
      <c r="K1201" t="n">
        <v>0</v>
      </c>
      <c r="L1201" t="n">
        <v>1</v>
      </c>
      <c r="M1201" t="n">
        <v>0</v>
      </c>
    </row>
    <row r="1202" spans="1:13">
      <c r="A1202" s="1">
        <f>HYPERLINK("http://www.twitter.com/NathanBLawrence/status/988980629508419584", "988980629508419584")</f>
        <v/>
      </c>
      <c r="B1202" s="2" t="n">
        <v>43215.13809027777</v>
      </c>
      <c r="C1202" t="n">
        <v>1</v>
      </c>
      <c r="D1202" t="n">
        <v>0</v>
      </c>
      <c r="E1202" t="s">
        <v>1213</v>
      </c>
      <c r="F1202" t="s"/>
      <c r="G1202" t="s"/>
      <c r="H1202" t="s"/>
      <c r="I1202" t="s"/>
      <c r="J1202" t="n">
        <v>0</v>
      </c>
      <c r="K1202" t="n">
        <v>0</v>
      </c>
      <c r="L1202" t="n">
        <v>1</v>
      </c>
      <c r="M1202" t="n">
        <v>0</v>
      </c>
    </row>
    <row r="1203" spans="1:13">
      <c r="A1203" s="1">
        <f>HYPERLINK("http://www.twitter.com/NathanBLawrence/status/988980174208331776", "988980174208331776")</f>
        <v/>
      </c>
      <c r="B1203" s="2" t="n">
        <v>43215.1368287037</v>
      </c>
      <c r="C1203" t="n">
        <v>2</v>
      </c>
      <c r="D1203" t="n">
        <v>0</v>
      </c>
      <c r="E1203" t="s">
        <v>1214</v>
      </c>
      <c r="F1203" t="s"/>
      <c r="G1203" t="s"/>
      <c r="H1203" t="s"/>
      <c r="I1203" t="s"/>
      <c r="J1203" t="n">
        <v>0</v>
      </c>
      <c r="K1203" t="n">
        <v>0</v>
      </c>
      <c r="L1203" t="n">
        <v>1</v>
      </c>
      <c r="M1203" t="n">
        <v>0</v>
      </c>
    </row>
    <row r="1204" spans="1:13">
      <c r="A1204" s="1">
        <f>HYPERLINK("http://www.twitter.com/NathanBLawrence/status/988979912726990848", "988979912726990848")</f>
        <v/>
      </c>
      <c r="B1204" s="2" t="n">
        <v>43215.13611111111</v>
      </c>
      <c r="C1204" t="n">
        <v>0</v>
      </c>
      <c r="D1204" t="n">
        <v>0</v>
      </c>
      <c r="E1204" t="s">
        <v>1215</v>
      </c>
      <c r="F1204" t="s"/>
      <c r="G1204" t="s"/>
      <c r="H1204" t="s"/>
      <c r="I1204" t="s"/>
      <c r="J1204" t="n">
        <v>0</v>
      </c>
      <c r="K1204" t="n">
        <v>0</v>
      </c>
      <c r="L1204" t="n">
        <v>1</v>
      </c>
      <c r="M1204" t="n">
        <v>0</v>
      </c>
    </row>
    <row r="1205" spans="1:13">
      <c r="A1205" s="1">
        <f>HYPERLINK("http://www.twitter.com/NathanBLawrence/status/988979617586442240", "988979617586442240")</f>
        <v/>
      </c>
      <c r="B1205" s="2" t="n">
        <v>43215.13528935185</v>
      </c>
      <c r="C1205" t="n">
        <v>1</v>
      </c>
      <c r="D1205" t="n">
        <v>0</v>
      </c>
      <c r="E1205" t="s">
        <v>1216</v>
      </c>
      <c r="F1205" t="s"/>
      <c r="G1205" t="s"/>
      <c r="H1205" t="s"/>
      <c r="I1205" t="s"/>
      <c r="J1205" t="n">
        <v>0.3612</v>
      </c>
      <c r="K1205" t="n">
        <v>0</v>
      </c>
      <c r="L1205" t="n">
        <v>0.667</v>
      </c>
      <c r="M1205" t="n">
        <v>0.333</v>
      </c>
    </row>
    <row r="1206" spans="1:13">
      <c r="A1206" s="1">
        <f>HYPERLINK("http://www.twitter.com/NathanBLawrence/status/988978189975347201", "988978189975347201")</f>
        <v/>
      </c>
      <c r="B1206" s="2" t="n">
        <v>43215.13135416667</v>
      </c>
      <c r="C1206" t="n">
        <v>0</v>
      </c>
      <c r="D1206" t="n">
        <v>0</v>
      </c>
      <c r="E1206" t="s">
        <v>1217</v>
      </c>
      <c r="F1206" t="s"/>
      <c r="G1206" t="s"/>
      <c r="H1206" t="s"/>
      <c r="I1206" t="s"/>
      <c r="J1206" t="n">
        <v>0</v>
      </c>
      <c r="K1206" t="n">
        <v>0</v>
      </c>
      <c r="L1206" t="n">
        <v>1</v>
      </c>
      <c r="M1206" t="n">
        <v>0</v>
      </c>
    </row>
    <row r="1207" spans="1:13">
      <c r="A1207" s="1">
        <f>HYPERLINK("http://www.twitter.com/NathanBLawrence/status/988977586888884224", "988977586888884224")</f>
        <v/>
      </c>
      <c r="B1207" s="2" t="n">
        <v>43215.1296875</v>
      </c>
      <c r="C1207" t="n">
        <v>0</v>
      </c>
      <c r="D1207" t="n">
        <v>14</v>
      </c>
      <c r="E1207" t="s">
        <v>1218</v>
      </c>
      <c r="F1207">
        <f>HYPERLINK("http://pbs.twimg.com/media/DbjSvMRVQAEvz_u.jpg", "http://pbs.twimg.com/media/DbjSvMRVQAEvz_u.jpg")</f>
        <v/>
      </c>
      <c r="G1207" t="s"/>
      <c r="H1207" t="s"/>
      <c r="I1207" t="s"/>
      <c r="J1207" t="n">
        <v>0.6369</v>
      </c>
      <c r="K1207" t="n">
        <v>0.089</v>
      </c>
      <c r="L1207" t="n">
        <v>0.674</v>
      </c>
      <c r="M1207" t="n">
        <v>0.238</v>
      </c>
    </row>
    <row r="1208" spans="1:13">
      <c r="A1208" s="1">
        <f>HYPERLINK("http://www.twitter.com/NathanBLawrence/status/988975941023039489", "988975941023039489")</f>
        <v/>
      </c>
      <c r="B1208" s="2" t="n">
        <v>43215.12515046296</v>
      </c>
      <c r="C1208" t="n">
        <v>0</v>
      </c>
      <c r="D1208" t="n">
        <v>9</v>
      </c>
      <c r="E1208" t="s">
        <v>1219</v>
      </c>
      <c r="F1208" t="s"/>
      <c r="G1208" t="s"/>
      <c r="H1208" t="s"/>
      <c r="I1208" t="s"/>
      <c r="J1208" t="n">
        <v>0</v>
      </c>
      <c r="K1208" t="n">
        <v>0</v>
      </c>
      <c r="L1208" t="n">
        <v>1</v>
      </c>
      <c r="M1208" t="n">
        <v>0</v>
      </c>
    </row>
    <row r="1209" spans="1:13">
      <c r="A1209" s="1">
        <f>HYPERLINK("http://www.twitter.com/NathanBLawrence/status/988940021045620736", "988940021045620736")</f>
        <v/>
      </c>
      <c r="B1209" s="2" t="n">
        <v>43215.02603009259</v>
      </c>
      <c r="C1209" t="n">
        <v>5</v>
      </c>
      <c r="D1209" t="n">
        <v>0</v>
      </c>
      <c r="E1209" t="s">
        <v>1220</v>
      </c>
      <c r="F1209" t="s"/>
      <c r="G1209" t="s"/>
      <c r="H1209" t="s"/>
      <c r="I1209" t="s"/>
      <c r="J1209" t="n">
        <v>-0.4724</v>
      </c>
      <c r="K1209" t="n">
        <v>0.153</v>
      </c>
      <c r="L1209" t="n">
        <v>0.847</v>
      </c>
      <c r="M1209" t="n">
        <v>0</v>
      </c>
    </row>
    <row r="1210" spans="1:13">
      <c r="A1210" s="1">
        <f>HYPERLINK("http://www.twitter.com/NathanBLawrence/status/988927938191032320", "988927938191032320")</f>
        <v/>
      </c>
      <c r="B1210" s="2" t="n">
        <v>43214.99268518519</v>
      </c>
      <c r="C1210" t="n">
        <v>1</v>
      </c>
      <c r="D1210" t="n">
        <v>0</v>
      </c>
      <c r="E1210" t="s">
        <v>1221</v>
      </c>
      <c r="F1210" t="s"/>
      <c r="G1210" t="s"/>
      <c r="H1210" t="s"/>
      <c r="I1210" t="s"/>
      <c r="J1210" t="n">
        <v>-0.25</v>
      </c>
      <c r="K1210" t="n">
        <v>0.2</v>
      </c>
      <c r="L1210" t="n">
        <v>0.8</v>
      </c>
      <c r="M1210" t="n">
        <v>0</v>
      </c>
    </row>
    <row r="1211" spans="1:13">
      <c r="A1211" s="1">
        <f>HYPERLINK("http://www.twitter.com/NathanBLawrence/status/988925373164457985", "988925373164457985")</f>
        <v/>
      </c>
      <c r="B1211" s="2" t="n">
        <v>43214.98560185185</v>
      </c>
      <c r="C1211" t="n">
        <v>6</v>
      </c>
      <c r="D1211" t="n">
        <v>2</v>
      </c>
      <c r="E1211" t="s">
        <v>1222</v>
      </c>
      <c r="F1211">
        <f>HYPERLINK("http://pbs.twimg.com/media/DbleV0SU0AER--R.jpg", "http://pbs.twimg.com/media/DbleV0SU0AER--R.jpg")</f>
        <v/>
      </c>
      <c r="G1211" t="s"/>
      <c r="H1211" t="s"/>
      <c r="I1211" t="s"/>
      <c r="J1211" t="n">
        <v>0</v>
      </c>
      <c r="K1211" t="n">
        <v>0</v>
      </c>
      <c r="L1211" t="n">
        <v>1</v>
      </c>
      <c r="M1211" t="n">
        <v>0</v>
      </c>
    </row>
    <row r="1212" spans="1:13">
      <c r="A1212" s="1">
        <f>HYPERLINK("http://www.twitter.com/NathanBLawrence/status/988925368928174081", "988925368928174081")</f>
        <v/>
      </c>
      <c r="B1212" s="2" t="n">
        <v>43214.98559027778</v>
      </c>
      <c r="C1212" t="n">
        <v>16</v>
      </c>
      <c r="D1212" t="n">
        <v>4</v>
      </c>
      <c r="E1212" t="s">
        <v>1223</v>
      </c>
      <c r="F1212">
        <f>HYPERLINK("http://pbs.twimg.com/media/DbleV3wVAAADRLI.jpg", "http://pbs.twimg.com/media/DbleV3wVAAADRLI.jpg")</f>
        <v/>
      </c>
      <c r="G1212" t="s"/>
      <c r="H1212" t="s"/>
      <c r="I1212" t="s"/>
      <c r="J1212" t="n">
        <v>-0.2942</v>
      </c>
      <c r="K1212" t="n">
        <v>0.12</v>
      </c>
      <c r="L1212" t="n">
        <v>0.88</v>
      </c>
      <c r="M1212" t="n">
        <v>0</v>
      </c>
    </row>
    <row r="1213" spans="1:13">
      <c r="A1213" s="1">
        <f>HYPERLINK("http://www.twitter.com/NathanBLawrence/status/988884862240264192", "988884862240264192")</f>
        <v/>
      </c>
      <c r="B1213" s="2" t="n">
        <v>43214.87381944444</v>
      </c>
      <c r="C1213" t="n">
        <v>0</v>
      </c>
      <c r="D1213" t="n">
        <v>0</v>
      </c>
      <c r="E1213" t="s">
        <v>1224</v>
      </c>
      <c r="F1213" t="s"/>
      <c r="G1213" t="s"/>
      <c r="H1213" t="s"/>
      <c r="I1213" t="s"/>
      <c r="J1213" t="n">
        <v>-0.6826</v>
      </c>
      <c r="K1213" t="n">
        <v>0.327</v>
      </c>
      <c r="L1213" t="n">
        <v>0.495</v>
      </c>
      <c r="M1213" t="n">
        <v>0.178</v>
      </c>
    </row>
    <row r="1214" spans="1:13">
      <c r="A1214" s="1">
        <f>HYPERLINK("http://www.twitter.com/NathanBLawrence/status/988878655089717249", "988878655089717249")</f>
        <v/>
      </c>
      <c r="B1214" s="2" t="n">
        <v>43214.85668981481</v>
      </c>
      <c r="C1214" t="n">
        <v>4</v>
      </c>
      <c r="D1214" t="n">
        <v>0</v>
      </c>
      <c r="E1214" t="s">
        <v>1225</v>
      </c>
      <c r="F1214" t="s"/>
      <c r="G1214" t="s"/>
      <c r="H1214" t="s"/>
      <c r="I1214" t="s"/>
      <c r="J1214" t="n">
        <v>-0.555</v>
      </c>
      <c r="K1214" t="n">
        <v>0.246</v>
      </c>
      <c r="L1214" t="n">
        <v>0.754</v>
      </c>
      <c r="M1214" t="n">
        <v>0</v>
      </c>
    </row>
    <row r="1215" spans="1:13">
      <c r="A1215" s="1">
        <f>HYPERLINK("http://www.twitter.com/NathanBLawrence/status/988857167959724032", "988857167959724032")</f>
        <v/>
      </c>
      <c r="B1215" s="2" t="n">
        <v>43214.79739583333</v>
      </c>
      <c r="C1215" t="n">
        <v>0</v>
      </c>
      <c r="D1215" t="n">
        <v>0</v>
      </c>
      <c r="E1215" t="s">
        <v>1226</v>
      </c>
      <c r="F1215" t="s"/>
      <c r="G1215" t="s"/>
      <c r="H1215" t="s"/>
      <c r="I1215" t="s"/>
      <c r="J1215" t="n">
        <v>-0.5574</v>
      </c>
      <c r="K1215" t="n">
        <v>0.474</v>
      </c>
      <c r="L1215" t="n">
        <v>0.526</v>
      </c>
      <c r="M1215" t="n">
        <v>0</v>
      </c>
    </row>
    <row r="1216" spans="1:13">
      <c r="A1216" s="1">
        <f>HYPERLINK("http://www.twitter.com/NathanBLawrence/status/988845689420615680", "988845689420615680")</f>
        <v/>
      </c>
      <c r="B1216" s="2" t="n">
        <v>43214.76571759259</v>
      </c>
      <c r="C1216" t="n">
        <v>0</v>
      </c>
      <c r="D1216" t="n">
        <v>0</v>
      </c>
      <c r="E1216" t="s">
        <v>1227</v>
      </c>
      <c r="F1216" t="s"/>
      <c r="G1216" t="s"/>
      <c r="H1216" t="s"/>
      <c r="I1216" t="s"/>
      <c r="J1216" t="n">
        <v>0.4003</v>
      </c>
      <c r="K1216" t="n">
        <v>0</v>
      </c>
      <c r="L1216" t="n">
        <v>0.876</v>
      </c>
      <c r="M1216" t="n">
        <v>0.124</v>
      </c>
    </row>
    <row r="1217" spans="1:13">
      <c r="A1217" s="1">
        <f>HYPERLINK("http://www.twitter.com/NathanBLawrence/status/988844977068355589", "988844977068355589")</f>
        <v/>
      </c>
      <c r="B1217" s="2" t="n">
        <v>43214.76376157408</v>
      </c>
      <c r="C1217" t="n">
        <v>1</v>
      </c>
      <c r="D1217" t="n">
        <v>1</v>
      </c>
      <c r="E1217" t="s">
        <v>1228</v>
      </c>
      <c r="F1217" t="s"/>
      <c r="G1217" t="s"/>
      <c r="H1217" t="s"/>
      <c r="I1217" t="s"/>
      <c r="J1217" t="n">
        <v>0</v>
      </c>
      <c r="K1217" t="n">
        <v>0</v>
      </c>
      <c r="L1217" t="n">
        <v>1</v>
      </c>
      <c r="M1217" t="n">
        <v>0</v>
      </c>
    </row>
    <row r="1218" spans="1:13">
      <c r="A1218" s="1">
        <f>HYPERLINK("http://www.twitter.com/NathanBLawrence/status/988844037003149315", "988844037003149315")</f>
        <v/>
      </c>
      <c r="B1218" s="2" t="n">
        <v>43214.76115740741</v>
      </c>
      <c r="C1218" t="n">
        <v>2</v>
      </c>
      <c r="D1218" t="n">
        <v>0</v>
      </c>
      <c r="E1218" t="s">
        <v>1229</v>
      </c>
      <c r="F1218" t="s"/>
      <c r="G1218" t="s"/>
      <c r="H1218" t="s"/>
      <c r="I1218" t="s"/>
      <c r="J1218" t="n">
        <v>-0.25</v>
      </c>
      <c r="K1218" t="n">
        <v>0.105</v>
      </c>
      <c r="L1218" t="n">
        <v>0.827</v>
      </c>
      <c r="M1218" t="n">
        <v>0.068</v>
      </c>
    </row>
    <row r="1219" spans="1:13">
      <c r="A1219" s="1">
        <f>HYPERLINK("http://www.twitter.com/NathanBLawrence/status/988843442380959745", "988843442380959745")</f>
        <v/>
      </c>
      <c r="B1219" s="2" t="n">
        <v>43214.75952546296</v>
      </c>
      <c r="C1219" t="n">
        <v>0</v>
      </c>
      <c r="D1219" t="n">
        <v>13</v>
      </c>
      <c r="E1219" t="s">
        <v>1230</v>
      </c>
      <c r="F1219">
        <f>HYPERLINK("http://pbs.twimg.com/media/Dbj87ZRU8AAVxEY.jpg", "http://pbs.twimg.com/media/Dbj87ZRU8AAVxEY.jpg")</f>
        <v/>
      </c>
      <c r="G1219" t="s"/>
      <c r="H1219" t="s"/>
      <c r="I1219" t="s"/>
      <c r="J1219" t="n">
        <v>0.0772</v>
      </c>
      <c r="K1219" t="n">
        <v>0.117</v>
      </c>
      <c r="L1219" t="n">
        <v>0.751</v>
      </c>
      <c r="M1219" t="n">
        <v>0.131</v>
      </c>
    </row>
    <row r="1220" spans="1:13">
      <c r="A1220" s="1">
        <f>HYPERLINK("http://www.twitter.com/NathanBLawrence/status/988843268321488896", "988843268321488896")</f>
        <v/>
      </c>
      <c r="B1220" s="2" t="n">
        <v>43214.75903935185</v>
      </c>
      <c r="C1220" t="n">
        <v>1</v>
      </c>
      <c r="D1220" t="n">
        <v>0</v>
      </c>
      <c r="E1220" t="s">
        <v>1231</v>
      </c>
      <c r="F1220" t="s"/>
      <c r="G1220" t="s"/>
      <c r="H1220" t="s"/>
      <c r="I1220" t="s"/>
      <c r="J1220" t="n">
        <v>0.5798</v>
      </c>
      <c r="K1220" t="n">
        <v>0</v>
      </c>
      <c r="L1220" t="n">
        <v>0.868</v>
      </c>
      <c r="M1220" t="n">
        <v>0.132</v>
      </c>
    </row>
    <row r="1221" spans="1:13">
      <c r="A1221" s="1">
        <f>HYPERLINK("http://www.twitter.com/NathanBLawrence/status/988842318911492096", "988842318911492096")</f>
        <v/>
      </c>
      <c r="B1221" s="2" t="n">
        <v>43214.75642361111</v>
      </c>
      <c r="C1221" t="n">
        <v>5</v>
      </c>
      <c r="D1221" t="n">
        <v>3</v>
      </c>
      <c r="E1221" t="s">
        <v>1232</v>
      </c>
      <c r="F1221" t="s"/>
      <c r="G1221" t="s"/>
      <c r="H1221" t="s"/>
      <c r="I1221" t="s"/>
      <c r="J1221" t="n">
        <v>0</v>
      </c>
      <c r="K1221" t="n">
        <v>0</v>
      </c>
      <c r="L1221" t="n">
        <v>1</v>
      </c>
      <c r="M1221" t="n">
        <v>0</v>
      </c>
    </row>
    <row r="1222" spans="1:13">
      <c r="A1222" s="1">
        <f>HYPERLINK("http://www.twitter.com/NathanBLawrence/status/988839854162219008", "988839854162219008")</f>
        <v/>
      </c>
      <c r="B1222" s="2" t="n">
        <v>43214.74961805555</v>
      </c>
      <c r="C1222" t="n">
        <v>0</v>
      </c>
      <c r="D1222" t="n">
        <v>8041</v>
      </c>
      <c r="E1222" t="s">
        <v>1233</v>
      </c>
      <c r="F1222" t="s"/>
      <c r="G1222" t="s"/>
      <c r="H1222" t="s"/>
      <c r="I1222" t="s"/>
      <c r="J1222" t="n">
        <v>-0.1531</v>
      </c>
      <c r="K1222" t="n">
        <v>0.155</v>
      </c>
      <c r="L1222" t="n">
        <v>0.714</v>
      </c>
      <c r="M1222" t="n">
        <v>0.131</v>
      </c>
    </row>
    <row r="1223" spans="1:13">
      <c r="A1223" s="1">
        <f>HYPERLINK("http://www.twitter.com/NathanBLawrence/status/988839122075865090", "988839122075865090")</f>
        <v/>
      </c>
      <c r="B1223" s="2" t="n">
        <v>43214.74760416667</v>
      </c>
      <c r="C1223" t="n">
        <v>0</v>
      </c>
      <c r="D1223" t="n">
        <v>0</v>
      </c>
      <c r="E1223" t="s">
        <v>1234</v>
      </c>
      <c r="F1223" t="s"/>
      <c r="G1223" t="s"/>
      <c r="H1223" t="s"/>
      <c r="I1223" t="s"/>
      <c r="J1223" t="n">
        <v>-0.4576</v>
      </c>
      <c r="K1223" t="n">
        <v>0.131</v>
      </c>
      <c r="L1223" t="n">
        <v>0.801</v>
      </c>
      <c r="M1223" t="n">
        <v>0.067</v>
      </c>
    </row>
    <row r="1224" spans="1:13">
      <c r="A1224" s="1">
        <f>HYPERLINK("http://www.twitter.com/NathanBLawrence/status/988833485514268673", "988833485514268673")</f>
        <v/>
      </c>
      <c r="B1224" s="2" t="n">
        <v>43214.73204861111</v>
      </c>
      <c r="C1224" t="n">
        <v>3</v>
      </c>
      <c r="D1224" t="n">
        <v>1</v>
      </c>
      <c r="E1224" t="s">
        <v>1235</v>
      </c>
      <c r="F1224" t="s"/>
      <c r="G1224" t="s"/>
      <c r="H1224" t="s"/>
      <c r="I1224" t="s"/>
      <c r="J1224" t="n">
        <v>0</v>
      </c>
      <c r="K1224" t="n">
        <v>0</v>
      </c>
      <c r="L1224" t="n">
        <v>1</v>
      </c>
      <c r="M1224" t="n">
        <v>0</v>
      </c>
    </row>
    <row r="1225" spans="1:13">
      <c r="A1225" s="1">
        <f>HYPERLINK("http://www.twitter.com/NathanBLawrence/status/988832254611939329", "988832254611939329")</f>
        <v/>
      </c>
      <c r="B1225" s="2" t="n">
        <v>43214.72864583333</v>
      </c>
      <c r="C1225" t="n">
        <v>3</v>
      </c>
      <c r="D1225" t="n">
        <v>1</v>
      </c>
      <c r="E1225" t="s">
        <v>1236</v>
      </c>
      <c r="F1225" t="s"/>
      <c r="G1225" t="s"/>
      <c r="H1225" t="s"/>
      <c r="I1225" t="s"/>
      <c r="J1225" t="n">
        <v>0</v>
      </c>
      <c r="K1225" t="n">
        <v>0</v>
      </c>
      <c r="L1225" t="n">
        <v>1</v>
      </c>
      <c r="M1225" t="n">
        <v>0</v>
      </c>
    </row>
    <row r="1226" spans="1:13">
      <c r="A1226" s="1">
        <f>HYPERLINK("http://www.twitter.com/NathanBLawrence/status/988829387171786754", "988829387171786754")</f>
        <v/>
      </c>
      <c r="B1226" s="2" t="n">
        <v>43214.72074074074</v>
      </c>
      <c r="C1226" t="n">
        <v>5</v>
      </c>
      <c r="D1226" t="n">
        <v>2</v>
      </c>
      <c r="E1226" t="s">
        <v>1237</v>
      </c>
      <c r="F1226" t="s"/>
      <c r="G1226" t="s"/>
      <c r="H1226" t="s"/>
      <c r="I1226" t="s"/>
      <c r="J1226" t="n">
        <v>0.629</v>
      </c>
      <c r="K1226" t="n">
        <v>0.042</v>
      </c>
      <c r="L1226" t="n">
        <v>0.825</v>
      </c>
      <c r="M1226" t="n">
        <v>0.134</v>
      </c>
    </row>
    <row r="1227" spans="1:13">
      <c r="A1227" s="1">
        <f>HYPERLINK("http://www.twitter.com/NathanBLawrence/status/988828103748325382", "988828103748325382")</f>
        <v/>
      </c>
      <c r="B1227" s="2" t="n">
        <v>43214.71719907408</v>
      </c>
      <c r="C1227" t="n">
        <v>3</v>
      </c>
      <c r="D1227" t="n">
        <v>3</v>
      </c>
      <c r="E1227" t="s">
        <v>1238</v>
      </c>
      <c r="F1227" t="s"/>
      <c r="G1227" t="s"/>
      <c r="H1227" t="s"/>
      <c r="I1227" t="s"/>
      <c r="J1227" t="n">
        <v>0</v>
      </c>
      <c r="K1227" t="n">
        <v>0</v>
      </c>
      <c r="L1227" t="n">
        <v>1</v>
      </c>
      <c r="M1227" t="n">
        <v>0</v>
      </c>
    </row>
    <row r="1228" spans="1:13">
      <c r="A1228" s="1">
        <f>HYPERLINK("http://www.twitter.com/NathanBLawrence/status/988827570358706178", "988827570358706178")</f>
        <v/>
      </c>
      <c r="B1228" s="2" t="n">
        <v>43214.71571759259</v>
      </c>
      <c r="C1228" t="n">
        <v>1</v>
      </c>
      <c r="D1228" t="n">
        <v>1</v>
      </c>
      <c r="E1228" t="s">
        <v>1239</v>
      </c>
      <c r="F1228" t="s"/>
      <c r="G1228" t="s"/>
      <c r="H1228" t="s"/>
      <c r="I1228" t="s"/>
      <c r="J1228" t="n">
        <v>0</v>
      </c>
      <c r="K1228" t="n">
        <v>0</v>
      </c>
      <c r="L1228" t="n">
        <v>1</v>
      </c>
      <c r="M1228" t="n">
        <v>0</v>
      </c>
    </row>
    <row r="1229" spans="1:13">
      <c r="A1229" s="1">
        <f>HYPERLINK("http://www.twitter.com/NathanBLawrence/status/988826299593580544", "988826299593580544")</f>
        <v/>
      </c>
      <c r="B1229" s="2" t="n">
        <v>43214.71221064815</v>
      </c>
      <c r="C1229" t="n">
        <v>0</v>
      </c>
      <c r="D1229" t="n">
        <v>0</v>
      </c>
      <c r="E1229" t="s">
        <v>1240</v>
      </c>
      <c r="F1229" t="s"/>
      <c r="G1229" t="s"/>
      <c r="H1229" t="s"/>
      <c r="I1229" t="s"/>
      <c r="J1229" t="n">
        <v>0</v>
      </c>
      <c r="K1229" t="n">
        <v>0</v>
      </c>
      <c r="L1229" t="n">
        <v>1</v>
      </c>
      <c r="M1229" t="n">
        <v>0</v>
      </c>
    </row>
    <row r="1230" spans="1:13">
      <c r="A1230" s="1">
        <f>HYPERLINK("http://www.twitter.com/NathanBLawrence/status/988825944864550912", "988825944864550912")</f>
        <v/>
      </c>
      <c r="B1230" s="2" t="n">
        <v>43214.71123842592</v>
      </c>
      <c r="C1230" t="n">
        <v>0</v>
      </c>
      <c r="D1230" t="n">
        <v>0</v>
      </c>
      <c r="E1230" t="s">
        <v>1241</v>
      </c>
      <c r="F1230" t="s"/>
      <c r="G1230" t="s"/>
      <c r="H1230" t="s"/>
      <c r="I1230" t="s"/>
      <c r="J1230" t="n">
        <v>0.0701</v>
      </c>
      <c r="K1230" t="n">
        <v>0.276</v>
      </c>
      <c r="L1230" t="n">
        <v>0.42</v>
      </c>
      <c r="M1230" t="n">
        <v>0.304</v>
      </c>
    </row>
    <row r="1231" spans="1:13">
      <c r="A1231" s="1">
        <f>HYPERLINK("http://www.twitter.com/NathanBLawrence/status/988823185289248769", "988823185289248769")</f>
        <v/>
      </c>
      <c r="B1231" s="2" t="n">
        <v>43214.70362268519</v>
      </c>
      <c r="C1231" t="n">
        <v>0</v>
      </c>
      <c r="D1231" t="n">
        <v>0</v>
      </c>
      <c r="E1231" t="s">
        <v>1242</v>
      </c>
      <c r="F1231" t="s"/>
      <c r="G1231" t="s"/>
      <c r="H1231" t="s"/>
      <c r="I1231" t="s"/>
      <c r="J1231" t="n">
        <v>0.3612</v>
      </c>
      <c r="K1231" t="n">
        <v>0</v>
      </c>
      <c r="L1231" t="n">
        <v>0.906</v>
      </c>
      <c r="M1231" t="n">
        <v>0.094</v>
      </c>
    </row>
    <row r="1232" spans="1:13">
      <c r="A1232" s="1">
        <f>HYPERLINK("http://www.twitter.com/NathanBLawrence/status/988821803782066176", "988821803782066176")</f>
        <v/>
      </c>
      <c r="B1232" s="2" t="n">
        <v>43214.69981481481</v>
      </c>
      <c r="C1232" t="n">
        <v>0</v>
      </c>
      <c r="D1232" t="n">
        <v>0</v>
      </c>
      <c r="E1232" t="s">
        <v>1243</v>
      </c>
      <c r="F1232" t="s"/>
      <c r="G1232" t="s"/>
      <c r="H1232" t="s"/>
      <c r="I1232" t="s"/>
      <c r="J1232" t="n">
        <v>-0.3612</v>
      </c>
      <c r="K1232" t="n">
        <v>0.385</v>
      </c>
      <c r="L1232" t="n">
        <v>0.615</v>
      </c>
      <c r="M1232" t="n">
        <v>0</v>
      </c>
    </row>
    <row r="1233" spans="1:13">
      <c r="A1233" s="1">
        <f>HYPERLINK("http://www.twitter.com/NathanBLawrence/status/988821194618097664", "988821194618097664")</f>
        <v/>
      </c>
      <c r="B1233" s="2" t="n">
        <v>43214.698125</v>
      </c>
      <c r="C1233" t="n">
        <v>2</v>
      </c>
      <c r="D1233" t="n">
        <v>1</v>
      </c>
      <c r="E1233" t="s">
        <v>1244</v>
      </c>
      <c r="F1233" t="s"/>
      <c r="G1233" t="s"/>
      <c r="H1233" t="s"/>
      <c r="I1233" t="s"/>
      <c r="J1233" t="n">
        <v>0</v>
      </c>
      <c r="K1233" t="n">
        <v>0</v>
      </c>
      <c r="L1233" t="n">
        <v>1</v>
      </c>
      <c r="M1233" t="n">
        <v>0</v>
      </c>
    </row>
    <row r="1234" spans="1:13">
      <c r="A1234" s="1">
        <f>HYPERLINK("http://www.twitter.com/NathanBLawrence/status/988820711576875010", "988820711576875010")</f>
        <v/>
      </c>
      <c r="B1234" s="2" t="n">
        <v>43214.69679398148</v>
      </c>
      <c r="C1234" t="n">
        <v>2</v>
      </c>
      <c r="D1234" t="n">
        <v>0</v>
      </c>
      <c r="E1234" t="s">
        <v>1245</v>
      </c>
      <c r="F1234" t="s"/>
      <c r="G1234" t="s"/>
      <c r="H1234" t="s"/>
      <c r="I1234" t="s"/>
      <c r="J1234" t="n">
        <v>0</v>
      </c>
      <c r="K1234" t="n">
        <v>0</v>
      </c>
      <c r="L1234" t="n">
        <v>1</v>
      </c>
      <c r="M1234" t="n">
        <v>0</v>
      </c>
    </row>
    <row r="1235" spans="1:13">
      <c r="A1235" s="1">
        <f>HYPERLINK("http://www.twitter.com/NathanBLawrence/status/988819952265285632", "988819952265285632")</f>
        <v/>
      </c>
      <c r="B1235" s="2" t="n">
        <v>43214.69469907408</v>
      </c>
      <c r="C1235" t="n">
        <v>0</v>
      </c>
      <c r="D1235" t="n">
        <v>0</v>
      </c>
      <c r="E1235" t="s">
        <v>1246</v>
      </c>
      <c r="F1235" t="s"/>
      <c r="G1235" t="s"/>
      <c r="H1235" t="s"/>
      <c r="I1235" t="s"/>
      <c r="J1235" t="n">
        <v>0.6486</v>
      </c>
      <c r="K1235" t="n">
        <v>0</v>
      </c>
      <c r="L1235" t="n">
        <v>0.531</v>
      </c>
      <c r="M1235" t="n">
        <v>0.469</v>
      </c>
    </row>
    <row r="1236" spans="1:13">
      <c r="A1236" s="1">
        <f>HYPERLINK("http://www.twitter.com/NathanBLawrence/status/988819715928870912", "988819715928870912")</f>
        <v/>
      </c>
      <c r="B1236" s="2" t="n">
        <v>43214.69405092593</v>
      </c>
      <c r="C1236" t="n">
        <v>2</v>
      </c>
      <c r="D1236" t="n">
        <v>2</v>
      </c>
      <c r="E1236" t="s">
        <v>1247</v>
      </c>
      <c r="F1236" t="s"/>
      <c r="G1236" t="s"/>
      <c r="H1236" t="s"/>
      <c r="I1236" t="s"/>
      <c r="J1236" t="n">
        <v>0</v>
      </c>
      <c r="K1236" t="n">
        <v>0</v>
      </c>
      <c r="L1236" t="n">
        <v>1</v>
      </c>
      <c r="M1236" t="n">
        <v>0</v>
      </c>
    </row>
    <row r="1237" spans="1:13">
      <c r="A1237" s="1">
        <f>HYPERLINK("http://www.twitter.com/NathanBLawrence/status/988819441419988993", "988819441419988993")</f>
        <v/>
      </c>
      <c r="B1237" s="2" t="n">
        <v>43214.69328703704</v>
      </c>
      <c r="C1237" t="n">
        <v>1</v>
      </c>
      <c r="D1237" t="n">
        <v>0</v>
      </c>
      <c r="E1237" t="s">
        <v>1248</v>
      </c>
      <c r="F1237" t="s"/>
      <c r="G1237" t="s"/>
      <c r="H1237" t="s"/>
      <c r="I1237" t="s"/>
      <c r="J1237" t="n">
        <v>0</v>
      </c>
      <c r="K1237" t="n">
        <v>0</v>
      </c>
      <c r="L1237" t="n">
        <v>1</v>
      </c>
      <c r="M1237" t="n">
        <v>0</v>
      </c>
    </row>
    <row r="1238" spans="1:13">
      <c r="A1238" s="1">
        <f>HYPERLINK("http://www.twitter.com/NathanBLawrence/status/988798865397682177", "988798865397682177")</f>
        <v/>
      </c>
      <c r="B1238" s="2" t="n">
        <v>43214.6365162037</v>
      </c>
      <c r="C1238" t="n">
        <v>0</v>
      </c>
      <c r="D1238" t="n">
        <v>0</v>
      </c>
      <c r="E1238" t="s">
        <v>1249</v>
      </c>
      <c r="F1238" t="s"/>
      <c r="G1238" t="s"/>
      <c r="H1238" t="s"/>
      <c r="I1238" t="s"/>
      <c r="J1238" t="n">
        <v>-0.47</v>
      </c>
      <c r="K1238" t="n">
        <v>0.191</v>
      </c>
      <c r="L1238" t="n">
        <v>0.8090000000000001</v>
      </c>
      <c r="M1238" t="n">
        <v>0</v>
      </c>
    </row>
    <row r="1239" spans="1:13">
      <c r="A1239" s="1">
        <f>HYPERLINK("http://www.twitter.com/NathanBLawrence/status/988796561160368128", "988796561160368128")</f>
        <v/>
      </c>
      <c r="B1239" s="2" t="n">
        <v>43214.63015046297</v>
      </c>
      <c r="C1239" t="n">
        <v>1</v>
      </c>
      <c r="D1239" t="n">
        <v>0</v>
      </c>
      <c r="E1239" t="s">
        <v>1250</v>
      </c>
      <c r="F1239" t="s"/>
      <c r="G1239" t="s"/>
      <c r="H1239" t="s"/>
      <c r="I1239" t="s"/>
      <c r="J1239" t="n">
        <v>0.3612</v>
      </c>
      <c r="K1239" t="n">
        <v>0</v>
      </c>
      <c r="L1239" t="n">
        <v>0.857</v>
      </c>
      <c r="M1239" t="n">
        <v>0.143</v>
      </c>
    </row>
    <row r="1240" spans="1:13">
      <c r="A1240" s="1">
        <f>HYPERLINK("http://www.twitter.com/NathanBLawrence/status/988795551696203776", "988795551696203776")</f>
        <v/>
      </c>
      <c r="B1240" s="2" t="n">
        <v>43214.62737268519</v>
      </c>
      <c r="C1240" t="n">
        <v>0</v>
      </c>
      <c r="D1240" t="n">
        <v>0</v>
      </c>
      <c r="E1240" t="s">
        <v>1251</v>
      </c>
      <c r="F1240" t="s"/>
      <c r="G1240" t="s"/>
      <c r="H1240" t="s"/>
      <c r="I1240" t="s"/>
      <c r="J1240" t="n">
        <v>-0.5002</v>
      </c>
      <c r="K1240" t="n">
        <v>0.176</v>
      </c>
      <c r="L1240" t="n">
        <v>0.76</v>
      </c>
      <c r="M1240" t="n">
        <v>0.064</v>
      </c>
    </row>
    <row r="1241" spans="1:13">
      <c r="A1241" s="1">
        <f>HYPERLINK("http://www.twitter.com/NathanBLawrence/status/988793958246559744", "988793958246559744")</f>
        <v/>
      </c>
      <c r="B1241" s="2" t="n">
        <v>43214.62297453704</v>
      </c>
      <c r="C1241" t="n">
        <v>4</v>
      </c>
      <c r="D1241" t="n">
        <v>0</v>
      </c>
      <c r="E1241" t="s">
        <v>1252</v>
      </c>
      <c r="F1241" t="s"/>
      <c r="G1241" t="s"/>
      <c r="H1241" t="s"/>
      <c r="I1241" t="s"/>
      <c r="J1241" t="n">
        <v>0</v>
      </c>
      <c r="K1241" t="n">
        <v>0</v>
      </c>
      <c r="L1241" t="n">
        <v>1</v>
      </c>
      <c r="M1241" t="n">
        <v>0</v>
      </c>
    </row>
    <row r="1242" spans="1:13">
      <c r="A1242" s="1">
        <f>HYPERLINK("http://www.twitter.com/NathanBLawrence/status/988793729111744512", "988793729111744512")</f>
        <v/>
      </c>
      <c r="B1242" s="2" t="n">
        <v>43214.62233796297</v>
      </c>
      <c r="C1242" t="n">
        <v>1</v>
      </c>
      <c r="D1242" t="n">
        <v>0</v>
      </c>
      <c r="E1242" t="s">
        <v>1253</v>
      </c>
      <c r="F1242" t="s"/>
      <c r="G1242" t="s"/>
      <c r="H1242" t="s"/>
      <c r="I1242" t="s"/>
      <c r="J1242" t="n">
        <v>0.4019</v>
      </c>
      <c r="K1242" t="n">
        <v>0</v>
      </c>
      <c r="L1242" t="n">
        <v>0.787</v>
      </c>
      <c r="M1242" t="n">
        <v>0.213</v>
      </c>
    </row>
    <row r="1243" spans="1:13">
      <c r="A1243" s="1">
        <f>HYPERLINK("http://www.twitter.com/NathanBLawrence/status/988793120425988096", "988793120425988096")</f>
        <v/>
      </c>
      <c r="B1243" s="2" t="n">
        <v>43214.62065972222</v>
      </c>
      <c r="C1243" t="n">
        <v>0</v>
      </c>
      <c r="D1243" t="n">
        <v>0</v>
      </c>
      <c r="E1243" t="s">
        <v>1254</v>
      </c>
      <c r="F1243" t="s"/>
      <c r="G1243" t="s"/>
      <c r="H1243" t="s"/>
      <c r="I1243" t="s"/>
      <c r="J1243" t="n">
        <v>0</v>
      </c>
      <c r="K1243" t="n">
        <v>0</v>
      </c>
      <c r="L1243" t="n">
        <v>1</v>
      </c>
      <c r="M1243" t="n">
        <v>0</v>
      </c>
    </row>
    <row r="1244" spans="1:13">
      <c r="A1244" s="1">
        <f>HYPERLINK("http://www.twitter.com/NathanBLawrence/status/988792760663789569", "988792760663789569")</f>
        <v/>
      </c>
      <c r="B1244" s="2" t="n">
        <v>43214.61966435185</v>
      </c>
      <c r="C1244" t="n">
        <v>1</v>
      </c>
      <c r="D1244" t="n">
        <v>0</v>
      </c>
      <c r="E1244" t="s">
        <v>1255</v>
      </c>
      <c r="F1244" t="s"/>
      <c r="G1244" t="s"/>
      <c r="H1244" t="s"/>
      <c r="I1244" t="s"/>
      <c r="J1244" t="n">
        <v>0.9014</v>
      </c>
      <c r="K1244" t="n">
        <v>0.07199999999999999</v>
      </c>
      <c r="L1244" t="n">
        <v>0.462</v>
      </c>
      <c r="M1244" t="n">
        <v>0.466</v>
      </c>
    </row>
    <row r="1245" spans="1:13">
      <c r="A1245" s="1">
        <f>HYPERLINK("http://www.twitter.com/NathanBLawrence/status/988792241320800257", "988792241320800257")</f>
        <v/>
      </c>
      <c r="B1245" s="2" t="n">
        <v>43214.61822916667</v>
      </c>
      <c r="C1245" t="n">
        <v>0</v>
      </c>
      <c r="D1245" t="n">
        <v>0</v>
      </c>
      <c r="E1245" t="s">
        <v>1256</v>
      </c>
      <c r="F1245" t="s"/>
      <c r="G1245" t="s"/>
      <c r="H1245" t="s"/>
      <c r="I1245" t="s"/>
      <c r="J1245" t="n">
        <v>-0.5715</v>
      </c>
      <c r="K1245" t="n">
        <v>0.252</v>
      </c>
      <c r="L1245" t="n">
        <v>0.748</v>
      </c>
      <c r="M1245" t="n">
        <v>0</v>
      </c>
    </row>
    <row r="1246" spans="1:13">
      <c r="A1246" s="1">
        <f>HYPERLINK("http://www.twitter.com/NathanBLawrence/status/988791773756608513", "988791773756608513")</f>
        <v/>
      </c>
      <c r="B1246" s="2" t="n">
        <v>43214.61694444445</v>
      </c>
      <c r="C1246" t="n">
        <v>0</v>
      </c>
      <c r="D1246" t="n">
        <v>0</v>
      </c>
      <c r="E1246" t="s">
        <v>1257</v>
      </c>
      <c r="F1246" t="s"/>
      <c r="G1246" t="s"/>
      <c r="H1246" t="s"/>
      <c r="I1246" t="s"/>
      <c r="J1246" t="n">
        <v>0</v>
      </c>
      <c r="K1246" t="n">
        <v>0</v>
      </c>
      <c r="L1246" t="n">
        <v>1</v>
      </c>
      <c r="M1246" t="n">
        <v>0</v>
      </c>
    </row>
    <row r="1247" spans="1:13">
      <c r="A1247" s="1">
        <f>HYPERLINK("http://www.twitter.com/NathanBLawrence/status/988791587470790656", "988791587470790656")</f>
        <v/>
      </c>
      <c r="B1247" s="2" t="n">
        <v>43214.61642361111</v>
      </c>
      <c r="C1247" t="n">
        <v>2</v>
      </c>
      <c r="D1247" t="n">
        <v>0</v>
      </c>
      <c r="E1247" t="s">
        <v>1258</v>
      </c>
      <c r="F1247" t="s"/>
      <c r="G1247" t="s"/>
      <c r="H1247" t="s"/>
      <c r="I1247" t="s"/>
      <c r="J1247" t="n">
        <v>0</v>
      </c>
      <c r="K1247" t="n">
        <v>0</v>
      </c>
      <c r="L1247" t="n">
        <v>1</v>
      </c>
      <c r="M1247" t="n">
        <v>0</v>
      </c>
    </row>
    <row r="1248" spans="1:13">
      <c r="A1248" s="1">
        <f>HYPERLINK("http://www.twitter.com/NathanBLawrence/status/988791006358396928", "988791006358396928")</f>
        <v/>
      </c>
      <c r="B1248" s="2" t="n">
        <v>43214.61482638889</v>
      </c>
      <c r="C1248" t="n">
        <v>0</v>
      </c>
      <c r="D1248" t="n">
        <v>0</v>
      </c>
      <c r="E1248" t="s">
        <v>1259</v>
      </c>
      <c r="F1248" t="s"/>
      <c r="G1248" t="s"/>
      <c r="H1248" t="s"/>
      <c r="I1248" t="s"/>
      <c r="J1248" t="n">
        <v>0</v>
      </c>
      <c r="K1248" t="n">
        <v>0</v>
      </c>
      <c r="L1248" t="n">
        <v>1</v>
      </c>
      <c r="M1248" t="n">
        <v>0</v>
      </c>
    </row>
    <row r="1249" spans="1:13">
      <c r="A1249" s="1">
        <f>HYPERLINK("http://www.twitter.com/NathanBLawrence/status/988790780142739456", "988790780142739456")</f>
        <v/>
      </c>
      <c r="B1249" s="2" t="n">
        <v>43214.61420138889</v>
      </c>
      <c r="C1249" t="n">
        <v>1</v>
      </c>
      <c r="D1249" t="n">
        <v>0</v>
      </c>
      <c r="E1249" t="s">
        <v>1260</v>
      </c>
      <c r="F1249" t="s"/>
      <c r="G1249" t="s"/>
      <c r="H1249" t="s"/>
      <c r="I1249" t="s"/>
      <c r="J1249" t="n">
        <v>0</v>
      </c>
      <c r="K1249" t="n">
        <v>0</v>
      </c>
      <c r="L1249" t="n">
        <v>1</v>
      </c>
      <c r="M1249" t="n">
        <v>0</v>
      </c>
    </row>
    <row r="1250" spans="1:13">
      <c r="A1250" s="1">
        <f>HYPERLINK("http://www.twitter.com/NathanBLawrence/status/988788521103187968", "988788521103187968")</f>
        <v/>
      </c>
      <c r="B1250" s="2" t="n">
        <v>43214.60796296296</v>
      </c>
      <c r="C1250" t="n">
        <v>1</v>
      </c>
      <c r="D1250" t="n">
        <v>0</v>
      </c>
      <c r="E1250" t="s">
        <v>1261</v>
      </c>
      <c r="F1250" t="s"/>
      <c r="G1250" t="s"/>
      <c r="H1250" t="s"/>
      <c r="I1250" t="s"/>
      <c r="J1250" t="n">
        <v>0</v>
      </c>
      <c r="K1250" t="n">
        <v>0</v>
      </c>
      <c r="L1250" t="n">
        <v>1</v>
      </c>
      <c r="M1250" t="n">
        <v>0</v>
      </c>
    </row>
    <row r="1251" spans="1:13">
      <c r="A1251" s="1">
        <f>HYPERLINK("http://www.twitter.com/NathanBLawrence/status/988788236289011712", "988788236289011712")</f>
        <v/>
      </c>
      <c r="B1251" s="2" t="n">
        <v>43214.60717592593</v>
      </c>
      <c r="C1251" t="n">
        <v>1</v>
      </c>
      <c r="D1251" t="n">
        <v>1</v>
      </c>
      <c r="E1251" t="s">
        <v>1262</v>
      </c>
      <c r="F1251" t="s"/>
      <c r="G1251" t="s"/>
      <c r="H1251" t="s"/>
      <c r="I1251" t="s"/>
      <c r="J1251" t="n">
        <v>0.7783</v>
      </c>
      <c r="K1251" t="n">
        <v>0</v>
      </c>
      <c r="L1251" t="n">
        <v>0.755</v>
      </c>
      <c r="M1251" t="n">
        <v>0.245</v>
      </c>
    </row>
    <row r="1252" spans="1:13">
      <c r="A1252" s="1">
        <f>HYPERLINK("http://www.twitter.com/NathanBLawrence/status/988786105007960064", "988786105007960064")</f>
        <v/>
      </c>
      <c r="B1252" s="2" t="n">
        <v>43214.6012962963</v>
      </c>
      <c r="C1252" t="n">
        <v>5</v>
      </c>
      <c r="D1252" t="n">
        <v>3</v>
      </c>
      <c r="E1252" t="s">
        <v>1263</v>
      </c>
      <c r="F1252" t="s"/>
      <c r="G1252" t="s"/>
      <c r="H1252" t="s"/>
      <c r="I1252" t="s"/>
      <c r="J1252" t="n">
        <v>0</v>
      </c>
      <c r="K1252" t="n">
        <v>0</v>
      </c>
      <c r="L1252" t="n">
        <v>1</v>
      </c>
      <c r="M1252" t="n">
        <v>0</v>
      </c>
    </row>
    <row r="1253" spans="1:13">
      <c r="A1253" s="1">
        <f>HYPERLINK("http://www.twitter.com/NathanBLawrence/status/988757568347672576", "988757568347672576")</f>
        <v/>
      </c>
      <c r="B1253" s="2" t="n">
        <v>43214.52255787037</v>
      </c>
      <c r="C1253" t="n">
        <v>7</v>
      </c>
      <c r="D1253" t="n">
        <v>5</v>
      </c>
      <c r="E1253" t="s">
        <v>1264</v>
      </c>
      <c r="F1253" t="s"/>
      <c r="G1253" t="s"/>
      <c r="H1253" t="s"/>
      <c r="I1253" t="s"/>
      <c r="J1253" t="n">
        <v>0</v>
      </c>
      <c r="K1253" t="n">
        <v>0</v>
      </c>
      <c r="L1253" t="n">
        <v>1</v>
      </c>
      <c r="M1253" t="n">
        <v>0</v>
      </c>
    </row>
    <row r="1254" spans="1:13">
      <c r="A1254" s="1">
        <f>HYPERLINK("http://www.twitter.com/NathanBLawrence/status/988756815025291265", "988756815025291265")</f>
        <v/>
      </c>
      <c r="B1254" s="2" t="n">
        <v>43214.52047453704</v>
      </c>
      <c r="C1254" t="n">
        <v>0</v>
      </c>
      <c r="D1254" t="n">
        <v>2689</v>
      </c>
      <c r="E1254" t="s">
        <v>1265</v>
      </c>
      <c r="F1254">
        <f>HYPERLINK("http://pbs.twimg.com/media/Dbh1yO4X4AE3fe5.jpg", "http://pbs.twimg.com/media/Dbh1yO4X4AE3fe5.jpg")</f>
        <v/>
      </c>
      <c r="G1254" t="s"/>
      <c r="H1254" t="s"/>
      <c r="I1254" t="s"/>
      <c r="J1254" t="n">
        <v>-0.8957000000000001</v>
      </c>
      <c r="K1254" t="n">
        <v>0.32</v>
      </c>
      <c r="L1254" t="n">
        <v>0.68</v>
      </c>
      <c r="M1254" t="n">
        <v>0</v>
      </c>
    </row>
    <row r="1255" spans="1:13">
      <c r="A1255" s="1">
        <f>HYPERLINK("http://www.twitter.com/NathanBLawrence/status/988756720859131904", "988756720859131904")</f>
        <v/>
      </c>
      <c r="B1255" s="2" t="n">
        <v>43214.5202199074</v>
      </c>
      <c r="C1255" t="n">
        <v>5</v>
      </c>
      <c r="D1255" t="n">
        <v>0</v>
      </c>
      <c r="E1255" t="s">
        <v>1266</v>
      </c>
      <c r="F1255">
        <f>HYPERLINK("http://pbs.twimg.com/media/DbjE_N2WsAEfGvd.jpg", "http://pbs.twimg.com/media/DbjE_N2WsAEfGvd.jpg")</f>
        <v/>
      </c>
      <c r="G1255" t="s"/>
      <c r="H1255" t="s"/>
      <c r="I1255" t="s"/>
      <c r="J1255" t="n">
        <v>0</v>
      </c>
      <c r="K1255" t="n">
        <v>0</v>
      </c>
      <c r="L1255" t="n">
        <v>1</v>
      </c>
      <c r="M1255" t="n">
        <v>0</v>
      </c>
    </row>
    <row r="1256" spans="1:13">
      <c r="A1256" s="1">
        <f>HYPERLINK("http://www.twitter.com/NathanBLawrence/status/988755324822867968", "988755324822867968")</f>
        <v/>
      </c>
      <c r="B1256" s="2" t="n">
        <v>43214.51636574074</v>
      </c>
      <c r="C1256" t="n">
        <v>3</v>
      </c>
      <c r="D1256" t="n">
        <v>0</v>
      </c>
      <c r="E1256" t="s">
        <v>1267</v>
      </c>
      <c r="F1256" t="s"/>
      <c r="G1256" t="s"/>
      <c r="H1256" t="s"/>
      <c r="I1256" t="s"/>
      <c r="J1256" t="n">
        <v>-0.7845</v>
      </c>
      <c r="K1256" t="n">
        <v>0.497</v>
      </c>
      <c r="L1256" t="n">
        <v>0.503</v>
      </c>
      <c r="M1256" t="n">
        <v>0</v>
      </c>
    </row>
    <row r="1257" spans="1:13">
      <c r="A1257" s="1">
        <f>HYPERLINK("http://www.twitter.com/NathanBLawrence/status/988754652719144961", "988754652719144961")</f>
        <v/>
      </c>
      <c r="B1257" s="2" t="n">
        <v>43214.51451388889</v>
      </c>
      <c r="C1257" t="n">
        <v>0</v>
      </c>
      <c r="D1257" t="n">
        <v>2</v>
      </c>
      <c r="E1257" t="s">
        <v>1268</v>
      </c>
      <c r="F1257" t="s"/>
      <c r="G1257" t="s"/>
      <c r="H1257" t="s"/>
      <c r="I1257" t="s"/>
      <c r="J1257" t="n">
        <v>0</v>
      </c>
      <c r="K1257" t="n">
        <v>0</v>
      </c>
      <c r="L1257" t="n">
        <v>1</v>
      </c>
      <c r="M1257" t="n">
        <v>0</v>
      </c>
    </row>
    <row r="1258" spans="1:13">
      <c r="A1258" s="1">
        <f>HYPERLINK("http://www.twitter.com/NathanBLawrence/status/988740407638089728", "988740407638089728")</f>
        <v/>
      </c>
      <c r="B1258" s="2" t="n">
        <v>43214.47519675926</v>
      </c>
      <c r="C1258" t="n">
        <v>0</v>
      </c>
      <c r="D1258" t="n">
        <v>0</v>
      </c>
      <c r="E1258" t="s">
        <v>1269</v>
      </c>
      <c r="F1258" t="s"/>
      <c r="G1258" t="s"/>
      <c r="H1258" t="s"/>
      <c r="I1258" t="s"/>
      <c r="J1258" t="n">
        <v>0.1696</v>
      </c>
      <c r="K1258" t="n">
        <v>0.052</v>
      </c>
      <c r="L1258" t="n">
        <v>0.875</v>
      </c>
      <c r="M1258" t="n">
        <v>0.073</v>
      </c>
    </row>
    <row r="1259" spans="1:13">
      <c r="A1259" s="1">
        <f>HYPERLINK("http://www.twitter.com/NathanBLawrence/status/988636282011181056", "988636282011181056")</f>
        <v/>
      </c>
      <c r="B1259" s="2" t="n">
        <v>43214.18787037037</v>
      </c>
      <c r="C1259" t="n">
        <v>2</v>
      </c>
      <c r="D1259" t="n">
        <v>2</v>
      </c>
      <c r="E1259" t="s">
        <v>1270</v>
      </c>
      <c r="F1259" t="s"/>
      <c r="G1259" t="s"/>
      <c r="H1259" t="s"/>
      <c r="I1259" t="s"/>
      <c r="J1259" t="n">
        <v>0</v>
      </c>
      <c r="K1259" t="n">
        <v>0</v>
      </c>
      <c r="L1259" t="n">
        <v>1</v>
      </c>
      <c r="M1259" t="n">
        <v>0</v>
      </c>
    </row>
    <row r="1260" spans="1:13">
      <c r="A1260" s="1">
        <f>HYPERLINK("http://www.twitter.com/NathanBLawrence/status/988628859443646464", "988628859443646464")</f>
        <v/>
      </c>
      <c r="B1260" s="2" t="n">
        <v>43214.16738425926</v>
      </c>
      <c r="C1260" t="n">
        <v>3</v>
      </c>
      <c r="D1260" t="n">
        <v>0</v>
      </c>
      <c r="E1260" t="s">
        <v>1271</v>
      </c>
      <c r="F1260" t="s"/>
      <c r="G1260" t="s"/>
      <c r="H1260" t="s"/>
      <c r="I1260" t="s"/>
      <c r="J1260" t="n">
        <v>0</v>
      </c>
      <c r="K1260" t="n">
        <v>0</v>
      </c>
      <c r="L1260" t="n">
        <v>1</v>
      </c>
      <c r="M1260" t="n">
        <v>0</v>
      </c>
    </row>
    <row r="1261" spans="1:13">
      <c r="A1261" s="1">
        <f>HYPERLINK("http://www.twitter.com/NathanBLawrence/status/988626405104775169", "988626405104775169")</f>
        <v/>
      </c>
      <c r="B1261" s="2" t="n">
        <v>43214.16061342593</v>
      </c>
      <c r="C1261" t="n">
        <v>0</v>
      </c>
      <c r="D1261" t="n">
        <v>0</v>
      </c>
      <c r="E1261" t="s">
        <v>1272</v>
      </c>
      <c r="F1261" t="s"/>
      <c r="G1261" t="s"/>
      <c r="H1261" t="s"/>
      <c r="I1261" t="s"/>
      <c r="J1261" t="n">
        <v>0</v>
      </c>
      <c r="K1261" t="n">
        <v>0</v>
      </c>
      <c r="L1261" t="n">
        <v>1</v>
      </c>
      <c r="M1261" t="n">
        <v>0</v>
      </c>
    </row>
    <row r="1262" spans="1:13">
      <c r="A1262" s="1">
        <f>HYPERLINK("http://www.twitter.com/NathanBLawrence/status/988597154951385089", "988597154951385089")</f>
        <v/>
      </c>
      <c r="B1262" s="2" t="n">
        <v>43214.07989583333</v>
      </c>
      <c r="C1262" t="n">
        <v>4</v>
      </c>
      <c r="D1262" t="n">
        <v>4</v>
      </c>
      <c r="E1262" t="s">
        <v>1273</v>
      </c>
      <c r="F1262" t="s"/>
      <c r="G1262" t="s"/>
      <c r="H1262" t="s"/>
      <c r="I1262" t="s"/>
      <c r="J1262" t="n">
        <v>0</v>
      </c>
      <c r="K1262" t="n">
        <v>0</v>
      </c>
      <c r="L1262" t="n">
        <v>1</v>
      </c>
      <c r="M1262" t="n">
        <v>0</v>
      </c>
    </row>
    <row r="1263" spans="1:13">
      <c r="A1263" s="1">
        <f>HYPERLINK("http://www.twitter.com/NathanBLawrence/status/988584654113509376", "988584654113509376")</f>
        <v/>
      </c>
      <c r="B1263" s="2" t="n">
        <v>43214.04540509259</v>
      </c>
      <c r="C1263" t="n">
        <v>3</v>
      </c>
      <c r="D1263" t="n">
        <v>1</v>
      </c>
      <c r="E1263" t="s">
        <v>1274</v>
      </c>
      <c r="F1263" t="s"/>
      <c r="G1263" t="s"/>
      <c r="H1263" t="s"/>
      <c r="I1263" t="s"/>
      <c r="J1263" t="n">
        <v>0.0062</v>
      </c>
      <c r="K1263" t="n">
        <v>0.193</v>
      </c>
      <c r="L1263" t="n">
        <v>0.614</v>
      </c>
      <c r="M1263" t="n">
        <v>0.194</v>
      </c>
    </row>
    <row r="1264" spans="1:13">
      <c r="A1264" s="1">
        <f>HYPERLINK("http://www.twitter.com/NathanBLawrence/status/988564932559036416", "988564932559036416")</f>
        <v/>
      </c>
      <c r="B1264" s="2" t="n">
        <v>43213.9909837963</v>
      </c>
      <c r="C1264" t="n">
        <v>1</v>
      </c>
      <c r="D1264" t="n">
        <v>0</v>
      </c>
      <c r="E1264" t="s">
        <v>1275</v>
      </c>
      <c r="F1264" t="s"/>
      <c r="G1264" t="s"/>
      <c r="H1264" t="s"/>
      <c r="I1264" t="s"/>
      <c r="J1264" t="n">
        <v>0</v>
      </c>
      <c r="K1264" t="n">
        <v>0</v>
      </c>
      <c r="L1264" t="n">
        <v>1</v>
      </c>
      <c r="M1264" t="n">
        <v>0</v>
      </c>
    </row>
    <row r="1265" spans="1:13">
      <c r="A1265" s="1">
        <f>HYPERLINK("http://www.twitter.com/NathanBLawrence/status/988564454475431937", "988564454475431937")</f>
        <v/>
      </c>
      <c r="B1265" s="2" t="n">
        <v>43213.98966435185</v>
      </c>
      <c r="C1265" t="n">
        <v>0</v>
      </c>
      <c r="D1265" t="n">
        <v>37</v>
      </c>
      <c r="E1265" t="s">
        <v>1276</v>
      </c>
      <c r="F1265" t="s"/>
      <c r="G1265" t="s"/>
      <c r="H1265" t="s"/>
      <c r="I1265" t="s"/>
      <c r="J1265" t="n">
        <v>0.8564000000000001</v>
      </c>
      <c r="K1265" t="n">
        <v>0</v>
      </c>
      <c r="L1265" t="n">
        <v>0.68</v>
      </c>
      <c r="M1265" t="n">
        <v>0.32</v>
      </c>
    </row>
    <row r="1266" spans="1:13">
      <c r="A1266" s="1">
        <f>HYPERLINK("http://www.twitter.com/NathanBLawrence/status/988564083774492672", "988564083774492672")</f>
        <v/>
      </c>
      <c r="B1266" s="2" t="n">
        <v>43213.98863425926</v>
      </c>
      <c r="C1266" t="n">
        <v>0</v>
      </c>
      <c r="D1266" t="n">
        <v>566</v>
      </c>
      <c r="E1266" t="s">
        <v>1277</v>
      </c>
      <c r="F1266" t="s"/>
      <c r="G1266" t="s"/>
      <c r="H1266" t="s"/>
      <c r="I1266" t="s"/>
      <c r="J1266" t="n">
        <v>0.128</v>
      </c>
      <c r="K1266" t="n">
        <v>0.08500000000000001</v>
      </c>
      <c r="L1266" t="n">
        <v>0.806</v>
      </c>
      <c r="M1266" t="n">
        <v>0.109</v>
      </c>
    </row>
    <row r="1267" spans="1:13">
      <c r="A1267" s="1">
        <f>HYPERLINK("http://www.twitter.com/NathanBLawrence/status/988563872301936641", "988563872301936641")</f>
        <v/>
      </c>
      <c r="B1267" s="2" t="n">
        <v>43213.98805555556</v>
      </c>
      <c r="C1267" t="n">
        <v>1</v>
      </c>
      <c r="D1267" t="n">
        <v>1</v>
      </c>
      <c r="E1267" t="s">
        <v>1278</v>
      </c>
      <c r="F1267" t="s"/>
      <c r="G1267" t="s"/>
      <c r="H1267" t="s"/>
      <c r="I1267" t="s"/>
      <c r="J1267" t="n">
        <v>0.4912</v>
      </c>
      <c r="K1267" t="n">
        <v>0.11</v>
      </c>
      <c r="L1267" t="n">
        <v>0.736</v>
      </c>
      <c r="M1267" t="n">
        <v>0.154</v>
      </c>
    </row>
    <row r="1268" spans="1:13">
      <c r="A1268" s="1">
        <f>HYPERLINK("http://www.twitter.com/NathanBLawrence/status/988560890562785287", "988560890562785287")</f>
        <v/>
      </c>
      <c r="B1268" s="2" t="n">
        <v>43213.97982638889</v>
      </c>
      <c r="C1268" t="n">
        <v>0</v>
      </c>
      <c r="D1268" t="n">
        <v>14</v>
      </c>
      <c r="E1268" t="s">
        <v>1279</v>
      </c>
      <c r="F1268" t="s"/>
      <c r="G1268" t="s"/>
      <c r="H1268" t="s"/>
      <c r="I1268" t="s"/>
      <c r="J1268" t="n">
        <v>0</v>
      </c>
      <c r="K1268" t="n">
        <v>0</v>
      </c>
      <c r="L1268" t="n">
        <v>1</v>
      </c>
      <c r="M1268" t="n">
        <v>0</v>
      </c>
    </row>
    <row r="1269" spans="1:13">
      <c r="A1269" s="1">
        <f>HYPERLINK("http://www.twitter.com/NathanBLawrence/status/988560731091144705", "988560731091144705")</f>
        <v/>
      </c>
      <c r="B1269" s="2" t="n">
        <v>43213.97938657407</v>
      </c>
      <c r="C1269" t="n">
        <v>2</v>
      </c>
      <c r="D1269" t="n">
        <v>0</v>
      </c>
      <c r="E1269" t="s">
        <v>1280</v>
      </c>
      <c r="F1269" t="s"/>
      <c r="G1269" t="s"/>
      <c r="H1269" t="s"/>
      <c r="I1269" t="s"/>
      <c r="J1269" t="n">
        <v>0.3818</v>
      </c>
      <c r="K1269" t="n">
        <v>0</v>
      </c>
      <c r="L1269" t="n">
        <v>0.278</v>
      </c>
      <c r="M1269" t="n">
        <v>0.722</v>
      </c>
    </row>
    <row r="1270" spans="1:13">
      <c r="A1270" s="1">
        <f>HYPERLINK("http://www.twitter.com/NathanBLawrence/status/988560546231398400", "988560546231398400")</f>
        <v/>
      </c>
      <c r="B1270" s="2" t="n">
        <v>43213.97887731482</v>
      </c>
      <c r="C1270" t="n">
        <v>1</v>
      </c>
      <c r="D1270" t="n">
        <v>0</v>
      </c>
      <c r="E1270" t="s">
        <v>1281</v>
      </c>
      <c r="F1270">
        <f>HYPERLINK("http://pbs.twimg.com/media/DbgSkkzVwAIxSbr.jpg", "http://pbs.twimg.com/media/DbgSkkzVwAIxSbr.jpg")</f>
        <v/>
      </c>
      <c r="G1270" t="s"/>
      <c r="H1270" t="s"/>
      <c r="I1270" t="s"/>
      <c r="J1270" t="n">
        <v>0.5574</v>
      </c>
      <c r="K1270" t="n">
        <v>0</v>
      </c>
      <c r="L1270" t="n">
        <v>0.8159999999999999</v>
      </c>
      <c r="M1270" t="n">
        <v>0.184</v>
      </c>
    </row>
    <row r="1271" spans="1:13">
      <c r="A1271" s="1">
        <f>HYPERLINK("http://www.twitter.com/NathanBLawrence/status/988555057007390720", "988555057007390720")</f>
        <v/>
      </c>
      <c r="B1271" s="2" t="n">
        <v>43213.96372685185</v>
      </c>
      <c r="C1271" t="n">
        <v>0</v>
      </c>
      <c r="D1271" t="n">
        <v>3</v>
      </c>
      <c r="E1271" t="s">
        <v>1282</v>
      </c>
      <c r="F1271" t="s"/>
      <c r="G1271" t="s"/>
      <c r="H1271" t="s"/>
      <c r="I1271" t="s"/>
      <c r="J1271" t="n">
        <v>0</v>
      </c>
      <c r="K1271" t="n">
        <v>0</v>
      </c>
      <c r="L1271" t="n">
        <v>1</v>
      </c>
      <c r="M1271" t="n">
        <v>0</v>
      </c>
    </row>
    <row r="1272" spans="1:13">
      <c r="A1272" s="1">
        <f>HYPERLINK("http://www.twitter.com/NathanBLawrence/status/988554848982519808", "988554848982519808")</f>
        <v/>
      </c>
      <c r="B1272" s="2" t="n">
        <v>43213.96315972223</v>
      </c>
      <c r="C1272" t="n">
        <v>1</v>
      </c>
      <c r="D1272" t="n">
        <v>0</v>
      </c>
      <c r="E1272" t="s">
        <v>1283</v>
      </c>
      <c r="F1272" t="s"/>
      <c r="G1272" t="s"/>
      <c r="H1272" t="s"/>
      <c r="I1272" t="s"/>
      <c r="J1272" t="n">
        <v>-0.5696</v>
      </c>
      <c r="K1272" t="n">
        <v>0.138</v>
      </c>
      <c r="L1272" t="n">
        <v>0.862</v>
      </c>
      <c r="M1272" t="n">
        <v>0</v>
      </c>
    </row>
    <row r="1273" spans="1:13">
      <c r="A1273" s="1">
        <f>HYPERLINK("http://www.twitter.com/NathanBLawrence/status/988549852253614080", "988549852253614080")</f>
        <v/>
      </c>
      <c r="B1273" s="2" t="n">
        <v>43213.94936342593</v>
      </c>
      <c r="C1273" t="n">
        <v>1</v>
      </c>
      <c r="D1273" t="n">
        <v>0</v>
      </c>
      <c r="E1273" t="s">
        <v>1284</v>
      </c>
      <c r="F1273" t="s"/>
      <c r="G1273" t="s"/>
      <c r="H1273" t="s"/>
      <c r="I1273" t="s"/>
      <c r="J1273" t="n">
        <v>0</v>
      </c>
      <c r="K1273" t="n">
        <v>0</v>
      </c>
      <c r="L1273" t="n">
        <v>1</v>
      </c>
      <c r="M1273" t="n">
        <v>0</v>
      </c>
    </row>
    <row r="1274" spans="1:13">
      <c r="A1274" s="1">
        <f>HYPERLINK("http://www.twitter.com/NathanBLawrence/status/988548676078505985", "988548676078505985")</f>
        <v/>
      </c>
      <c r="B1274" s="2" t="n">
        <v>43213.94612268519</v>
      </c>
      <c r="C1274" t="n">
        <v>0</v>
      </c>
      <c r="D1274" t="n">
        <v>1</v>
      </c>
      <c r="E1274" t="s">
        <v>1285</v>
      </c>
      <c r="F1274" t="s"/>
      <c r="G1274" t="s"/>
      <c r="H1274" t="s"/>
      <c r="I1274" t="s"/>
      <c r="J1274" t="n">
        <v>0</v>
      </c>
      <c r="K1274" t="n">
        <v>0</v>
      </c>
      <c r="L1274" t="n">
        <v>1</v>
      </c>
      <c r="M1274" t="n">
        <v>0</v>
      </c>
    </row>
    <row r="1275" spans="1:13">
      <c r="A1275" s="1">
        <f>HYPERLINK("http://www.twitter.com/NathanBLawrence/status/988546826696609795", "988546826696609795")</f>
        <v/>
      </c>
      <c r="B1275" s="2" t="n">
        <v>43213.94101851852</v>
      </c>
      <c r="C1275" t="n">
        <v>0</v>
      </c>
      <c r="D1275" t="n">
        <v>0</v>
      </c>
      <c r="E1275" t="s">
        <v>1286</v>
      </c>
      <c r="F1275" t="s"/>
      <c r="G1275" t="s"/>
      <c r="H1275" t="s"/>
      <c r="I1275" t="s"/>
      <c r="J1275" t="n">
        <v>0</v>
      </c>
      <c r="K1275" t="n">
        <v>0</v>
      </c>
      <c r="L1275" t="n">
        <v>1</v>
      </c>
      <c r="M1275" t="n">
        <v>0</v>
      </c>
    </row>
    <row r="1276" spans="1:13">
      <c r="A1276" s="1">
        <f>HYPERLINK("http://www.twitter.com/NathanBLawrence/status/988533968411725824", "988533968411725824")</f>
        <v/>
      </c>
      <c r="B1276" s="2" t="n">
        <v>43213.90553240741</v>
      </c>
      <c r="C1276" t="n">
        <v>2</v>
      </c>
      <c r="D1276" t="n">
        <v>0</v>
      </c>
      <c r="E1276" t="s">
        <v>1287</v>
      </c>
      <c r="F1276" t="s"/>
      <c r="G1276" t="s"/>
      <c r="H1276" t="s"/>
      <c r="I1276" t="s"/>
      <c r="J1276" t="n">
        <v>0</v>
      </c>
      <c r="K1276" t="n">
        <v>0</v>
      </c>
      <c r="L1276" t="n">
        <v>1</v>
      </c>
      <c r="M1276" t="n">
        <v>0</v>
      </c>
    </row>
    <row r="1277" spans="1:13">
      <c r="A1277" s="1">
        <f>HYPERLINK("http://www.twitter.com/NathanBLawrence/status/988533635711143937", "988533635711143937")</f>
        <v/>
      </c>
      <c r="B1277" s="2" t="n">
        <v>43213.90461805555</v>
      </c>
      <c r="C1277" t="n">
        <v>1</v>
      </c>
      <c r="D1277" t="n">
        <v>0</v>
      </c>
      <c r="E1277" t="s">
        <v>1288</v>
      </c>
      <c r="F1277" t="s"/>
      <c r="G1277" t="s"/>
      <c r="H1277" t="s"/>
      <c r="I1277" t="s"/>
      <c r="J1277" t="n">
        <v>0.7456</v>
      </c>
      <c r="K1277" t="n">
        <v>0</v>
      </c>
      <c r="L1277" t="n">
        <v>0.729</v>
      </c>
      <c r="M1277" t="n">
        <v>0.271</v>
      </c>
    </row>
    <row r="1278" spans="1:13">
      <c r="A1278" s="1">
        <f>HYPERLINK("http://www.twitter.com/NathanBLawrence/status/988516113179955201", "988516113179955201")</f>
        <v/>
      </c>
      <c r="B1278" s="2" t="n">
        <v>43213.85626157407</v>
      </c>
      <c r="C1278" t="n">
        <v>0</v>
      </c>
      <c r="D1278" t="n">
        <v>0</v>
      </c>
      <c r="E1278" t="s">
        <v>1289</v>
      </c>
      <c r="F1278" t="s"/>
      <c r="G1278" t="s"/>
      <c r="H1278" t="s"/>
      <c r="I1278" t="s"/>
      <c r="J1278" t="n">
        <v>0</v>
      </c>
      <c r="K1278" t="n">
        <v>0</v>
      </c>
      <c r="L1278" t="n">
        <v>1</v>
      </c>
      <c r="M1278" t="n">
        <v>0</v>
      </c>
    </row>
    <row r="1279" spans="1:13">
      <c r="A1279" s="1">
        <f>HYPERLINK("http://www.twitter.com/NathanBLawrence/status/988515668940214272", "988515668940214272")</f>
        <v/>
      </c>
      <c r="B1279" s="2" t="n">
        <v>43213.85503472222</v>
      </c>
      <c r="C1279" t="n">
        <v>1</v>
      </c>
      <c r="D1279" t="n">
        <v>0</v>
      </c>
      <c r="E1279" t="s">
        <v>1290</v>
      </c>
      <c r="F1279" t="s"/>
      <c r="G1279" t="s"/>
      <c r="H1279" t="s"/>
      <c r="I1279" t="s"/>
      <c r="J1279" t="n">
        <v>0</v>
      </c>
      <c r="K1279" t="n">
        <v>0</v>
      </c>
      <c r="L1279" t="n">
        <v>1</v>
      </c>
      <c r="M1279" t="n">
        <v>0</v>
      </c>
    </row>
    <row r="1280" spans="1:13">
      <c r="A1280" s="1">
        <f>HYPERLINK("http://www.twitter.com/NathanBLawrence/status/988514762224033800", "988514762224033800")</f>
        <v/>
      </c>
      <c r="B1280" s="2" t="n">
        <v>43213.85253472222</v>
      </c>
      <c r="C1280" t="n">
        <v>2</v>
      </c>
      <c r="D1280" t="n">
        <v>0</v>
      </c>
      <c r="E1280" t="s">
        <v>1291</v>
      </c>
      <c r="F1280" t="s"/>
      <c r="G1280" t="s"/>
      <c r="H1280" t="s"/>
      <c r="I1280" t="s"/>
      <c r="J1280" t="n">
        <v>-0.6486</v>
      </c>
      <c r="K1280" t="n">
        <v>0.281</v>
      </c>
      <c r="L1280" t="n">
        <v>0.719</v>
      </c>
      <c r="M1280" t="n">
        <v>0</v>
      </c>
    </row>
    <row r="1281" spans="1:13">
      <c r="A1281" s="1">
        <f>HYPERLINK("http://www.twitter.com/NathanBLawrence/status/988514584708501504", "988514584708501504")</f>
        <v/>
      </c>
      <c r="B1281" s="2" t="n">
        <v>43213.85204861111</v>
      </c>
      <c r="C1281" t="n">
        <v>0</v>
      </c>
      <c r="D1281" t="n">
        <v>7</v>
      </c>
      <c r="E1281" t="s">
        <v>1292</v>
      </c>
      <c r="F1281">
        <f>HYPERLINK("http://pbs.twimg.com/media/DbfktSpVMAALalK.jpg", "http://pbs.twimg.com/media/DbfktSpVMAALalK.jpg")</f>
        <v/>
      </c>
      <c r="G1281" t="s"/>
      <c r="H1281" t="s"/>
      <c r="I1281" t="s"/>
      <c r="J1281" t="n">
        <v>0.296</v>
      </c>
      <c r="K1281" t="n">
        <v>0.081</v>
      </c>
      <c r="L1281" t="n">
        <v>0.791</v>
      </c>
      <c r="M1281" t="n">
        <v>0.128</v>
      </c>
    </row>
    <row r="1282" spans="1:13">
      <c r="A1282" s="1">
        <f>HYPERLINK("http://www.twitter.com/NathanBLawrence/status/988514307020378115", "988514307020378115")</f>
        <v/>
      </c>
      <c r="B1282" s="2" t="n">
        <v>43213.85128472222</v>
      </c>
      <c r="C1282" t="n">
        <v>3</v>
      </c>
      <c r="D1282" t="n">
        <v>0</v>
      </c>
      <c r="E1282" t="s">
        <v>1293</v>
      </c>
      <c r="F1282">
        <f>HYPERLINK("http://pbs.twimg.com/media/DbfogxVVQAEs8ff.jpg", "http://pbs.twimg.com/media/DbfogxVVQAEs8ff.jpg")</f>
        <v/>
      </c>
      <c r="G1282" t="s"/>
      <c r="H1282" t="s"/>
      <c r="I1282" t="s"/>
      <c r="J1282" t="n">
        <v>-0.4015</v>
      </c>
      <c r="K1282" t="n">
        <v>0.13</v>
      </c>
      <c r="L1282" t="n">
        <v>0.87</v>
      </c>
      <c r="M1282" t="n">
        <v>0</v>
      </c>
    </row>
    <row r="1283" spans="1:13">
      <c r="A1283" s="1">
        <f>HYPERLINK("http://www.twitter.com/NathanBLawrence/status/988514302943522823", "988514302943522823")</f>
        <v/>
      </c>
      <c r="B1283" s="2" t="n">
        <v>43213.85127314815</v>
      </c>
      <c r="C1283" t="n">
        <v>1</v>
      </c>
      <c r="D1283" t="n">
        <v>0</v>
      </c>
      <c r="E1283" t="s">
        <v>1294</v>
      </c>
      <c r="F1283">
        <f>HYPERLINK("http://pbs.twimg.com/media/Dbfogx7V4AAQv0H.jpg", "http://pbs.twimg.com/media/Dbfogx7V4AAQv0H.jpg")</f>
        <v/>
      </c>
      <c r="G1283" t="s"/>
      <c r="H1283" t="s"/>
      <c r="I1283" t="s"/>
      <c r="J1283" t="n">
        <v>0</v>
      </c>
      <c r="K1283" t="n">
        <v>0</v>
      </c>
      <c r="L1283" t="n">
        <v>1</v>
      </c>
      <c r="M1283" t="n">
        <v>0</v>
      </c>
    </row>
    <row r="1284" spans="1:13">
      <c r="A1284" s="1">
        <f>HYPERLINK("http://www.twitter.com/NathanBLawrence/status/988514302859542534", "988514302859542534")</f>
        <v/>
      </c>
      <c r="B1284" s="2" t="n">
        <v>43213.85127314815</v>
      </c>
      <c r="C1284" t="n">
        <v>1</v>
      </c>
      <c r="D1284" t="n">
        <v>0</v>
      </c>
      <c r="E1284" t="s">
        <v>1295</v>
      </c>
      <c r="F1284">
        <f>HYPERLINK("http://pbs.twimg.com/media/DbfogxVVMAA_qrw.jpg", "http://pbs.twimg.com/media/DbfogxVVMAA_qrw.jpg")</f>
        <v/>
      </c>
      <c r="G1284" t="s"/>
      <c r="H1284" t="s"/>
      <c r="I1284" t="s"/>
      <c r="J1284" t="n">
        <v>-0.4588</v>
      </c>
      <c r="K1284" t="n">
        <v>0.08599999999999999</v>
      </c>
      <c r="L1284" t="n">
        <v>0.914</v>
      </c>
      <c r="M1284" t="n">
        <v>0</v>
      </c>
    </row>
    <row r="1285" spans="1:13">
      <c r="A1285" s="1">
        <f>HYPERLINK("http://www.twitter.com/NathanBLawrence/status/988514302805073920", "988514302805073920")</f>
        <v/>
      </c>
      <c r="B1285" s="2" t="n">
        <v>43213.85127314815</v>
      </c>
      <c r="C1285" t="n">
        <v>0</v>
      </c>
      <c r="D1285" t="n">
        <v>0</v>
      </c>
      <c r="E1285" t="s">
        <v>1296</v>
      </c>
      <c r="F1285">
        <f>HYPERLINK("http://pbs.twimg.com/media/DbfogxSV4AAI4BW.jpg", "http://pbs.twimg.com/media/DbfogxSV4AAI4BW.jpg")</f>
        <v/>
      </c>
      <c r="G1285" t="s"/>
      <c r="H1285" t="s"/>
      <c r="I1285" t="s"/>
      <c r="J1285" t="n">
        <v>-0.4276</v>
      </c>
      <c r="K1285" t="n">
        <v>0.124</v>
      </c>
      <c r="L1285" t="n">
        <v>0.8169999999999999</v>
      </c>
      <c r="M1285" t="n">
        <v>0.058</v>
      </c>
    </row>
    <row r="1286" spans="1:13">
      <c r="A1286" s="1">
        <f>HYPERLINK("http://www.twitter.com/NathanBLawrence/status/988512232488210432", "988512232488210432")</f>
        <v/>
      </c>
      <c r="B1286" s="2" t="n">
        <v>43213.84555555556</v>
      </c>
      <c r="C1286" t="n">
        <v>1</v>
      </c>
      <c r="D1286" t="n">
        <v>0</v>
      </c>
      <c r="E1286" t="s">
        <v>1297</v>
      </c>
      <c r="F1286" t="s"/>
      <c r="G1286" t="s"/>
      <c r="H1286" t="s"/>
      <c r="I1286" t="s"/>
      <c r="J1286" t="n">
        <v>0.4404</v>
      </c>
      <c r="K1286" t="n">
        <v>0</v>
      </c>
      <c r="L1286" t="n">
        <v>0.828</v>
      </c>
      <c r="M1286" t="n">
        <v>0.172</v>
      </c>
    </row>
    <row r="1287" spans="1:13">
      <c r="A1287" s="1">
        <f>HYPERLINK("http://www.twitter.com/NathanBLawrence/status/988511713141063681", "988511713141063681")</f>
        <v/>
      </c>
      <c r="B1287" s="2" t="n">
        <v>43213.84412037037</v>
      </c>
      <c r="C1287" t="n">
        <v>1</v>
      </c>
      <c r="D1287" t="n">
        <v>0</v>
      </c>
      <c r="E1287" t="s">
        <v>1298</v>
      </c>
      <c r="F1287" t="s"/>
      <c r="G1287" t="s"/>
      <c r="H1287" t="s"/>
      <c r="I1287" t="s"/>
      <c r="J1287" t="n">
        <v>0</v>
      </c>
      <c r="K1287" t="n">
        <v>0</v>
      </c>
      <c r="L1287" t="n">
        <v>1</v>
      </c>
      <c r="M1287" t="n">
        <v>0</v>
      </c>
    </row>
    <row r="1288" spans="1:13">
      <c r="A1288" s="1">
        <f>HYPERLINK("http://www.twitter.com/NathanBLawrence/status/988504223842267136", "988504223842267136")</f>
        <v/>
      </c>
      <c r="B1288" s="2" t="n">
        <v>43213.82346064815</v>
      </c>
      <c r="C1288" t="n">
        <v>2</v>
      </c>
      <c r="D1288" t="n">
        <v>0</v>
      </c>
      <c r="E1288" t="s">
        <v>1299</v>
      </c>
      <c r="F1288" t="s"/>
      <c r="G1288" t="s"/>
      <c r="H1288" t="s"/>
      <c r="I1288" t="s"/>
      <c r="J1288" t="n">
        <v>0</v>
      </c>
      <c r="K1288" t="n">
        <v>0</v>
      </c>
      <c r="L1288" t="n">
        <v>1</v>
      </c>
      <c r="M1288" t="n">
        <v>0</v>
      </c>
    </row>
    <row r="1289" spans="1:13">
      <c r="A1289" s="1">
        <f>HYPERLINK("http://www.twitter.com/NathanBLawrence/status/988500109154553859", "988500109154553859")</f>
        <v/>
      </c>
      <c r="B1289" s="2" t="n">
        <v>43213.81210648148</v>
      </c>
      <c r="C1289" t="n">
        <v>0</v>
      </c>
      <c r="D1289" t="n">
        <v>0</v>
      </c>
      <c r="E1289" t="s">
        <v>1300</v>
      </c>
      <c r="F1289" t="s"/>
      <c r="G1289" t="s"/>
      <c r="H1289" t="s"/>
      <c r="I1289" t="s"/>
      <c r="J1289" t="n">
        <v>-0.3182</v>
      </c>
      <c r="K1289" t="n">
        <v>0.266</v>
      </c>
      <c r="L1289" t="n">
        <v>0.5590000000000001</v>
      </c>
      <c r="M1289" t="n">
        <v>0.175</v>
      </c>
    </row>
    <row r="1290" spans="1:13">
      <c r="A1290" s="1">
        <f>HYPERLINK("http://www.twitter.com/NathanBLawrence/status/988457391195918336", "988457391195918336")</f>
        <v/>
      </c>
      <c r="B1290" s="2" t="n">
        <v>43213.69422453704</v>
      </c>
      <c r="C1290" t="n">
        <v>0</v>
      </c>
      <c r="D1290" t="n">
        <v>2</v>
      </c>
      <c r="E1290" t="s">
        <v>1301</v>
      </c>
      <c r="F1290" t="s"/>
      <c r="G1290" t="s"/>
      <c r="H1290" t="s"/>
      <c r="I1290" t="s"/>
      <c r="J1290" t="n">
        <v>-0.4215</v>
      </c>
      <c r="K1290" t="n">
        <v>0.141</v>
      </c>
      <c r="L1290" t="n">
        <v>0.859</v>
      </c>
      <c r="M1290" t="n">
        <v>0</v>
      </c>
    </row>
    <row r="1291" spans="1:13">
      <c r="A1291" s="1">
        <f>HYPERLINK("http://www.twitter.com/NathanBLawrence/status/988457197028831232", "988457197028831232")</f>
        <v/>
      </c>
      <c r="B1291" s="2" t="n">
        <v>43213.69369212963</v>
      </c>
      <c r="C1291" t="n">
        <v>0</v>
      </c>
      <c r="D1291" t="n">
        <v>0</v>
      </c>
      <c r="E1291" t="s">
        <v>1302</v>
      </c>
      <c r="F1291" t="s"/>
      <c r="G1291" t="s"/>
      <c r="H1291" t="s"/>
      <c r="I1291" t="s"/>
      <c r="J1291" t="n">
        <v>-0.34</v>
      </c>
      <c r="K1291" t="n">
        <v>0.146</v>
      </c>
      <c r="L1291" t="n">
        <v>0.854</v>
      </c>
      <c r="M1291" t="n">
        <v>0</v>
      </c>
    </row>
    <row r="1292" spans="1:13">
      <c r="A1292" s="1">
        <f>HYPERLINK("http://www.twitter.com/NathanBLawrence/status/988456499272962048", "988456499272962048")</f>
        <v/>
      </c>
      <c r="B1292" s="2" t="n">
        <v>43213.69175925926</v>
      </c>
      <c r="C1292" t="n">
        <v>1</v>
      </c>
      <c r="D1292" t="n">
        <v>0</v>
      </c>
      <c r="E1292" t="s">
        <v>1303</v>
      </c>
      <c r="F1292" t="s"/>
      <c r="G1292" t="s"/>
      <c r="H1292" t="s"/>
      <c r="I1292" t="s"/>
      <c r="J1292" t="n">
        <v>0.8516</v>
      </c>
      <c r="K1292" t="n">
        <v>0</v>
      </c>
      <c r="L1292" t="n">
        <v>0.42</v>
      </c>
      <c r="M1292" t="n">
        <v>0.58</v>
      </c>
    </row>
    <row r="1293" spans="1:13">
      <c r="A1293" s="1">
        <f>HYPERLINK("http://www.twitter.com/NathanBLawrence/status/988444606730788865", "988444606730788865")</f>
        <v/>
      </c>
      <c r="B1293" s="2" t="n">
        <v>43213.65894675926</v>
      </c>
      <c r="C1293" t="n">
        <v>0</v>
      </c>
      <c r="D1293" t="n">
        <v>0</v>
      </c>
      <c r="E1293" t="s">
        <v>1304</v>
      </c>
      <c r="F1293" t="s"/>
      <c r="G1293" t="s"/>
      <c r="H1293" t="s"/>
      <c r="I1293" t="s"/>
      <c r="J1293" t="n">
        <v>-0.5106000000000001</v>
      </c>
      <c r="K1293" t="n">
        <v>0.292</v>
      </c>
      <c r="L1293" t="n">
        <v>0.708</v>
      </c>
      <c r="M1293" t="n">
        <v>0</v>
      </c>
    </row>
    <row r="1294" spans="1:13">
      <c r="A1294" s="1">
        <f>HYPERLINK("http://www.twitter.com/NathanBLawrence/status/988443591625322496", "988443591625322496")</f>
        <v/>
      </c>
      <c r="B1294" s="2" t="n">
        <v>43213.65614583333</v>
      </c>
      <c r="C1294" t="n">
        <v>2</v>
      </c>
      <c r="D1294" t="n">
        <v>2</v>
      </c>
      <c r="E1294" t="s">
        <v>1305</v>
      </c>
      <c r="F1294" t="s"/>
      <c r="G1294" t="s"/>
      <c r="H1294" t="s"/>
      <c r="I1294" t="s"/>
      <c r="J1294" t="n">
        <v>-0.2023</v>
      </c>
      <c r="K1294" t="n">
        <v>0.182</v>
      </c>
      <c r="L1294" t="n">
        <v>0.6820000000000001</v>
      </c>
      <c r="M1294" t="n">
        <v>0.136</v>
      </c>
    </row>
    <row r="1295" spans="1:13">
      <c r="A1295" s="1">
        <f>HYPERLINK("http://www.twitter.com/NathanBLawrence/status/988433118909648896", "988433118909648896")</f>
        <v/>
      </c>
      <c r="B1295" s="2" t="n">
        <v>43213.62724537037</v>
      </c>
      <c r="C1295" t="n">
        <v>2</v>
      </c>
      <c r="D1295" t="n">
        <v>0</v>
      </c>
      <c r="E1295" t="s">
        <v>1306</v>
      </c>
      <c r="F1295" t="s"/>
      <c r="G1295" t="s"/>
      <c r="H1295" t="s"/>
      <c r="I1295" t="s"/>
      <c r="J1295" t="n">
        <v>0</v>
      </c>
      <c r="K1295" t="n">
        <v>0</v>
      </c>
      <c r="L1295" t="n">
        <v>1</v>
      </c>
      <c r="M1295" t="n">
        <v>0</v>
      </c>
    </row>
    <row r="1296" spans="1:13">
      <c r="A1296" s="1">
        <f>HYPERLINK("http://www.twitter.com/NathanBLawrence/status/988432661139030016", "988432661139030016")</f>
        <v/>
      </c>
      <c r="B1296" s="2" t="n">
        <v>43213.62598379629</v>
      </c>
      <c r="C1296" t="n">
        <v>2</v>
      </c>
      <c r="D1296" t="n">
        <v>0</v>
      </c>
      <c r="E1296" t="s">
        <v>1307</v>
      </c>
      <c r="F1296" t="s"/>
      <c r="G1296" t="s"/>
      <c r="H1296" t="s"/>
      <c r="I1296" t="s"/>
      <c r="J1296" t="n">
        <v>-0.4767</v>
      </c>
      <c r="K1296" t="n">
        <v>0.091</v>
      </c>
      <c r="L1296" t="n">
        <v>0.909</v>
      </c>
      <c r="M1296" t="n">
        <v>0</v>
      </c>
    </row>
    <row r="1297" spans="1:13">
      <c r="A1297" s="1">
        <f>HYPERLINK("http://www.twitter.com/NathanBLawrence/status/988431821628170241", "988431821628170241")</f>
        <v/>
      </c>
      <c r="B1297" s="2" t="n">
        <v>43213.62366898148</v>
      </c>
      <c r="C1297" t="n">
        <v>2</v>
      </c>
      <c r="D1297" t="n">
        <v>0</v>
      </c>
      <c r="E1297" t="s">
        <v>1308</v>
      </c>
      <c r="F1297" t="s"/>
      <c r="G1297" t="s"/>
      <c r="H1297" t="s"/>
      <c r="I1297" t="s"/>
      <c r="J1297" t="n">
        <v>0</v>
      </c>
      <c r="K1297" t="n">
        <v>0</v>
      </c>
      <c r="L1297" t="n">
        <v>1</v>
      </c>
      <c r="M1297" t="n">
        <v>0</v>
      </c>
    </row>
    <row r="1298" spans="1:13">
      <c r="A1298" s="1">
        <f>HYPERLINK("http://www.twitter.com/NathanBLawrence/status/988431430840733697", "988431430840733697")</f>
        <v/>
      </c>
      <c r="B1298" s="2" t="n">
        <v>43213.62258101852</v>
      </c>
      <c r="C1298" t="n">
        <v>1</v>
      </c>
      <c r="D1298" t="n">
        <v>1</v>
      </c>
      <c r="E1298" t="s">
        <v>1309</v>
      </c>
      <c r="F1298" t="s"/>
      <c r="G1298" t="s"/>
      <c r="H1298" t="s"/>
      <c r="I1298" t="s"/>
      <c r="J1298" t="n">
        <v>-0.6381</v>
      </c>
      <c r="K1298" t="n">
        <v>0.167</v>
      </c>
      <c r="L1298" t="n">
        <v>0.833</v>
      </c>
      <c r="M1298" t="n">
        <v>0</v>
      </c>
    </row>
    <row r="1299" spans="1:13">
      <c r="A1299" s="1">
        <f>HYPERLINK("http://www.twitter.com/NathanBLawrence/status/988428613996417026", "988428613996417026")</f>
        <v/>
      </c>
      <c r="B1299" s="2" t="n">
        <v>43213.61481481481</v>
      </c>
      <c r="C1299" t="n">
        <v>2</v>
      </c>
      <c r="D1299" t="n">
        <v>1</v>
      </c>
      <c r="E1299" t="s">
        <v>1310</v>
      </c>
      <c r="F1299" t="s"/>
      <c r="G1299" t="s"/>
      <c r="H1299" t="s"/>
      <c r="I1299" t="s"/>
      <c r="J1299" t="n">
        <v>0.8439</v>
      </c>
      <c r="K1299" t="n">
        <v>0</v>
      </c>
      <c r="L1299" t="n">
        <v>0.733</v>
      </c>
      <c r="M1299" t="n">
        <v>0.267</v>
      </c>
    </row>
    <row r="1300" spans="1:13">
      <c r="A1300" s="1">
        <f>HYPERLINK("http://www.twitter.com/NathanBLawrence/status/988418438153560064", "988418438153560064")</f>
        <v/>
      </c>
      <c r="B1300" s="2" t="n">
        <v>43213.58673611111</v>
      </c>
      <c r="C1300" t="n">
        <v>1</v>
      </c>
      <c r="D1300" t="n">
        <v>0</v>
      </c>
      <c r="E1300" t="s">
        <v>1311</v>
      </c>
      <c r="F1300" t="s"/>
      <c r="G1300" t="s"/>
      <c r="H1300" t="s"/>
      <c r="I1300" t="s"/>
      <c r="J1300" t="n">
        <v>0.5034</v>
      </c>
      <c r="K1300" t="n">
        <v>0</v>
      </c>
      <c r="L1300" t="n">
        <v>0.734</v>
      </c>
      <c r="M1300" t="n">
        <v>0.266</v>
      </c>
    </row>
    <row r="1301" spans="1:13">
      <c r="A1301" s="1">
        <f>HYPERLINK("http://www.twitter.com/NathanBLawrence/status/988416954645000192", "988416954645000192")</f>
        <v/>
      </c>
      <c r="B1301" s="2" t="n">
        <v>43213.58263888889</v>
      </c>
      <c r="C1301" t="n">
        <v>1</v>
      </c>
      <c r="D1301" t="n">
        <v>0</v>
      </c>
      <c r="E1301" t="s">
        <v>1312</v>
      </c>
      <c r="F1301" t="s"/>
      <c r="G1301" t="s"/>
      <c r="H1301" t="s"/>
      <c r="I1301" t="s"/>
      <c r="J1301" t="n">
        <v>0</v>
      </c>
      <c r="K1301" t="n">
        <v>0</v>
      </c>
      <c r="L1301" t="n">
        <v>1</v>
      </c>
      <c r="M1301" t="n">
        <v>0</v>
      </c>
    </row>
    <row r="1302" spans="1:13">
      <c r="A1302" s="1">
        <f>HYPERLINK("http://www.twitter.com/NathanBLawrence/status/988416447348166658", "988416447348166658")</f>
        <v/>
      </c>
      <c r="B1302" s="2" t="n">
        <v>43213.58123842593</v>
      </c>
      <c r="C1302" t="n">
        <v>1</v>
      </c>
      <c r="D1302" t="n">
        <v>0</v>
      </c>
      <c r="E1302" t="s">
        <v>1313</v>
      </c>
      <c r="F1302" t="s"/>
      <c r="G1302" t="s"/>
      <c r="H1302" t="s"/>
      <c r="I1302" t="s"/>
      <c r="J1302" t="n">
        <v>0.1406</v>
      </c>
      <c r="K1302" t="n">
        <v>0</v>
      </c>
      <c r="L1302" t="n">
        <v>0.921</v>
      </c>
      <c r="M1302" t="n">
        <v>0.079</v>
      </c>
    </row>
    <row r="1303" spans="1:13">
      <c r="A1303" s="1">
        <f>HYPERLINK("http://www.twitter.com/NathanBLawrence/status/988411804987592704", "988411804987592704")</f>
        <v/>
      </c>
      <c r="B1303" s="2" t="n">
        <v>43213.56842592593</v>
      </c>
      <c r="C1303" t="n">
        <v>2</v>
      </c>
      <c r="D1303" t="n">
        <v>1</v>
      </c>
      <c r="E1303" t="s">
        <v>1314</v>
      </c>
      <c r="F1303" t="s"/>
      <c r="G1303" t="s"/>
      <c r="H1303" t="s"/>
      <c r="I1303" t="s"/>
      <c r="J1303" t="n">
        <v>0</v>
      </c>
      <c r="K1303" t="n">
        <v>0</v>
      </c>
      <c r="L1303" t="n">
        <v>1</v>
      </c>
      <c r="M1303" t="n">
        <v>0</v>
      </c>
    </row>
    <row r="1304" spans="1:13">
      <c r="A1304" s="1">
        <f>HYPERLINK("http://www.twitter.com/NathanBLawrence/status/988411566591741952", "988411566591741952")</f>
        <v/>
      </c>
      <c r="B1304" s="2" t="n">
        <v>43213.56776620371</v>
      </c>
      <c r="C1304" t="n">
        <v>5</v>
      </c>
      <c r="D1304" t="n">
        <v>3</v>
      </c>
      <c r="E1304" t="s">
        <v>1315</v>
      </c>
      <c r="F1304" t="s"/>
      <c r="G1304" t="s"/>
      <c r="H1304" t="s"/>
      <c r="I1304" t="s"/>
      <c r="J1304" t="n">
        <v>0</v>
      </c>
      <c r="K1304" t="n">
        <v>0</v>
      </c>
      <c r="L1304" t="n">
        <v>1</v>
      </c>
      <c r="M1304" t="n">
        <v>0</v>
      </c>
    </row>
    <row r="1305" spans="1:13">
      <c r="A1305" s="1">
        <f>HYPERLINK("http://www.twitter.com/NathanBLawrence/status/988410358707752961", "988410358707752961")</f>
        <v/>
      </c>
      <c r="B1305" s="2" t="n">
        <v>43213.56443287037</v>
      </c>
      <c r="C1305" t="n">
        <v>0</v>
      </c>
      <c r="D1305" t="n">
        <v>0</v>
      </c>
      <c r="E1305" t="s">
        <v>1316</v>
      </c>
      <c r="F1305" t="s"/>
      <c r="G1305" t="s"/>
      <c r="H1305" t="s"/>
      <c r="I1305" t="s"/>
      <c r="J1305" t="n">
        <v>0</v>
      </c>
      <c r="K1305" t="n">
        <v>0</v>
      </c>
      <c r="L1305" t="n">
        <v>1</v>
      </c>
      <c r="M1305" t="n">
        <v>0</v>
      </c>
    </row>
    <row r="1306" spans="1:13">
      <c r="A1306" s="1">
        <f>HYPERLINK("http://www.twitter.com/NathanBLawrence/status/988409960450134017", "988409960450134017")</f>
        <v/>
      </c>
      <c r="B1306" s="2" t="n">
        <v>43213.56333333333</v>
      </c>
      <c r="C1306" t="n">
        <v>1</v>
      </c>
      <c r="D1306" t="n">
        <v>0</v>
      </c>
      <c r="E1306" t="s">
        <v>1317</v>
      </c>
      <c r="F1306" t="s"/>
      <c r="G1306" t="s"/>
      <c r="H1306" t="s"/>
      <c r="I1306" t="s"/>
      <c r="J1306" t="n">
        <v>-0.4767</v>
      </c>
      <c r="K1306" t="n">
        <v>0.147</v>
      </c>
      <c r="L1306" t="n">
        <v>0.853</v>
      </c>
      <c r="M1306" t="n">
        <v>0</v>
      </c>
    </row>
    <row r="1307" spans="1:13">
      <c r="A1307" s="1">
        <f>HYPERLINK("http://www.twitter.com/NathanBLawrence/status/988409743617282049", "988409743617282049")</f>
        <v/>
      </c>
      <c r="B1307" s="2" t="n">
        <v>43213.56274305555</v>
      </c>
      <c r="C1307" t="n">
        <v>1</v>
      </c>
      <c r="D1307" t="n">
        <v>1</v>
      </c>
      <c r="E1307" t="s">
        <v>1318</v>
      </c>
      <c r="F1307" t="s"/>
      <c r="G1307" t="s"/>
      <c r="H1307" t="s"/>
      <c r="I1307" t="s"/>
      <c r="J1307" t="n">
        <v>0.5093</v>
      </c>
      <c r="K1307" t="n">
        <v>0</v>
      </c>
      <c r="L1307" t="n">
        <v>0.477</v>
      </c>
      <c r="M1307" t="n">
        <v>0.523</v>
      </c>
    </row>
    <row r="1308" spans="1:13">
      <c r="A1308" s="1">
        <f>HYPERLINK("http://www.twitter.com/NathanBLawrence/status/988409368222863365", "988409368222863365")</f>
        <v/>
      </c>
      <c r="B1308" s="2" t="n">
        <v>43213.56170138889</v>
      </c>
      <c r="C1308" t="n">
        <v>5</v>
      </c>
      <c r="D1308" t="n">
        <v>0</v>
      </c>
      <c r="E1308" t="s">
        <v>1319</v>
      </c>
      <c r="F1308">
        <f>HYPERLINK("http://pbs.twimg.com/media/DbeJE4aU8AArCth.jpg", "http://pbs.twimg.com/media/DbeJE4aU8AArCth.jpg")</f>
        <v/>
      </c>
      <c r="G1308" t="s"/>
      <c r="H1308" t="s"/>
      <c r="I1308" t="s"/>
      <c r="J1308" t="n">
        <v>-0.4404</v>
      </c>
      <c r="K1308" t="n">
        <v>0.492</v>
      </c>
      <c r="L1308" t="n">
        <v>0.508</v>
      </c>
      <c r="M1308" t="n">
        <v>0</v>
      </c>
    </row>
    <row r="1309" spans="1:13">
      <c r="A1309" s="1">
        <f>HYPERLINK("http://www.twitter.com/NathanBLawrence/status/988406789673799681", "988406789673799681")</f>
        <v/>
      </c>
      <c r="B1309" s="2" t="n">
        <v>43213.55459490741</v>
      </c>
      <c r="C1309" t="n">
        <v>5</v>
      </c>
      <c r="D1309" t="n">
        <v>0</v>
      </c>
      <c r="E1309" t="s">
        <v>1320</v>
      </c>
      <c r="F1309" t="s"/>
      <c r="G1309" t="s"/>
      <c r="H1309" t="s"/>
      <c r="I1309" t="s"/>
      <c r="J1309" t="n">
        <v>0</v>
      </c>
      <c r="K1309" t="n">
        <v>0</v>
      </c>
      <c r="L1309" t="n">
        <v>1</v>
      </c>
      <c r="M1309" t="n">
        <v>0</v>
      </c>
    </row>
    <row r="1310" spans="1:13">
      <c r="A1310" s="1">
        <f>HYPERLINK("http://www.twitter.com/NathanBLawrence/status/988400781958287360", "988400781958287360")</f>
        <v/>
      </c>
      <c r="B1310" s="2" t="n">
        <v>43213.53800925926</v>
      </c>
      <c r="C1310" t="n">
        <v>1</v>
      </c>
      <c r="D1310" t="n">
        <v>0</v>
      </c>
      <c r="E1310" t="s">
        <v>1321</v>
      </c>
      <c r="F1310" t="s"/>
      <c r="G1310" t="s"/>
      <c r="H1310" t="s"/>
      <c r="I1310" t="s"/>
      <c r="J1310" t="n">
        <v>-0.34</v>
      </c>
      <c r="K1310" t="n">
        <v>0.545</v>
      </c>
      <c r="L1310" t="n">
        <v>0.455</v>
      </c>
      <c r="M1310" t="n">
        <v>0</v>
      </c>
    </row>
    <row r="1311" spans="1:13">
      <c r="A1311" s="1">
        <f>HYPERLINK("http://www.twitter.com/NathanBLawrence/status/988400502902804480", "988400502902804480")</f>
        <v/>
      </c>
      <c r="B1311" s="2" t="n">
        <v>43213.53724537037</v>
      </c>
      <c r="C1311" t="n">
        <v>2</v>
      </c>
      <c r="D1311" t="n">
        <v>0</v>
      </c>
      <c r="E1311" t="s">
        <v>1322</v>
      </c>
      <c r="F1311" t="s"/>
      <c r="G1311" t="s"/>
      <c r="H1311" t="s"/>
      <c r="I1311" t="s"/>
      <c r="J1311" t="n">
        <v>0</v>
      </c>
      <c r="K1311" t="n">
        <v>0</v>
      </c>
      <c r="L1311" t="n">
        <v>1</v>
      </c>
      <c r="M1311" t="n">
        <v>0</v>
      </c>
    </row>
    <row r="1312" spans="1:13">
      <c r="A1312" s="1">
        <f>HYPERLINK("http://www.twitter.com/NathanBLawrence/status/988399748544712704", "988399748544712704")</f>
        <v/>
      </c>
      <c r="B1312" s="2" t="n">
        <v>43213.53516203703</v>
      </c>
      <c r="C1312" t="n">
        <v>3</v>
      </c>
      <c r="D1312" t="n">
        <v>0</v>
      </c>
      <c r="E1312" t="s">
        <v>1323</v>
      </c>
      <c r="F1312" t="s"/>
      <c r="G1312" t="s"/>
      <c r="H1312" t="s"/>
      <c r="I1312" t="s"/>
      <c r="J1312" t="n">
        <v>0.3395</v>
      </c>
      <c r="K1312" t="n">
        <v>0</v>
      </c>
      <c r="L1312" t="n">
        <v>0.909</v>
      </c>
      <c r="M1312" t="n">
        <v>0.091</v>
      </c>
    </row>
    <row r="1313" spans="1:13">
      <c r="A1313" s="1">
        <f>HYPERLINK("http://www.twitter.com/NathanBLawrence/status/988396783884742656", "988396783884742656")</f>
        <v/>
      </c>
      <c r="B1313" s="2" t="n">
        <v>43213.52697916667</v>
      </c>
      <c r="C1313" t="n">
        <v>1</v>
      </c>
      <c r="D1313" t="n">
        <v>0</v>
      </c>
      <c r="E1313" t="s">
        <v>1324</v>
      </c>
      <c r="F1313" t="s"/>
      <c r="G1313" t="s"/>
      <c r="H1313" t="s"/>
      <c r="I1313" t="s"/>
      <c r="J1313" t="n">
        <v>0</v>
      </c>
      <c r="K1313" t="n">
        <v>0</v>
      </c>
      <c r="L1313" t="n">
        <v>1</v>
      </c>
      <c r="M1313" t="n">
        <v>0</v>
      </c>
    </row>
    <row r="1314" spans="1:13">
      <c r="A1314" s="1">
        <f>HYPERLINK("http://www.twitter.com/NathanBLawrence/status/988392061421408257", "988392061421408257")</f>
        <v/>
      </c>
      <c r="B1314" s="2" t="n">
        <v>43213.51394675926</v>
      </c>
      <c r="C1314" t="n">
        <v>3</v>
      </c>
      <c r="D1314" t="n">
        <v>1</v>
      </c>
      <c r="E1314" t="s">
        <v>1325</v>
      </c>
      <c r="F1314" t="s"/>
      <c r="G1314" t="s"/>
      <c r="H1314" t="s"/>
      <c r="I1314" t="s"/>
      <c r="J1314" t="n">
        <v>-0.608</v>
      </c>
      <c r="K1314" t="n">
        <v>0.16</v>
      </c>
      <c r="L1314" t="n">
        <v>0.84</v>
      </c>
      <c r="M1314" t="n">
        <v>0</v>
      </c>
    </row>
    <row r="1315" spans="1:13">
      <c r="A1315" s="1">
        <f>HYPERLINK("http://www.twitter.com/NathanBLawrence/status/988390885422436352", "988390885422436352")</f>
        <v/>
      </c>
      <c r="B1315" s="2" t="n">
        <v>43213.51070601852</v>
      </c>
      <c r="C1315" t="n">
        <v>2</v>
      </c>
      <c r="D1315" t="n">
        <v>0</v>
      </c>
      <c r="E1315" t="s">
        <v>1326</v>
      </c>
      <c r="F1315" t="s"/>
      <c r="G1315" t="s"/>
      <c r="H1315" t="s"/>
      <c r="I1315" t="s"/>
      <c r="J1315" t="n">
        <v>0.0772</v>
      </c>
      <c r="K1315" t="n">
        <v>0</v>
      </c>
      <c r="L1315" t="n">
        <v>0.843</v>
      </c>
      <c r="M1315" t="n">
        <v>0.157</v>
      </c>
    </row>
    <row r="1316" spans="1:13">
      <c r="A1316" s="1">
        <f>HYPERLINK("http://www.twitter.com/NathanBLawrence/status/988390434845155328", "988390434845155328")</f>
        <v/>
      </c>
      <c r="B1316" s="2" t="n">
        <v>43213.50945601852</v>
      </c>
      <c r="C1316" t="n">
        <v>3</v>
      </c>
      <c r="D1316" t="n">
        <v>0</v>
      </c>
      <c r="E1316" t="s">
        <v>1327</v>
      </c>
      <c r="F1316" t="s"/>
      <c r="G1316" t="s"/>
      <c r="H1316" t="s"/>
      <c r="I1316" t="s"/>
      <c r="J1316" t="n">
        <v>0.1695</v>
      </c>
      <c r="K1316" t="n">
        <v>0</v>
      </c>
      <c r="L1316" t="n">
        <v>0.878</v>
      </c>
      <c r="M1316" t="n">
        <v>0.122</v>
      </c>
    </row>
    <row r="1317" spans="1:13">
      <c r="A1317" s="1">
        <f>HYPERLINK("http://www.twitter.com/NathanBLawrence/status/988387837350436864", "988387837350436864")</f>
        <v/>
      </c>
      <c r="B1317" s="2" t="n">
        <v>43213.50229166666</v>
      </c>
      <c r="C1317" t="n">
        <v>0</v>
      </c>
      <c r="D1317" t="n">
        <v>1</v>
      </c>
      <c r="E1317" t="s">
        <v>1328</v>
      </c>
      <c r="F1317" t="s"/>
      <c r="G1317" t="s"/>
      <c r="H1317" t="s"/>
      <c r="I1317" t="s"/>
      <c r="J1317" t="n">
        <v>0.7351</v>
      </c>
      <c r="K1317" t="n">
        <v>0</v>
      </c>
      <c r="L1317" t="n">
        <v>0.658</v>
      </c>
      <c r="M1317" t="n">
        <v>0.342</v>
      </c>
    </row>
    <row r="1318" spans="1:13">
      <c r="A1318" s="1">
        <f>HYPERLINK("http://www.twitter.com/NathanBLawrence/status/988387579857965057", "988387579857965057")</f>
        <v/>
      </c>
      <c r="B1318" s="2" t="n">
        <v>43213.50158564815</v>
      </c>
      <c r="C1318" t="n">
        <v>0</v>
      </c>
      <c r="D1318" t="n">
        <v>16</v>
      </c>
      <c r="E1318" t="s">
        <v>1329</v>
      </c>
      <c r="F1318">
        <f>HYPERLINK("http://pbs.twimg.com/media/DbVv3O-XkAEsehq.jpg", "http://pbs.twimg.com/media/DbVv3O-XkAEsehq.jpg")</f>
        <v/>
      </c>
      <c r="G1318" t="s"/>
      <c r="H1318" t="s"/>
      <c r="I1318" t="s"/>
      <c r="J1318" t="n">
        <v>0</v>
      </c>
      <c r="K1318" t="n">
        <v>0</v>
      </c>
      <c r="L1318" t="n">
        <v>1</v>
      </c>
      <c r="M1318" t="n">
        <v>0</v>
      </c>
    </row>
    <row r="1319" spans="1:13">
      <c r="A1319" s="1">
        <f>HYPERLINK("http://www.twitter.com/NathanBLawrence/status/988383163398393859", "988383163398393859")</f>
        <v/>
      </c>
      <c r="B1319" s="2" t="n">
        <v>43213.48939814815</v>
      </c>
      <c r="C1319" t="n">
        <v>5</v>
      </c>
      <c r="D1319" t="n">
        <v>5</v>
      </c>
      <c r="E1319" t="s">
        <v>1330</v>
      </c>
      <c r="F1319" t="s"/>
      <c r="G1319" t="s"/>
      <c r="H1319" t="s"/>
      <c r="I1319" t="s"/>
      <c r="J1319" t="n">
        <v>0.5778</v>
      </c>
      <c r="K1319" t="n">
        <v>0.124</v>
      </c>
      <c r="L1319" t="n">
        <v>0.6840000000000001</v>
      </c>
      <c r="M1319" t="n">
        <v>0.193</v>
      </c>
    </row>
    <row r="1320" spans="1:13">
      <c r="A1320" s="1">
        <f>HYPERLINK("http://www.twitter.com/NathanBLawrence/status/988380480247599105", "988380480247599105")</f>
        <v/>
      </c>
      <c r="B1320" s="2" t="n">
        <v>43213.48199074074</v>
      </c>
      <c r="C1320" t="n">
        <v>1</v>
      </c>
      <c r="D1320" t="n">
        <v>0</v>
      </c>
      <c r="E1320" t="s">
        <v>1331</v>
      </c>
      <c r="F1320" t="s"/>
      <c r="G1320" t="s"/>
      <c r="H1320" t="s"/>
      <c r="I1320" t="s"/>
      <c r="J1320" t="n">
        <v>0.4788</v>
      </c>
      <c r="K1320" t="n">
        <v>0.081</v>
      </c>
      <c r="L1320" t="n">
        <v>0.728</v>
      </c>
      <c r="M1320" t="n">
        <v>0.192</v>
      </c>
    </row>
    <row r="1321" spans="1:13">
      <c r="A1321" s="1">
        <f>HYPERLINK("http://www.twitter.com/NathanBLawrence/status/988379565004349441", "988379565004349441")</f>
        <v/>
      </c>
      <c r="B1321" s="2" t="n">
        <v>43213.4794675926</v>
      </c>
      <c r="C1321" t="n">
        <v>1</v>
      </c>
      <c r="D1321" t="n">
        <v>1</v>
      </c>
      <c r="E1321" t="s">
        <v>1332</v>
      </c>
      <c r="F1321" t="s"/>
      <c r="G1321" t="s"/>
      <c r="H1321" t="s"/>
      <c r="I1321" t="s"/>
      <c r="J1321" t="n">
        <v>-0.4767</v>
      </c>
      <c r="K1321" t="n">
        <v>0.157</v>
      </c>
      <c r="L1321" t="n">
        <v>0.843</v>
      </c>
      <c r="M1321" t="n">
        <v>0</v>
      </c>
    </row>
    <row r="1322" spans="1:13">
      <c r="A1322" s="1">
        <f>HYPERLINK("http://www.twitter.com/NathanBLawrence/status/988254878228238336", "988254878228238336")</f>
        <v/>
      </c>
      <c r="B1322" s="2" t="n">
        <v>43213.13539351852</v>
      </c>
      <c r="C1322" t="n">
        <v>0</v>
      </c>
      <c r="D1322" t="n">
        <v>2</v>
      </c>
      <c r="E1322" t="s">
        <v>1333</v>
      </c>
      <c r="F1322" t="s"/>
      <c r="G1322" t="s"/>
      <c r="H1322" t="s"/>
      <c r="I1322" t="s"/>
      <c r="J1322" t="n">
        <v>0</v>
      </c>
      <c r="K1322" t="n">
        <v>0</v>
      </c>
      <c r="L1322" t="n">
        <v>1</v>
      </c>
      <c r="M1322" t="n">
        <v>0</v>
      </c>
    </row>
    <row r="1323" spans="1:13">
      <c r="A1323" s="1">
        <f>HYPERLINK("http://www.twitter.com/NathanBLawrence/status/988254256338784256", "988254256338784256")</f>
        <v/>
      </c>
      <c r="B1323" s="2" t="n">
        <v>43213.13368055555</v>
      </c>
      <c r="C1323" t="n">
        <v>2</v>
      </c>
      <c r="D1323" t="n">
        <v>0</v>
      </c>
      <c r="E1323" t="s">
        <v>1334</v>
      </c>
      <c r="F1323" t="s"/>
      <c r="G1323" t="s"/>
      <c r="H1323" t="s"/>
      <c r="I1323" t="s"/>
      <c r="J1323" t="n">
        <v>0.6249</v>
      </c>
      <c r="K1323" t="n">
        <v>0</v>
      </c>
      <c r="L1323" t="n">
        <v>0.805</v>
      </c>
      <c r="M1323" t="n">
        <v>0.195</v>
      </c>
    </row>
    <row r="1324" spans="1:13">
      <c r="A1324" s="1">
        <f>HYPERLINK("http://www.twitter.com/NathanBLawrence/status/988253146840526849", "988253146840526849")</f>
        <v/>
      </c>
      <c r="B1324" s="2" t="n">
        <v>43213.13061342593</v>
      </c>
      <c r="C1324" t="n">
        <v>0</v>
      </c>
      <c r="D1324" t="n">
        <v>0</v>
      </c>
      <c r="E1324" t="s">
        <v>1335</v>
      </c>
      <c r="F1324" t="s"/>
      <c r="G1324" t="s"/>
      <c r="H1324" t="s"/>
      <c r="I1324" t="s"/>
      <c r="J1324" t="n">
        <v>-0.4767</v>
      </c>
      <c r="K1324" t="n">
        <v>0.129</v>
      </c>
      <c r="L1324" t="n">
        <v>0.871</v>
      </c>
      <c r="M1324" t="n">
        <v>0</v>
      </c>
    </row>
    <row r="1325" spans="1:13">
      <c r="A1325" s="1">
        <f>HYPERLINK("http://www.twitter.com/NathanBLawrence/status/988228334499876871", "988228334499876871")</f>
        <v/>
      </c>
      <c r="B1325" s="2" t="n">
        <v>43213.06214120371</v>
      </c>
      <c r="C1325" t="n">
        <v>1</v>
      </c>
      <c r="D1325" t="n">
        <v>0</v>
      </c>
      <c r="E1325" t="s">
        <v>1336</v>
      </c>
      <c r="F1325" t="s"/>
      <c r="G1325" t="s"/>
      <c r="H1325" t="s"/>
      <c r="I1325" t="s"/>
      <c r="J1325" t="n">
        <v>0.4795</v>
      </c>
      <c r="K1325" t="n">
        <v>0</v>
      </c>
      <c r="L1325" t="n">
        <v>0.5620000000000001</v>
      </c>
      <c r="M1325" t="n">
        <v>0.438</v>
      </c>
    </row>
    <row r="1326" spans="1:13">
      <c r="A1326" s="1">
        <f>HYPERLINK("http://www.twitter.com/NathanBLawrence/status/988222195213262848", "988222195213262848")</f>
        <v/>
      </c>
      <c r="B1326" s="2" t="n">
        <v>43213.04520833334</v>
      </c>
      <c r="C1326" t="n">
        <v>5</v>
      </c>
      <c r="D1326" t="n">
        <v>1</v>
      </c>
      <c r="E1326" t="s">
        <v>1337</v>
      </c>
      <c r="F1326" t="s"/>
      <c r="G1326" t="s"/>
      <c r="H1326" t="s"/>
      <c r="I1326" t="s"/>
      <c r="J1326" t="n">
        <v>-0.1345</v>
      </c>
      <c r="K1326" t="n">
        <v>0.082</v>
      </c>
      <c r="L1326" t="n">
        <v>0.857</v>
      </c>
      <c r="M1326" t="n">
        <v>0.061</v>
      </c>
    </row>
    <row r="1327" spans="1:13">
      <c r="A1327" s="1">
        <f>HYPERLINK("http://www.twitter.com/NathanBLawrence/status/988218992757215232", "988218992757215232")</f>
        <v/>
      </c>
      <c r="B1327" s="2" t="n">
        <v>43213.03636574074</v>
      </c>
      <c r="C1327" t="n">
        <v>1</v>
      </c>
      <c r="D1327" t="n">
        <v>0</v>
      </c>
      <c r="E1327" t="s">
        <v>1338</v>
      </c>
      <c r="F1327" t="s"/>
      <c r="G1327" t="s"/>
      <c r="H1327" t="s"/>
      <c r="I1327" t="s"/>
      <c r="J1327" t="n">
        <v>0</v>
      </c>
      <c r="K1327" t="n">
        <v>0</v>
      </c>
      <c r="L1327" t="n">
        <v>1</v>
      </c>
      <c r="M1327" t="n">
        <v>0</v>
      </c>
    </row>
    <row r="1328" spans="1:13">
      <c r="A1328" s="1">
        <f>HYPERLINK("http://www.twitter.com/NathanBLawrence/status/988218808010772482", "988218808010772482")</f>
        <v/>
      </c>
      <c r="B1328" s="2" t="n">
        <v>43213.03585648148</v>
      </c>
      <c r="C1328" t="n">
        <v>0</v>
      </c>
      <c r="D1328" t="n">
        <v>1</v>
      </c>
      <c r="E1328" t="s">
        <v>1339</v>
      </c>
      <c r="F1328">
        <f>HYPERLINK("http://pbs.twimg.com/media/DbbaSUXVQAACF8V.jpg", "http://pbs.twimg.com/media/DbbaSUXVQAACF8V.jpg")</f>
        <v/>
      </c>
      <c r="G1328" t="s"/>
      <c r="H1328" t="s"/>
      <c r="I1328" t="s"/>
      <c r="J1328" t="n">
        <v>0</v>
      </c>
      <c r="K1328" t="n">
        <v>0</v>
      </c>
      <c r="L1328" t="n">
        <v>1</v>
      </c>
      <c r="M1328" t="n">
        <v>0</v>
      </c>
    </row>
    <row r="1329" spans="1:13">
      <c r="A1329" s="1">
        <f>HYPERLINK("http://www.twitter.com/NathanBLawrence/status/988216676993912832", "988216676993912832")</f>
        <v/>
      </c>
      <c r="B1329" s="2" t="n">
        <v>43213.02997685185</v>
      </c>
      <c r="C1329" t="n">
        <v>0</v>
      </c>
      <c r="D1329" t="n">
        <v>760</v>
      </c>
      <c r="E1329" t="s">
        <v>1340</v>
      </c>
      <c r="F1329" t="s"/>
      <c r="G1329" t="s"/>
      <c r="H1329" t="s"/>
      <c r="I1329" t="s"/>
      <c r="J1329" t="n">
        <v>-0.7783</v>
      </c>
      <c r="K1329" t="n">
        <v>0.298</v>
      </c>
      <c r="L1329" t="n">
        <v>0.702</v>
      </c>
      <c r="M1329" t="n">
        <v>0</v>
      </c>
    </row>
    <row r="1330" spans="1:13">
      <c r="A1330" s="1">
        <f>HYPERLINK("http://www.twitter.com/NathanBLawrence/status/988215167585603584", "988215167585603584")</f>
        <v/>
      </c>
      <c r="B1330" s="2" t="n">
        <v>43213.02581018519</v>
      </c>
      <c r="C1330" t="n">
        <v>0</v>
      </c>
      <c r="D1330" t="n">
        <v>0</v>
      </c>
      <c r="E1330" t="s">
        <v>1341</v>
      </c>
      <c r="F1330" t="s"/>
      <c r="G1330" t="s"/>
      <c r="H1330" t="s"/>
      <c r="I1330" t="s"/>
      <c r="J1330" t="n">
        <v>-0.296</v>
      </c>
      <c r="K1330" t="n">
        <v>0.524</v>
      </c>
      <c r="L1330" t="n">
        <v>0.476</v>
      </c>
      <c r="M1330" t="n">
        <v>0</v>
      </c>
    </row>
    <row r="1331" spans="1:13">
      <c r="A1331" s="1">
        <f>HYPERLINK("http://www.twitter.com/NathanBLawrence/status/988142057884717056", "988142057884717056")</f>
        <v/>
      </c>
      <c r="B1331" s="2" t="n">
        <v>43212.82407407407</v>
      </c>
      <c r="C1331" t="n">
        <v>0</v>
      </c>
      <c r="D1331" t="n">
        <v>4</v>
      </c>
      <c r="E1331" t="s">
        <v>1342</v>
      </c>
      <c r="F1331" t="s"/>
      <c r="G1331" t="s"/>
      <c r="H1331" t="s"/>
      <c r="I1331" t="s"/>
      <c r="J1331" t="n">
        <v>0</v>
      </c>
      <c r="K1331" t="n">
        <v>0</v>
      </c>
      <c r="L1331" t="n">
        <v>1</v>
      </c>
      <c r="M1331" t="n">
        <v>0</v>
      </c>
    </row>
    <row r="1332" spans="1:13">
      <c r="A1332" s="1">
        <f>HYPERLINK("http://www.twitter.com/NathanBLawrence/status/988142018793824256", "988142018793824256")</f>
        <v/>
      </c>
      <c r="B1332" s="2" t="n">
        <v>43212.82395833333</v>
      </c>
      <c r="C1332" t="n">
        <v>0</v>
      </c>
      <c r="D1332" t="n">
        <v>1</v>
      </c>
      <c r="E1332" t="s">
        <v>1343</v>
      </c>
      <c r="F1332" t="s"/>
      <c r="G1332" t="s"/>
      <c r="H1332" t="s"/>
      <c r="I1332" t="s"/>
      <c r="J1332" t="n">
        <v>0</v>
      </c>
      <c r="K1332" t="n">
        <v>0</v>
      </c>
      <c r="L1332" t="n">
        <v>1</v>
      </c>
      <c r="M1332" t="n">
        <v>0</v>
      </c>
    </row>
    <row r="1333" spans="1:13">
      <c r="A1333" s="1">
        <f>HYPERLINK("http://www.twitter.com/NathanBLawrence/status/988125907503247361", "988125907503247361")</f>
        <v/>
      </c>
      <c r="B1333" s="2" t="n">
        <v>43212.77950231481</v>
      </c>
      <c r="C1333" t="n">
        <v>2</v>
      </c>
      <c r="D1333" t="n">
        <v>0</v>
      </c>
      <c r="E1333" t="s">
        <v>1344</v>
      </c>
      <c r="F1333">
        <f>HYPERLINK("http://pbs.twimg.com/media/DbaHRlNVQAAog1h.jpg", "http://pbs.twimg.com/media/DbaHRlNVQAAog1h.jpg")</f>
        <v/>
      </c>
      <c r="G1333" t="s"/>
      <c r="H1333" t="s"/>
      <c r="I1333" t="s"/>
      <c r="J1333" t="n">
        <v>0.4215</v>
      </c>
      <c r="K1333" t="n">
        <v>0</v>
      </c>
      <c r="L1333" t="n">
        <v>0.865</v>
      </c>
      <c r="M1333" t="n">
        <v>0.135</v>
      </c>
    </row>
    <row r="1334" spans="1:13">
      <c r="A1334" s="1">
        <f>HYPERLINK("http://www.twitter.com/NathanBLawrence/status/988125542028374016", "988125542028374016")</f>
        <v/>
      </c>
      <c r="B1334" s="2" t="n">
        <v>43212.77849537037</v>
      </c>
      <c r="C1334" t="n">
        <v>1</v>
      </c>
      <c r="D1334" t="n">
        <v>0</v>
      </c>
      <c r="E1334" t="s">
        <v>1345</v>
      </c>
      <c r="F1334" t="s"/>
      <c r="G1334" t="s"/>
      <c r="H1334" t="s"/>
      <c r="I1334" t="s"/>
      <c r="J1334" t="n">
        <v>0.7788</v>
      </c>
      <c r="K1334" t="n">
        <v>0</v>
      </c>
      <c r="L1334" t="n">
        <v>0.701</v>
      </c>
      <c r="M1334" t="n">
        <v>0.299</v>
      </c>
    </row>
    <row r="1335" spans="1:13">
      <c r="A1335" s="1">
        <f>HYPERLINK("http://www.twitter.com/NathanBLawrence/status/988125329561616386", "988125329561616386")</f>
        <v/>
      </c>
      <c r="B1335" s="2" t="n">
        <v>43212.77790509259</v>
      </c>
      <c r="C1335" t="n">
        <v>1</v>
      </c>
      <c r="D1335" t="n">
        <v>0</v>
      </c>
      <c r="E1335" t="s">
        <v>1346</v>
      </c>
      <c r="F1335" t="s"/>
      <c r="G1335" t="s"/>
      <c r="H1335" t="s"/>
      <c r="I1335" t="s"/>
      <c r="J1335" t="n">
        <v>0.3927</v>
      </c>
      <c r="K1335" t="n">
        <v>0.055</v>
      </c>
      <c r="L1335" t="n">
        <v>0.877</v>
      </c>
      <c r="M1335" t="n">
        <v>0.068</v>
      </c>
    </row>
    <row r="1336" spans="1:13">
      <c r="A1336" s="1">
        <f>HYPERLINK("http://www.twitter.com/NathanBLawrence/status/988124338816782337", "988124338816782337")</f>
        <v/>
      </c>
      <c r="B1336" s="2" t="n">
        <v>43212.77517361111</v>
      </c>
      <c r="C1336" t="n">
        <v>0</v>
      </c>
      <c r="D1336" t="n">
        <v>0</v>
      </c>
      <c r="E1336" t="s">
        <v>1347</v>
      </c>
      <c r="F1336" t="s"/>
      <c r="G1336" t="s"/>
      <c r="H1336" t="s"/>
      <c r="I1336" t="s"/>
      <c r="J1336" t="n">
        <v>0.9431</v>
      </c>
      <c r="K1336" t="n">
        <v>0.111</v>
      </c>
      <c r="L1336" t="n">
        <v>0.545</v>
      </c>
      <c r="M1336" t="n">
        <v>0.344</v>
      </c>
    </row>
    <row r="1337" spans="1:13">
      <c r="A1337" s="1">
        <f>HYPERLINK("http://www.twitter.com/NathanBLawrence/status/988123822246293506", "988123822246293506")</f>
        <v/>
      </c>
      <c r="B1337" s="2" t="n">
        <v>43212.77375</v>
      </c>
      <c r="C1337" t="n">
        <v>0</v>
      </c>
      <c r="D1337" t="n">
        <v>0</v>
      </c>
      <c r="E1337" t="s">
        <v>1348</v>
      </c>
      <c r="F1337" t="s"/>
      <c r="G1337" t="s"/>
      <c r="H1337" t="s"/>
      <c r="I1337" t="s"/>
      <c r="J1337" t="n">
        <v>-0.0258</v>
      </c>
      <c r="K1337" t="n">
        <v>0.099</v>
      </c>
      <c r="L1337" t="n">
        <v>0.777</v>
      </c>
      <c r="M1337" t="n">
        <v>0.123</v>
      </c>
    </row>
    <row r="1338" spans="1:13">
      <c r="A1338" s="1">
        <f>HYPERLINK("http://www.twitter.com/NathanBLawrence/status/988123459451539456", "988123459451539456")</f>
        <v/>
      </c>
      <c r="B1338" s="2" t="n">
        <v>43212.77274305555</v>
      </c>
      <c r="C1338" t="n">
        <v>0</v>
      </c>
      <c r="D1338" t="n">
        <v>0</v>
      </c>
      <c r="E1338" t="s">
        <v>1349</v>
      </c>
      <c r="F1338" t="s"/>
      <c r="G1338" t="s"/>
      <c r="H1338" t="s"/>
      <c r="I1338" t="s"/>
      <c r="J1338" t="n">
        <v>0.5266999999999999</v>
      </c>
      <c r="K1338" t="n">
        <v>0.109</v>
      </c>
      <c r="L1338" t="n">
        <v>0.732</v>
      </c>
      <c r="M1338" t="n">
        <v>0.159</v>
      </c>
    </row>
    <row r="1339" spans="1:13">
      <c r="A1339" s="1">
        <f>HYPERLINK("http://www.twitter.com/NathanBLawrence/status/988122999357308928", "988122999357308928")</f>
        <v/>
      </c>
      <c r="B1339" s="2" t="n">
        <v>43212.77148148148</v>
      </c>
      <c r="C1339" t="n">
        <v>0</v>
      </c>
      <c r="D1339" t="n">
        <v>2</v>
      </c>
      <c r="E1339" t="s">
        <v>1350</v>
      </c>
      <c r="F1339" t="s"/>
      <c r="G1339" t="s"/>
      <c r="H1339" t="s"/>
      <c r="I1339" t="s"/>
      <c r="J1339" t="n">
        <v>0</v>
      </c>
      <c r="K1339" t="n">
        <v>0</v>
      </c>
      <c r="L1339" t="n">
        <v>1</v>
      </c>
      <c r="M1339" t="n">
        <v>0</v>
      </c>
    </row>
    <row r="1340" spans="1:13">
      <c r="A1340" s="1">
        <f>HYPERLINK("http://www.twitter.com/NathanBLawrence/status/988114935182974979", "988114935182974979")</f>
        <v/>
      </c>
      <c r="B1340" s="2" t="n">
        <v>43212.74922453704</v>
      </c>
      <c r="C1340" t="n">
        <v>1</v>
      </c>
      <c r="D1340" t="n">
        <v>0</v>
      </c>
      <c r="E1340" t="s">
        <v>1351</v>
      </c>
      <c r="F1340" t="s"/>
      <c r="G1340" t="s"/>
      <c r="H1340" t="s"/>
      <c r="I1340" t="s"/>
      <c r="J1340" t="n">
        <v>0.6908</v>
      </c>
      <c r="K1340" t="n">
        <v>0</v>
      </c>
      <c r="L1340" t="n">
        <v>0.87</v>
      </c>
      <c r="M1340" t="n">
        <v>0.13</v>
      </c>
    </row>
    <row r="1341" spans="1:13">
      <c r="A1341" s="1">
        <f>HYPERLINK("http://www.twitter.com/NathanBLawrence/status/988113777035022337", "988113777035022337")</f>
        <v/>
      </c>
      <c r="B1341" s="2" t="n">
        <v>43212.7460300926</v>
      </c>
      <c r="C1341" t="n">
        <v>2</v>
      </c>
      <c r="D1341" t="n">
        <v>0</v>
      </c>
      <c r="E1341" t="s">
        <v>1352</v>
      </c>
      <c r="F1341" t="s"/>
      <c r="G1341" t="s"/>
      <c r="H1341" t="s"/>
      <c r="I1341" t="s"/>
      <c r="J1341" t="n">
        <v>-0.8362000000000001</v>
      </c>
      <c r="K1341" t="n">
        <v>0.279</v>
      </c>
      <c r="L1341" t="n">
        <v>0.578</v>
      </c>
      <c r="M1341" t="n">
        <v>0.143</v>
      </c>
    </row>
    <row r="1342" spans="1:13">
      <c r="A1342" s="1">
        <f>HYPERLINK("http://www.twitter.com/NathanBLawrence/status/988111460873228289", "988111460873228289")</f>
        <v/>
      </c>
      <c r="B1342" s="2" t="n">
        <v>43212.73964120371</v>
      </c>
      <c r="C1342" t="n">
        <v>5</v>
      </c>
      <c r="D1342" t="n">
        <v>1</v>
      </c>
      <c r="E1342" t="s">
        <v>1353</v>
      </c>
      <c r="F1342" t="s"/>
      <c r="G1342" t="s"/>
      <c r="H1342" t="s"/>
      <c r="I1342" t="s"/>
      <c r="J1342" t="n">
        <v>0</v>
      </c>
      <c r="K1342" t="n">
        <v>0</v>
      </c>
      <c r="L1342" t="n">
        <v>1</v>
      </c>
      <c r="M1342" t="n">
        <v>0</v>
      </c>
    </row>
    <row r="1343" spans="1:13">
      <c r="A1343" s="1">
        <f>HYPERLINK("http://www.twitter.com/NathanBLawrence/status/988105179949125637", "988105179949125637")</f>
        <v/>
      </c>
      <c r="B1343" s="2" t="n">
        <v>43212.72230324074</v>
      </c>
      <c r="C1343" t="n">
        <v>1</v>
      </c>
      <c r="D1343" t="n">
        <v>0</v>
      </c>
      <c r="E1343" t="s">
        <v>1354</v>
      </c>
      <c r="F1343" t="s"/>
      <c r="G1343" t="s"/>
      <c r="H1343" t="s"/>
      <c r="I1343" t="s"/>
      <c r="J1343" t="n">
        <v>0</v>
      </c>
      <c r="K1343" t="n">
        <v>0</v>
      </c>
      <c r="L1343" t="n">
        <v>1</v>
      </c>
      <c r="M1343" t="n">
        <v>0</v>
      </c>
    </row>
    <row r="1344" spans="1:13">
      <c r="A1344" s="1">
        <f>HYPERLINK("http://www.twitter.com/NathanBLawrence/status/988104863941844998", "988104863941844998")</f>
        <v/>
      </c>
      <c r="B1344" s="2" t="n">
        <v>43212.72143518519</v>
      </c>
      <c r="C1344" t="n">
        <v>0</v>
      </c>
      <c r="D1344" t="n">
        <v>0</v>
      </c>
      <c r="E1344" t="s">
        <v>1355</v>
      </c>
      <c r="F1344" t="s"/>
      <c r="G1344" t="s"/>
      <c r="H1344" t="s"/>
      <c r="I1344" t="s"/>
      <c r="J1344" t="n">
        <v>0.8481</v>
      </c>
      <c r="K1344" t="n">
        <v>0</v>
      </c>
      <c r="L1344" t="n">
        <v>0.705</v>
      </c>
      <c r="M1344" t="n">
        <v>0.295</v>
      </c>
    </row>
    <row r="1345" spans="1:13">
      <c r="A1345" s="1">
        <f>HYPERLINK("http://www.twitter.com/NathanBLawrence/status/988104110351241216", "988104110351241216")</f>
        <v/>
      </c>
      <c r="B1345" s="2" t="n">
        <v>43212.71935185185</v>
      </c>
      <c r="C1345" t="n">
        <v>0</v>
      </c>
      <c r="D1345" t="n">
        <v>1431</v>
      </c>
      <c r="E1345" t="s">
        <v>1356</v>
      </c>
      <c r="F1345">
        <f>HYPERLINK("http://pbs.twimg.com/media/DbZr52eW4AEv1WZ.jpg", "http://pbs.twimg.com/media/DbZr52eW4AEv1WZ.jpg")</f>
        <v/>
      </c>
      <c r="G1345" t="s"/>
      <c r="H1345" t="s"/>
      <c r="I1345" t="s"/>
      <c r="J1345" t="n">
        <v>0.2732</v>
      </c>
      <c r="K1345" t="n">
        <v>0</v>
      </c>
      <c r="L1345" t="n">
        <v>0.905</v>
      </c>
      <c r="M1345" t="n">
        <v>0.095</v>
      </c>
    </row>
    <row r="1346" spans="1:13">
      <c r="A1346" s="1">
        <f>HYPERLINK("http://www.twitter.com/NathanBLawrence/status/988103925462192128", "988103925462192128")</f>
        <v/>
      </c>
      <c r="B1346" s="2" t="n">
        <v>43212.71884259259</v>
      </c>
      <c r="C1346" t="n">
        <v>0</v>
      </c>
      <c r="D1346" t="n">
        <v>0</v>
      </c>
      <c r="E1346" t="s">
        <v>1357</v>
      </c>
      <c r="F1346" t="s"/>
      <c r="G1346" t="s"/>
      <c r="H1346" t="s"/>
      <c r="I1346" t="s"/>
      <c r="J1346" t="n">
        <v>0</v>
      </c>
      <c r="K1346" t="n">
        <v>0</v>
      </c>
      <c r="L1346" t="n">
        <v>1</v>
      </c>
      <c r="M1346" t="n">
        <v>0</v>
      </c>
    </row>
    <row r="1347" spans="1:13">
      <c r="A1347" s="1">
        <f>HYPERLINK("http://www.twitter.com/NathanBLawrence/status/988103813356834817", "988103813356834817")</f>
        <v/>
      </c>
      <c r="B1347" s="2" t="n">
        <v>43212.71853009259</v>
      </c>
      <c r="C1347" t="n">
        <v>0</v>
      </c>
      <c r="D1347" t="n">
        <v>83</v>
      </c>
      <c r="E1347" t="s">
        <v>1358</v>
      </c>
      <c r="F1347">
        <f>HYPERLINK("http://pbs.twimg.com/media/DbYpZI7X4AA7F_S.jpg", "http://pbs.twimg.com/media/DbYpZI7X4AA7F_S.jpg")</f>
        <v/>
      </c>
      <c r="G1347" t="s"/>
      <c r="H1347" t="s"/>
      <c r="I1347" t="s"/>
      <c r="J1347" t="n">
        <v>0</v>
      </c>
      <c r="K1347" t="n">
        <v>0</v>
      </c>
      <c r="L1347" t="n">
        <v>1</v>
      </c>
      <c r="M1347" t="n">
        <v>0</v>
      </c>
    </row>
    <row r="1348" spans="1:13">
      <c r="A1348" s="1">
        <f>HYPERLINK("http://www.twitter.com/NathanBLawrence/status/988099794399875072", "988099794399875072")</f>
        <v/>
      </c>
      <c r="B1348" s="2" t="n">
        <v>43212.70744212963</v>
      </c>
      <c r="C1348" t="n">
        <v>0</v>
      </c>
      <c r="D1348" t="n">
        <v>41</v>
      </c>
      <c r="E1348" t="s">
        <v>1359</v>
      </c>
      <c r="F1348" t="s"/>
      <c r="G1348" t="s"/>
      <c r="H1348" t="s"/>
      <c r="I1348" t="s"/>
      <c r="J1348" t="n">
        <v>-0.2732</v>
      </c>
      <c r="K1348" t="n">
        <v>0.19</v>
      </c>
      <c r="L1348" t="n">
        <v>0.652</v>
      </c>
      <c r="M1348" t="n">
        <v>0.159</v>
      </c>
    </row>
    <row r="1349" spans="1:13">
      <c r="A1349" s="1">
        <f>HYPERLINK("http://www.twitter.com/NathanBLawrence/status/988099454757634048", "988099454757634048")</f>
        <v/>
      </c>
      <c r="B1349" s="2" t="n">
        <v>43212.70650462963</v>
      </c>
      <c r="C1349" t="n">
        <v>0</v>
      </c>
      <c r="D1349" t="n">
        <v>0</v>
      </c>
      <c r="E1349" t="s">
        <v>1360</v>
      </c>
      <c r="F1349" t="s"/>
      <c r="G1349" t="s"/>
      <c r="H1349" t="s"/>
      <c r="I1349" t="s"/>
      <c r="J1349" t="n">
        <v>0.7050999999999999</v>
      </c>
      <c r="K1349" t="n">
        <v>0</v>
      </c>
      <c r="L1349" t="n">
        <v>0.791</v>
      </c>
      <c r="M1349" t="n">
        <v>0.209</v>
      </c>
    </row>
    <row r="1350" spans="1:13">
      <c r="A1350" s="1">
        <f>HYPERLINK("http://www.twitter.com/NathanBLawrence/status/988099127769694209", "988099127769694209")</f>
        <v/>
      </c>
      <c r="B1350" s="2" t="n">
        <v>43212.70560185185</v>
      </c>
      <c r="C1350" t="n">
        <v>1</v>
      </c>
      <c r="D1350" t="n">
        <v>0</v>
      </c>
      <c r="E1350" t="s">
        <v>1361</v>
      </c>
      <c r="F1350" t="s"/>
      <c r="G1350" t="s"/>
      <c r="H1350" t="s"/>
      <c r="I1350" t="s"/>
      <c r="J1350" t="n">
        <v>0</v>
      </c>
      <c r="K1350" t="n">
        <v>0</v>
      </c>
      <c r="L1350" t="n">
        <v>1</v>
      </c>
      <c r="M1350" t="n">
        <v>0</v>
      </c>
    </row>
    <row r="1351" spans="1:13">
      <c r="A1351" s="1">
        <f>HYPERLINK("http://www.twitter.com/NathanBLawrence/status/988098143341424640", "988098143341424640")</f>
        <v/>
      </c>
      <c r="B1351" s="2" t="n">
        <v>43212.70289351852</v>
      </c>
      <c r="C1351" t="n">
        <v>1</v>
      </c>
      <c r="D1351" t="n">
        <v>0</v>
      </c>
      <c r="E1351" t="s">
        <v>1362</v>
      </c>
      <c r="F1351" t="s"/>
      <c r="G1351" t="s"/>
      <c r="H1351" t="s"/>
      <c r="I1351" t="s"/>
      <c r="J1351" t="n">
        <v>0.6597</v>
      </c>
      <c r="K1351" t="n">
        <v>0.124</v>
      </c>
      <c r="L1351" t="n">
        <v>0.62</v>
      </c>
      <c r="M1351" t="n">
        <v>0.256</v>
      </c>
    </row>
    <row r="1352" spans="1:13">
      <c r="A1352" s="1">
        <f>HYPERLINK("http://www.twitter.com/NathanBLawrence/status/988097276701827072", "988097276701827072")</f>
        <v/>
      </c>
      <c r="B1352" s="2" t="n">
        <v>43212.70049768518</v>
      </c>
      <c r="C1352" t="n">
        <v>0</v>
      </c>
      <c r="D1352" t="n">
        <v>5</v>
      </c>
      <c r="E1352" t="s">
        <v>1363</v>
      </c>
      <c r="F1352" t="s"/>
      <c r="G1352" t="s"/>
      <c r="H1352" t="s"/>
      <c r="I1352" t="s"/>
      <c r="J1352" t="n">
        <v>0.5719</v>
      </c>
      <c r="K1352" t="n">
        <v>0</v>
      </c>
      <c r="L1352" t="n">
        <v>0.793</v>
      </c>
      <c r="M1352" t="n">
        <v>0.207</v>
      </c>
    </row>
    <row r="1353" spans="1:13">
      <c r="A1353" s="1">
        <f>HYPERLINK("http://www.twitter.com/NathanBLawrence/status/988097155612205057", "988097155612205057")</f>
        <v/>
      </c>
      <c r="B1353" s="2" t="n">
        <v>43212.70016203704</v>
      </c>
      <c r="C1353" t="n">
        <v>0</v>
      </c>
      <c r="D1353" t="n">
        <v>0</v>
      </c>
      <c r="E1353" t="s">
        <v>1364</v>
      </c>
      <c r="F1353" t="s"/>
      <c r="G1353" t="s"/>
      <c r="H1353" t="s"/>
      <c r="I1353" t="s"/>
      <c r="J1353" t="n">
        <v>0</v>
      </c>
      <c r="K1353" t="n">
        <v>0</v>
      </c>
      <c r="L1353" t="n">
        <v>1</v>
      </c>
      <c r="M1353" t="n">
        <v>0</v>
      </c>
    </row>
    <row r="1354" spans="1:13">
      <c r="A1354" s="1">
        <f>HYPERLINK("http://www.twitter.com/NathanBLawrence/status/988095680307744768", "988095680307744768")</f>
        <v/>
      </c>
      <c r="B1354" s="2" t="n">
        <v>43212.69608796296</v>
      </c>
      <c r="C1354" t="n">
        <v>4</v>
      </c>
      <c r="D1354" t="n">
        <v>0</v>
      </c>
      <c r="E1354" t="s">
        <v>1365</v>
      </c>
      <c r="F1354">
        <f>HYPERLINK("http://pbs.twimg.com/media/DbZrxyMU0AAH9PT.jpg", "http://pbs.twimg.com/media/DbZrxyMU0AAH9PT.jpg")</f>
        <v/>
      </c>
      <c r="G1354" t="s"/>
      <c r="H1354" t="s"/>
      <c r="I1354" t="s"/>
      <c r="J1354" t="n">
        <v>0</v>
      </c>
      <c r="K1354" t="n">
        <v>0</v>
      </c>
      <c r="L1354" t="n">
        <v>1</v>
      </c>
      <c r="M1354" t="n">
        <v>0</v>
      </c>
    </row>
    <row r="1355" spans="1:13">
      <c r="A1355" s="1">
        <f>HYPERLINK("http://www.twitter.com/NathanBLawrence/status/988095404322455552", "988095404322455552")</f>
        <v/>
      </c>
      <c r="B1355" s="2" t="n">
        <v>43212.69532407408</v>
      </c>
      <c r="C1355" t="n">
        <v>3</v>
      </c>
      <c r="D1355" t="n">
        <v>1</v>
      </c>
      <c r="E1355" t="s">
        <v>1366</v>
      </c>
      <c r="F1355" t="s"/>
      <c r="G1355" t="s"/>
      <c r="H1355" t="s"/>
      <c r="I1355" t="s"/>
      <c r="J1355" t="n">
        <v>0.6486</v>
      </c>
      <c r="K1355" t="n">
        <v>0.108</v>
      </c>
      <c r="L1355" t="n">
        <v>0.652</v>
      </c>
      <c r="M1355" t="n">
        <v>0.241</v>
      </c>
    </row>
    <row r="1356" spans="1:13">
      <c r="A1356" s="1">
        <f>HYPERLINK("http://www.twitter.com/NathanBLawrence/status/988089203035656193", "988089203035656193")</f>
        <v/>
      </c>
      <c r="B1356" s="2" t="n">
        <v>43212.67821759259</v>
      </c>
      <c r="C1356" t="n">
        <v>0</v>
      </c>
      <c r="D1356" t="n">
        <v>7</v>
      </c>
      <c r="E1356" t="s">
        <v>1367</v>
      </c>
      <c r="F1356" t="s"/>
      <c r="G1356" t="s"/>
      <c r="H1356" t="s"/>
      <c r="I1356" t="s"/>
      <c r="J1356" t="n">
        <v>0.4389</v>
      </c>
      <c r="K1356" t="n">
        <v>0</v>
      </c>
      <c r="L1356" t="n">
        <v>0.855</v>
      </c>
      <c r="M1356" t="n">
        <v>0.145</v>
      </c>
    </row>
    <row r="1357" spans="1:13">
      <c r="A1357" s="1">
        <f>HYPERLINK("http://www.twitter.com/NathanBLawrence/status/988089087721660416", "988089087721660416")</f>
        <v/>
      </c>
      <c r="B1357" s="2" t="n">
        <v>43212.67789351852</v>
      </c>
      <c r="C1357" t="n">
        <v>0</v>
      </c>
      <c r="D1357" t="n">
        <v>0</v>
      </c>
      <c r="E1357" t="s">
        <v>1368</v>
      </c>
      <c r="F1357" t="s"/>
      <c r="G1357" t="s"/>
      <c r="H1357" t="s"/>
      <c r="I1357" t="s"/>
      <c r="J1357" t="n">
        <v>0</v>
      </c>
      <c r="K1357" t="n">
        <v>0</v>
      </c>
      <c r="L1357" t="n">
        <v>1</v>
      </c>
      <c r="M1357" t="n">
        <v>0</v>
      </c>
    </row>
    <row r="1358" spans="1:13">
      <c r="A1358" s="1">
        <f>HYPERLINK("http://www.twitter.com/NathanBLawrence/status/988088253675921409", "988088253675921409")</f>
        <v/>
      </c>
      <c r="B1358" s="2" t="n">
        <v>43212.67560185185</v>
      </c>
      <c r="C1358" t="n">
        <v>4</v>
      </c>
      <c r="D1358" t="n">
        <v>4</v>
      </c>
      <c r="E1358" t="s">
        <v>1369</v>
      </c>
      <c r="F1358" t="s"/>
      <c r="G1358" t="s"/>
      <c r="H1358" t="s"/>
      <c r="I1358" t="s"/>
      <c r="J1358" t="n">
        <v>0</v>
      </c>
      <c r="K1358" t="n">
        <v>0</v>
      </c>
      <c r="L1358" t="n">
        <v>1</v>
      </c>
      <c r="M1358" t="n">
        <v>0</v>
      </c>
    </row>
    <row r="1359" spans="1:13">
      <c r="A1359" s="1">
        <f>HYPERLINK("http://www.twitter.com/NathanBLawrence/status/988087191321694208", "988087191321694208")</f>
        <v/>
      </c>
      <c r="B1359" s="2" t="n">
        <v>43212.67266203704</v>
      </c>
      <c r="C1359" t="n">
        <v>0</v>
      </c>
      <c r="D1359" t="n">
        <v>1</v>
      </c>
      <c r="E1359" t="s">
        <v>1370</v>
      </c>
      <c r="F1359" t="s"/>
      <c r="G1359" t="s"/>
      <c r="H1359" t="s"/>
      <c r="I1359" t="s"/>
      <c r="J1359" t="n">
        <v>0</v>
      </c>
      <c r="K1359" t="n">
        <v>0</v>
      </c>
      <c r="L1359" t="n">
        <v>1</v>
      </c>
      <c r="M1359" t="n">
        <v>0</v>
      </c>
    </row>
    <row r="1360" spans="1:13">
      <c r="A1360" s="1">
        <f>HYPERLINK("http://www.twitter.com/NathanBLawrence/status/988085721998209024", "988085721998209024")</f>
        <v/>
      </c>
      <c r="B1360" s="2" t="n">
        <v>43212.66861111111</v>
      </c>
      <c r="C1360" t="n">
        <v>0</v>
      </c>
      <c r="D1360" t="n">
        <v>482</v>
      </c>
      <c r="E1360" t="s">
        <v>1371</v>
      </c>
      <c r="F1360">
        <f>HYPERLINK("http://pbs.twimg.com/media/DbZS_sRWsAECQJf.jpg", "http://pbs.twimg.com/media/DbZS_sRWsAECQJf.jpg")</f>
        <v/>
      </c>
      <c r="G1360" t="s"/>
      <c r="H1360" t="s"/>
      <c r="I1360" t="s"/>
      <c r="J1360" t="n">
        <v>0</v>
      </c>
      <c r="K1360" t="n">
        <v>0</v>
      </c>
      <c r="L1360" t="n">
        <v>1</v>
      </c>
      <c r="M1360" t="n">
        <v>0</v>
      </c>
    </row>
    <row r="1361" spans="1:13">
      <c r="A1361" s="1">
        <f>HYPERLINK("http://www.twitter.com/NathanBLawrence/status/988069628625682432", "988069628625682432")</f>
        <v/>
      </c>
      <c r="B1361" s="2" t="n">
        <v>43212.62420138889</v>
      </c>
      <c r="C1361" t="n">
        <v>3</v>
      </c>
      <c r="D1361" t="n">
        <v>0</v>
      </c>
      <c r="E1361" t="s">
        <v>1372</v>
      </c>
      <c r="F1361" t="s"/>
      <c r="G1361" t="s"/>
      <c r="H1361" t="s"/>
      <c r="I1361" t="s"/>
      <c r="J1361" t="n">
        <v>0.5574</v>
      </c>
      <c r="K1361" t="n">
        <v>0</v>
      </c>
      <c r="L1361" t="n">
        <v>0.805</v>
      </c>
      <c r="M1361" t="n">
        <v>0.195</v>
      </c>
    </row>
    <row r="1362" spans="1:13">
      <c r="A1362" s="1">
        <f>HYPERLINK("http://www.twitter.com/NathanBLawrence/status/988069312803098626", "988069312803098626")</f>
        <v/>
      </c>
      <c r="B1362" s="2" t="n">
        <v>43212.62333333334</v>
      </c>
      <c r="C1362" t="n">
        <v>2</v>
      </c>
      <c r="D1362" t="n">
        <v>1</v>
      </c>
      <c r="E1362" t="s">
        <v>1373</v>
      </c>
      <c r="F1362" t="s"/>
      <c r="G1362" t="s"/>
      <c r="H1362" t="s"/>
      <c r="I1362" t="s"/>
      <c r="J1362" t="n">
        <v>0.5994</v>
      </c>
      <c r="K1362" t="n">
        <v>0</v>
      </c>
      <c r="L1362" t="n">
        <v>0.29</v>
      </c>
      <c r="M1362" t="n">
        <v>0.71</v>
      </c>
    </row>
    <row r="1363" spans="1:13">
      <c r="A1363" s="1">
        <f>HYPERLINK("http://www.twitter.com/NathanBLawrence/status/988068310762905600", "988068310762905600")</f>
        <v/>
      </c>
      <c r="B1363" s="2" t="n">
        <v>43212.62056712963</v>
      </c>
      <c r="C1363" t="n">
        <v>0</v>
      </c>
      <c r="D1363" t="n">
        <v>0</v>
      </c>
      <c r="E1363" t="s">
        <v>1374</v>
      </c>
      <c r="F1363" t="s"/>
      <c r="G1363" t="s"/>
      <c r="H1363" t="s"/>
      <c r="I1363" t="s"/>
      <c r="J1363" t="n">
        <v>0</v>
      </c>
      <c r="K1363" t="n">
        <v>0</v>
      </c>
      <c r="L1363" t="n">
        <v>1</v>
      </c>
      <c r="M1363" t="n">
        <v>0</v>
      </c>
    </row>
    <row r="1364" spans="1:13">
      <c r="A1364" s="1">
        <f>HYPERLINK("http://www.twitter.com/NathanBLawrence/status/988055283057426432", "988055283057426432")</f>
        <v/>
      </c>
      <c r="B1364" s="2" t="n">
        <v>43212.58461805555</v>
      </c>
      <c r="C1364" t="n">
        <v>1</v>
      </c>
      <c r="D1364" t="n">
        <v>1</v>
      </c>
      <c r="E1364" t="s">
        <v>1375</v>
      </c>
      <c r="F1364" t="s"/>
      <c r="G1364" t="s"/>
      <c r="H1364" t="s"/>
      <c r="I1364" t="s"/>
      <c r="J1364" t="n">
        <v>-0.4682</v>
      </c>
      <c r="K1364" t="n">
        <v>0.203</v>
      </c>
      <c r="L1364" t="n">
        <v>0.797</v>
      </c>
      <c r="M1364" t="n">
        <v>0</v>
      </c>
    </row>
    <row r="1365" spans="1:13">
      <c r="A1365" s="1">
        <f>HYPERLINK("http://www.twitter.com/NathanBLawrence/status/987952425716928512", "987952425716928512")</f>
        <v/>
      </c>
      <c r="B1365" s="2" t="n">
        <v>43212.30078703703</v>
      </c>
      <c r="C1365" t="n">
        <v>2</v>
      </c>
      <c r="D1365" t="n">
        <v>1</v>
      </c>
      <c r="E1365" t="s">
        <v>1376</v>
      </c>
      <c r="F1365" t="s"/>
      <c r="G1365" t="s"/>
      <c r="H1365" t="s"/>
      <c r="I1365" t="s"/>
      <c r="J1365" t="n">
        <v>0.5423</v>
      </c>
      <c r="K1365" t="n">
        <v>0</v>
      </c>
      <c r="L1365" t="n">
        <v>0.8159999999999999</v>
      </c>
      <c r="M1365" t="n">
        <v>0.184</v>
      </c>
    </row>
    <row r="1366" spans="1:13">
      <c r="A1366" s="1">
        <f>HYPERLINK("http://www.twitter.com/NathanBLawrence/status/987951387907633153", "987951387907633153")</f>
        <v/>
      </c>
      <c r="B1366" s="2" t="n">
        <v>43212.29791666667</v>
      </c>
      <c r="C1366" t="n">
        <v>2</v>
      </c>
      <c r="D1366" t="n">
        <v>1</v>
      </c>
      <c r="E1366" t="s">
        <v>1377</v>
      </c>
      <c r="F1366" t="s"/>
      <c r="G1366" t="s"/>
      <c r="H1366" t="s"/>
      <c r="I1366" t="s"/>
      <c r="J1366" t="n">
        <v>0</v>
      </c>
      <c r="K1366" t="n">
        <v>0</v>
      </c>
      <c r="L1366" t="n">
        <v>1</v>
      </c>
      <c r="M1366" t="n">
        <v>0</v>
      </c>
    </row>
    <row r="1367" spans="1:13">
      <c r="A1367" s="1">
        <f>HYPERLINK("http://www.twitter.com/NathanBLawrence/status/987950289134260229", "987950289134260229")</f>
        <v/>
      </c>
      <c r="B1367" s="2" t="n">
        <v>43212.29488425926</v>
      </c>
      <c r="C1367" t="n">
        <v>0</v>
      </c>
      <c r="D1367" t="n">
        <v>112</v>
      </c>
      <c r="E1367" t="s">
        <v>1378</v>
      </c>
      <c r="F1367" t="s"/>
      <c r="G1367" t="s"/>
      <c r="H1367" t="s"/>
      <c r="I1367" t="s"/>
      <c r="J1367" t="n">
        <v>0.0516</v>
      </c>
      <c r="K1367" t="n">
        <v>0.074</v>
      </c>
      <c r="L1367" t="n">
        <v>0.8110000000000001</v>
      </c>
      <c r="M1367" t="n">
        <v>0.115</v>
      </c>
    </row>
    <row r="1368" spans="1:13">
      <c r="A1368" s="1">
        <f>HYPERLINK("http://www.twitter.com/NathanBLawrence/status/987883202197979136", "987883202197979136")</f>
        <v/>
      </c>
      <c r="B1368" s="2" t="n">
        <v>43212.10976851852</v>
      </c>
      <c r="C1368" t="n">
        <v>0</v>
      </c>
      <c r="D1368" t="n">
        <v>4742</v>
      </c>
      <c r="E1368" t="s">
        <v>1379</v>
      </c>
      <c r="F1368" t="s"/>
      <c r="G1368" t="s"/>
      <c r="H1368" t="s"/>
      <c r="I1368" t="s"/>
      <c r="J1368" t="n">
        <v>0</v>
      </c>
      <c r="K1368" t="n">
        <v>0</v>
      </c>
      <c r="L1368" t="n">
        <v>1</v>
      </c>
      <c r="M1368" t="n">
        <v>0</v>
      </c>
    </row>
    <row r="1369" spans="1:13">
      <c r="A1369" s="1">
        <f>HYPERLINK("http://www.twitter.com/NathanBLawrence/status/987883114658717697", "987883114658717697")</f>
        <v/>
      </c>
      <c r="B1369" s="2" t="n">
        <v>43212.10952546296</v>
      </c>
      <c r="C1369" t="n">
        <v>3</v>
      </c>
      <c r="D1369" t="n">
        <v>1</v>
      </c>
      <c r="E1369" t="s">
        <v>1380</v>
      </c>
      <c r="F1369" t="s"/>
      <c r="G1369" t="s"/>
      <c r="H1369" t="s"/>
      <c r="I1369" t="s"/>
      <c r="J1369" t="n">
        <v>0.3736</v>
      </c>
      <c r="K1369" t="n">
        <v>0</v>
      </c>
      <c r="L1369" t="n">
        <v>0.881</v>
      </c>
      <c r="M1369" t="n">
        <v>0.119</v>
      </c>
    </row>
    <row r="1370" spans="1:13">
      <c r="A1370" s="1">
        <f>HYPERLINK("http://www.twitter.com/NathanBLawrence/status/987874821223731200", "987874821223731200")</f>
        <v/>
      </c>
      <c r="B1370" s="2" t="n">
        <v>43212.08663194445</v>
      </c>
      <c r="C1370" t="n">
        <v>1</v>
      </c>
      <c r="D1370" t="n">
        <v>0</v>
      </c>
      <c r="E1370" t="s">
        <v>1381</v>
      </c>
      <c r="F1370" t="s"/>
      <c r="G1370" t="s"/>
      <c r="H1370" t="s"/>
      <c r="I1370" t="s"/>
      <c r="J1370" t="n">
        <v>0.7592</v>
      </c>
      <c r="K1370" t="n">
        <v>0</v>
      </c>
      <c r="L1370" t="n">
        <v>0.62</v>
      </c>
      <c r="M1370" t="n">
        <v>0.38</v>
      </c>
    </row>
    <row r="1371" spans="1:13">
      <c r="A1371" s="1">
        <f>HYPERLINK("http://www.twitter.com/NathanBLawrence/status/987874201511059456", "987874201511059456")</f>
        <v/>
      </c>
      <c r="B1371" s="2" t="n">
        <v>43212.08493055555</v>
      </c>
      <c r="C1371" t="n">
        <v>2</v>
      </c>
      <c r="D1371" t="n">
        <v>1</v>
      </c>
      <c r="E1371" t="s">
        <v>1382</v>
      </c>
      <c r="F1371" t="s"/>
      <c r="G1371" t="s"/>
      <c r="H1371" t="s"/>
      <c r="I1371" t="s"/>
      <c r="J1371" t="n">
        <v>0</v>
      </c>
      <c r="K1371" t="n">
        <v>0</v>
      </c>
      <c r="L1371" t="n">
        <v>1</v>
      </c>
      <c r="M1371" t="n">
        <v>0</v>
      </c>
    </row>
    <row r="1372" spans="1:13">
      <c r="A1372" s="1">
        <f>HYPERLINK("http://www.twitter.com/NathanBLawrence/status/987873888569839616", "987873888569839616")</f>
        <v/>
      </c>
      <c r="B1372" s="2" t="n">
        <v>43212.0840625</v>
      </c>
      <c r="C1372" t="n">
        <v>0</v>
      </c>
      <c r="D1372" t="n">
        <v>0</v>
      </c>
      <c r="E1372" t="s">
        <v>1383</v>
      </c>
      <c r="F1372" t="s"/>
      <c r="G1372" t="s"/>
      <c r="H1372" t="s"/>
      <c r="I1372" t="s"/>
      <c r="J1372" t="n">
        <v>0.6249</v>
      </c>
      <c r="K1372" t="n">
        <v>0</v>
      </c>
      <c r="L1372" t="n">
        <v>0.495</v>
      </c>
      <c r="M1372" t="n">
        <v>0.505</v>
      </c>
    </row>
    <row r="1373" spans="1:13">
      <c r="A1373" s="1">
        <f>HYPERLINK("http://www.twitter.com/NathanBLawrence/status/987853431065980934", "987853431065980934")</f>
        <v/>
      </c>
      <c r="B1373" s="2" t="n">
        <v>43212.02761574074</v>
      </c>
      <c r="C1373" t="n">
        <v>1</v>
      </c>
      <c r="D1373" t="n">
        <v>0</v>
      </c>
      <c r="E1373" t="s">
        <v>1384</v>
      </c>
      <c r="F1373" t="s"/>
      <c r="G1373" t="s"/>
      <c r="H1373" t="s"/>
      <c r="I1373" t="s"/>
      <c r="J1373" t="n">
        <v>0</v>
      </c>
      <c r="K1373" t="n">
        <v>0</v>
      </c>
      <c r="L1373" t="n">
        <v>1</v>
      </c>
      <c r="M1373" t="n">
        <v>0</v>
      </c>
    </row>
    <row r="1374" spans="1:13">
      <c r="A1374" s="1">
        <f>HYPERLINK("http://www.twitter.com/NathanBLawrence/status/987853241164685312", "987853241164685312")</f>
        <v/>
      </c>
      <c r="B1374" s="2" t="n">
        <v>43212.02708333333</v>
      </c>
      <c r="C1374" t="n">
        <v>1</v>
      </c>
      <c r="D1374" t="n">
        <v>0</v>
      </c>
      <c r="E1374" t="s">
        <v>1385</v>
      </c>
      <c r="F1374" t="s"/>
      <c r="G1374" t="s"/>
      <c r="H1374" t="s"/>
      <c r="I1374" t="s"/>
      <c r="J1374" t="n">
        <v>0</v>
      </c>
      <c r="K1374" t="n">
        <v>0</v>
      </c>
      <c r="L1374" t="n">
        <v>1</v>
      </c>
      <c r="M1374" t="n">
        <v>0</v>
      </c>
    </row>
    <row r="1375" spans="1:13">
      <c r="A1375" s="1">
        <f>HYPERLINK("http://www.twitter.com/NathanBLawrence/status/987852604528037888", "987852604528037888")</f>
        <v/>
      </c>
      <c r="B1375" s="2" t="n">
        <v>43212.02532407407</v>
      </c>
      <c r="C1375" t="n">
        <v>2</v>
      </c>
      <c r="D1375" t="n">
        <v>0</v>
      </c>
      <c r="E1375" t="s">
        <v>1386</v>
      </c>
      <c r="F1375" t="s"/>
      <c r="G1375" t="s"/>
      <c r="H1375" t="s"/>
      <c r="I1375" t="s"/>
      <c r="J1375" t="n">
        <v>0</v>
      </c>
      <c r="K1375" t="n">
        <v>0</v>
      </c>
      <c r="L1375" t="n">
        <v>1</v>
      </c>
      <c r="M1375" t="n">
        <v>0</v>
      </c>
    </row>
    <row r="1376" spans="1:13">
      <c r="A1376" s="1">
        <f>HYPERLINK("http://www.twitter.com/NathanBLawrence/status/987843881894105092", "987843881894105092")</f>
        <v/>
      </c>
      <c r="B1376" s="2" t="n">
        <v>43212.00126157407</v>
      </c>
      <c r="C1376" t="n">
        <v>10</v>
      </c>
      <c r="D1376" t="n">
        <v>7</v>
      </c>
      <c r="E1376" t="s">
        <v>1387</v>
      </c>
      <c r="F1376" t="s"/>
      <c r="G1376" t="s"/>
      <c r="H1376" t="s"/>
      <c r="I1376" t="s"/>
      <c r="J1376" t="n">
        <v>0.2194</v>
      </c>
      <c r="K1376" t="n">
        <v>0.076</v>
      </c>
      <c r="L1376" t="n">
        <v>0.821</v>
      </c>
      <c r="M1376" t="n">
        <v>0.103</v>
      </c>
    </row>
    <row r="1377" spans="1:13">
      <c r="A1377" s="1">
        <f>HYPERLINK("http://www.twitter.com/NathanBLawrence/status/987843211862396928", "987843211862396928")</f>
        <v/>
      </c>
      <c r="B1377" s="2" t="n">
        <v>43211.99940972222</v>
      </c>
      <c r="C1377" t="n">
        <v>1</v>
      </c>
      <c r="D1377" t="n">
        <v>0</v>
      </c>
      <c r="E1377" t="s">
        <v>1388</v>
      </c>
      <c r="F1377" t="s"/>
      <c r="G1377" t="s"/>
      <c r="H1377" t="s"/>
      <c r="I1377" t="s"/>
      <c r="J1377" t="n">
        <v>0.7269</v>
      </c>
      <c r="K1377" t="n">
        <v>0</v>
      </c>
      <c r="L1377" t="n">
        <v>0.643</v>
      </c>
      <c r="M1377" t="n">
        <v>0.357</v>
      </c>
    </row>
    <row r="1378" spans="1:13">
      <c r="A1378" s="1">
        <f>HYPERLINK("http://www.twitter.com/NathanBLawrence/status/987837638693588993", "987837638693588993")</f>
        <v/>
      </c>
      <c r="B1378" s="2" t="n">
        <v>43211.98402777778</v>
      </c>
      <c r="C1378" t="n">
        <v>1</v>
      </c>
      <c r="D1378" t="n">
        <v>1</v>
      </c>
      <c r="E1378" t="s">
        <v>1389</v>
      </c>
      <c r="F1378" t="s"/>
      <c r="G1378" t="s"/>
      <c r="H1378" t="s"/>
      <c r="I1378" t="s"/>
      <c r="J1378" t="n">
        <v>0</v>
      </c>
      <c r="K1378" t="n">
        <v>0</v>
      </c>
      <c r="L1378" t="n">
        <v>1</v>
      </c>
      <c r="M1378" t="n">
        <v>0</v>
      </c>
    </row>
    <row r="1379" spans="1:13">
      <c r="A1379" s="1">
        <f>HYPERLINK("http://www.twitter.com/NathanBLawrence/status/987837324112343040", "987837324112343040")</f>
        <v/>
      </c>
      <c r="B1379" s="2" t="n">
        <v>43211.98315972222</v>
      </c>
      <c r="C1379" t="n">
        <v>0</v>
      </c>
      <c r="D1379" t="n">
        <v>0</v>
      </c>
      <c r="E1379" t="s">
        <v>1390</v>
      </c>
      <c r="F1379" t="s"/>
      <c r="G1379" t="s"/>
      <c r="H1379" t="s"/>
      <c r="I1379" t="s"/>
      <c r="J1379" t="n">
        <v>0</v>
      </c>
      <c r="K1379" t="n">
        <v>0</v>
      </c>
      <c r="L1379" t="n">
        <v>1</v>
      </c>
      <c r="M1379" t="n">
        <v>0</v>
      </c>
    </row>
    <row r="1380" spans="1:13">
      <c r="A1380" s="1">
        <f>HYPERLINK("http://www.twitter.com/NathanBLawrence/status/987836730932891654", "987836730932891654")</f>
        <v/>
      </c>
      <c r="B1380" s="2" t="n">
        <v>43211.98152777777</v>
      </c>
      <c r="C1380" t="n">
        <v>2</v>
      </c>
      <c r="D1380" t="n">
        <v>0</v>
      </c>
      <c r="E1380" t="s">
        <v>1391</v>
      </c>
      <c r="F1380" t="s"/>
      <c r="G1380" t="s"/>
      <c r="H1380" t="s"/>
      <c r="I1380" t="s"/>
      <c r="J1380" t="n">
        <v>-0.5106000000000001</v>
      </c>
      <c r="K1380" t="n">
        <v>0.216</v>
      </c>
      <c r="L1380" t="n">
        <v>0.784</v>
      </c>
      <c r="M1380" t="n">
        <v>0</v>
      </c>
    </row>
    <row r="1381" spans="1:13">
      <c r="A1381" s="1">
        <f>HYPERLINK("http://www.twitter.com/NathanBLawrence/status/987835821846908928", "987835821846908928")</f>
        <v/>
      </c>
      <c r="B1381" s="2" t="n">
        <v>43211.9790162037</v>
      </c>
      <c r="C1381" t="n">
        <v>2</v>
      </c>
      <c r="D1381" t="n">
        <v>0</v>
      </c>
      <c r="E1381" t="s">
        <v>1392</v>
      </c>
      <c r="F1381" t="s"/>
      <c r="G1381" t="s"/>
      <c r="H1381" t="s"/>
      <c r="I1381" t="s"/>
      <c r="J1381" t="n">
        <v>-0.1779</v>
      </c>
      <c r="K1381" t="n">
        <v>0.049</v>
      </c>
      <c r="L1381" t="n">
        <v>0.951</v>
      </c>
      <c r="M1381" t="n">
        <v>0</v>
      </c>
    </row>
    <row r="1382" spans="1:13">
      <c r="A1382" s="1">
        <f>HYPERLINK("http://www.twitter.com/NathanBLawrence/status/987834746968436736", "987834746968436736")</f>
        <v/>
      </c>
      <c r="B1382" s="2" t="n">
        <v>43211.97605324074</v>
      </c>
      <c r="C1382" t="n">
        <v>2</v>
      </c>
      <c r="D1382" t="n">
        <v>0</v>
      </c>
      <c r="E1382" t="s">
        <v>1393</v>
      </c>
      <c r="F1382" t="s"/>
      <c r="G1382" t="s"/>
      <c r="H1382" t="s"/>
      <c r="I1382" t="s"/>
      <c r="J1382" t="n">
        <v>0.4753</v>
      </c>
      <c r="K1382" t="n">
        <v>0</v>
      </c>
      <c r="L1382" t="n">
        <v>0.876</v>
      </c>
      <c r="M1382" t="n">
        <v>0.124</v>
      </c>
    </row>
    <row r="1383" spans="1:13">
      <c r="A1383" s="1">
        <f>HYPERLINK("http://www.twitter.com/NathanBLawrence/status/987834267693666304", "987834267693666304")</f>
        <v/>
      </c>
      <c r="B1383" s="2" t="n">
        <v>43211.9747337963</v>
      </c>
      <c r="C1383" t="n">
        <v>0</v>
      </c>
      <c r="D1383" t="n">
        <v>0</v>
      </c>
      <c r="E1383" t="s">
        <v>1394</v>
      </c>
      <c r="F1383" t="s"/>
      <c r="G1383" t="s"/>
      <c r="H1383" t="s"/>
      <c r="I1383" t="s"/>
      <c r="J1383" t="n">
        <v>0</v>
      </c>
      <c r="K1383" t="n">
        <v>0</v>
      </c>
      <c r="L1383" t="n">
        <v>1</v>
      </c>
      <c r="M1383" t="n">
        <v>0</v>
      </c>
    </row>
    <row r="1384" spans="1:13">
      <c r="A1384" s="1">
        <f>HYPERLINK("http://www.twitter.com/NathanBLawrence/status/987831839061573633", "987831839061573633")</f>
        <v/>
      </c>
      <c r="B1384" s="2" t="n">
        <v>43211.96803240741</v>
      </c>
      <c r="C1384" t="n">
        <v>3</v>
      </c>
      <c r="D1384" t="n">
        <v>0</v>
      </c>
      <c r="E1384" t="s">
        <v>1395</v>
      </c>
      <c r="F1384" t="s"/>
      <c r="G1384" t="s"/>
      <c r="H1384" t="s"/>
      <c r="I1384" t="s"/>
      <c r="J1384" t="n">
        <v>-0.5183</v>
      </c>
      <c r="K1384" t="n">
        <v>0.123</v>
      </c>
      <c r="L1384" t="n">
        <v>0.8179999999999999</v>
      </c>
      <c r="M1384" t="n">
        <v>0.059</v>
      </c>
    </row>
    <row r="1385" spans="1:13">
      <c r="A1385" s="1">
        <f>HYPERLINK("http://www.twitter.com/NathanBLawrence/status/987830059074539521", "987830059074539521")</f>
        <v/>
      </c>
      <c r="B1385" s="2" t="n">
        <v>43211.96311342593</v>
      </c>
      <c r="C1385" t="n">
        <v>1</v>
      </c>
      <c r="D1385" t="n">
        <v>0</v>
      </c>
      <c r="E1385" t="s">
        <v>1396</v>
      </c>
      <c r="F1385" t="s"/>
      <c r="G1385" t="s"/>
      <c r="H1385" t="s"/>
      <c r="I1385" t="s"/>
      <c r="J1385" t="n">
        <v>0</v>
      </c>
      <c r="K1385" t="n">
        <v>0</v>
      </c>
      <c r="L1385" t="n">
        <v>1</v>
      </c>
      <c r="M1385" t="n">
        <v>0</v>
      </c>
    </row>
    <row r="1386" spans="1:13">
      <c r="A1386" s="1">
        <f>HYPERLINK("http://www.twitter.com/NathanBLawrence/status/987793311510523904", "987793311510523904")</f>
        <v/>
      </c>
      <c r="B1386" s="2" t="n">
        <v>43211.86171296296</v>
      </c>
      <c r="C1386" t="n">
        <v>0</v>
      </c>
      <c r="D1386" t="n">
        <v>0</v>
      </c>
      <c r="E1386" t="s">
        <v>1397</v>
      </c>
      <c r="F1386" t="s"/>
      <c r="G1386" t="s"/>
      <c r="H1386" t="s"/>
      <c r="I1386" t="s"/>
      <c r="J1386" t="n">
        <v>0.6548</v>
      </c>
      <c r="K1386" t="n">
        <v>0.191</v>
      </c>
      <c r="L1386" t="n">
        <v>0.492</v>
      </c>
      <c r="M1386" t="n">
        <v>0.318</v>
      </c>
    </row>
    <row r="1387" spans="1:13">
      <c r="A1387" s="1">
        <f>HYPERLINK("http://www.twitter.com/NathanBLawrence/status/987781499469656064", "987781499469656064")</f>
        <v/>
      </c>
      <c r="B1387" s="2" t="n">
        <v>43211.82912037037</v>
      </c>
      <c r="C1387" t="n">
        <v>1</v>
      </c>
      <c r="D1387" t="n">
        <v>0</v>
      </c>
      <c r="E1387" t="s">
        <v>1398</v>
      </c>
      <c r="F1387" t="s"/>
      <c r="G1387" t="s"/>
      <c r="H1387" t="s"/>
      <c r="I1387" t="s"/>
      <c r="J1387" t="n">
        <v>0</v>
      </c>
      <c r="K1387" t="n">
        <v>0</v>
      </c>
      <c r="L1387" t="n">
        <v>1</v>
      </c>
      <c r="M1387" t="n">
        <v>0</v>
      </c>
    </row>
    <row r="1388" spans="1:13">
      <c r="A1388" s="1">
        <f>HYPERLINK("http://www.twitter.com/NathanBLawrence/status/987778525489967104", "987778525489967104")</f>
        <v/>
      </c>
      <c r="B1388" s="2" t="n">
        <v>43211.82091435185</v>
      </c>
      <c r="C1388" t="n">
        <v>0</v>
      </c>
      <c r="D1388" t="n">
        <v>0</v>
      </c>
      <c r="E1388" t="s">
        <v>1399</v>
      </c>
      <c r="F1388" t="s"/>
      <c r="G1388" t="s"/>
      <c r="H1388" t="s"/>
      <c r="I1388" t="s"/>
      <c r="J1388" t="n">
        <v>0</v>
      </c>
      <c r="K1388" t="n">
        <v>0</v>
      </c>
      <c r="L1388" t="n">
        <v>1</v>
      </c>
      <c r="M1388" t="n">
        <v>0</v>
      </c>
    </row>
    <row r="1389" spans="1:13">
      <c r="A1389" s="1">
        <f>HYPERLINK("http://www.twitter.com/NathanBLawrence/status/987765553711517696", "987765553711517696")</f>
        <v/>
      </c>
      <c r="B1389" s="2" t="n">
        <v>43211.78511574074</v>
      </c>
      <c r="C1389" t="n">
        <v>3</v>
      </c>
      <c r="D1389" t="n">
        <v>0</v>
      </c>
      <c r="E1389" t="s">
        <v>1400</v>
      </c>
      <c r="F1389">
        <f>HYPERLINK("http://pbs.twimg.com/media/DbU_ff3VwAAgtrB.jpg", "http://pbs.twimg.com/media/DbU_ff3VwAAgtrB.jpg")</f>
        <v/>
      </c>
      <c r="G1389" t="s"/>
      <c r="H1389" t="s"/>
      <c r="I1389" t="s"/>
      <c r="J1389" t="n">
        <v>0</v>
      </c>
      <c r="K1389" t="n">
        <v>0</v>
      </c>
      <c r="L1389" t="n">
        <v>1</v>
      </c>
      <c r="M1389" t="n">
        <v>0</v>
      </c>
    </row>
    <row r="1390" spans="1:13">
      <c r="A1390" s="1">
        <f>HYPERLINK("http://www.twitter.com/NathanBLawrence/status/987765207446548482", "987765207446548482")</f>
        <v/>
      </c>
      <c r="B1390" s="2" t="n">
        <v>43211.7841550926</v>
      </c>
      <c r="C1390" t="n">
        <v>4</v>
      </c>
      <c r="D1390" t="n">
        <v>2</v>
      </c>
      <c r="E1390" t="s">
        <v>1401</v>
      </c>
      <c r="F1390" t="s"/>
      <c r="G1390" t="s"/>
      <c r="H1390" t="s"/>
      <c r="I1390" t="s"/>
      <c r="J1390" t="n">
        <v>-0.4404</v>
      </c>
      <c r="K1390" t="n">
        <v>0.139</v>
      </c>
      <c r="L1390" t="n">
        <v>0.861</v>
      </c>
      <c r="M1390" t="n">
        <v>0</v>
      </c>
    </row>
    <row r="1391" spans="1:13">
      <c r="A1391" s="1">
        <f>HYPERLINK("http://www.twitter.com/NathanBLawrence/status/987762771831017474", "987762771831017474")</f>
        <v/>
      </c>
      <c r="B1391" s="2" t="n">
        <v>43211.77744212963</v>
      </c>
      <c r="C1391" t="n">
        <v>1</v>
      </c>
      <c r="D1391" t="n">
        <v>0</v>
      </c>
      <c r="E1391" t="s">
        <v>1402</v>
      </c>
      <c r="F1391" t="s"/>
      <c r="G1391" t="s"/>
      <c r="H1391" t="s"/>
      <c r="I1391" t="s"/>
      <c r="J1391" t="n">
        <v>0</v>
      </c>
      <c r="K1391" t="n">
        <v>0</v>
      </c>
      <c r="L1391" t="n">
        <v>1</v>
      </c>
      <c r="M1391" t="n">
        <v>0</v>
      </c>
    </row>
    <row r="1392" spans="1:13">
      <c r="A1392" s="1">
        <f>HYPERLINK("http://www.twitter.com/NathanBLawrence/status/987762538694807553", "987762538694807553")</f>
        <v/>
      </c>
      <c r="B1392" s="2" t="n">
        <v>43211.77679398148</v>
      </c>
      <c r="C1392" t="n">
        <v>1</v>
      </c>
      <c r="D1392" t="n">
        <v>0</v>
      </c>
      <c r="E1392" t="s">
        <v>1403</v>
      </c>
      <c r="F1392">
        <f>HYPERLINK("http://pbs.twimg.com/media/DbU8yH4U0AAI_WZ.jpg", "http://pbs.twimg.com/media/DbU8yH4U0AAI_WZ.jpg")</f>
        <v/>
      </c>
      <c r="G1392" t="s"/>
      <c r="H1392" t="s"/>
      <c r="I1392" t="s"/>
      <c r="J1392" t="n">
        <v>0</v>
      </c>
      <c r="K1392" t="n">
        <v>0</v>
      </c>
      <c r="L1392" t="n">
        <v>1</v>
      </c>
      <c r="M1392" t="n">
        <v>0</v>
      </c>
    </row>
    <row r="1393" spans="1:13">
      <c r="A1393" s="1">
        <f>HYPERLINK("http://www.twitter.com/NathanBLawrence/status/987734451634491394", "987734451634491394")</f>
        <v/>
      </c>
      <c r="B1393" s="2" t="n">
        <v>43211.69929398148</v>
      </c>
      <c r="C1393" t="n">
        <v>0</v>
      </c>
      <c r="D1393" t="n">
        <v>0</v>
      </c>
      <c r="E1393" t="s">
        <v>1404</v>
      </c>
      <c r="F1393" t="s"/>
      <c r="G1393" t="s"/>
      <c r="H1393" t="s"/>
      <c r="I1393" t="s"/>
      <c r="J1393" t="n">
        <v>0.4939</v>
      </c>
      <c r="K1393" t="n">
        <v>0</v>
      </c>
      <c r="L1393" t="n">
        <v>0.61</v>
      </c>
      <c r="M1393" t="n">
        <v>0.39</v>
      </c>
    </row>
    <row r="1394" spans="1:13">
      <c r="A1394" s="1">
        <f>HYPERLINK("http://www.twitter.com/NathanBLawrence/status/987694977873477632", "987694977873477632")</f>
        <v/>
      </c>
      <c r="B1394" s="2" t="n">
        <v>43211.5903587963</v>
      </c>
      <c r="C1394" t="n">
        <v>2</v>
      </c>
      <c r="D1394" t="n">
        <v>0</v>
      </c>
      <c r="E1394" t="s">
        <v>1405</v>
      </c>
      <c r="F1394" t="s"/>
      <c r="G1394" t="s"/>
      <c r="H1394" t="s"/>
      <c r="I1394" t="s"/>
      <c r="J1394" t="n">
        <v>0</v>
      </c>
      <c r="K1394" t="n">
        <v>0</v>
      </c>
      <c r="L1394" t="n">
        <v>1</v>
      </c>
      <c r="M1394" t="n">
        <v>0</v>
      </c>
    </row>
    <row r="1395" spans="1:13">
      <c r="A1395" s="1">
        <f>HYPERLINK("http://www.twitter.com/NathanBLawrence/status/987694275952566272", "987694275952566272")</f>
        <v/>
      </c>
      <c r="B1395" s="2" t="n">
        <v>43211.58842592593</v>
      </c>
      <c r="C1395" t="n">
        <v>1</v>
      </c>
      <c r="D1395" t="n">
        <v>0</v>
      </c>
      <c r="E1395" t="s">
        <v>1406</v>
      </c>
      <c r="F1395" t="s"/>
      <c r="G1395" t="s"/>
      <c r="H1395" t="s"/>
      <c r="I1395" t="s"/>
      <c r="J1395" t="n">
        <v>0.7417</v>
      </c>
      <c r="K1395" t="n">
        <v>0</v>
      </c>
      <c r="L1395" t="n">
        <v>0.741</v>
      </c>
      <c r="M1395" t="n">
        <v>0.259</v>
      </c>
    </row>
    <row r="1396" spans="1:13">
      <c r="A1396" s="1">
        <f>HYPERLINK("http://www.twitter.com/NathanBLawrence/status/987693340304003072", "987693340304003072")</f>
        <v/>
      </c>
      <c r="B1396" s="2" t="n">
        <v>43211.58584490741</v>
      </c>
      <c r="C1396" t="n">
        <v>0</v>
      </c>
      <c r="D1396" t="n">
        <v>0</v>
      </c>
      <c r="E1396" t="s">
        <v>1407</v>
      </c>
      <c r="F1396" t="s"/>
      <c r="G1396" t="s"/>
      <c r="H1396" t="s"/>
      <c r="I1396" t="s"/>
      <c r="J1396" t="n">
        <v>0</v>
      </c>
      <c r="K1396" t="n">
        <v>0</v>
      </c>
      <c r="L1396" t="n">
        <v>1</v>
      </c>
      <c r="M1396" t="n">
        <v>0</v>
      </c>
    </row>
    <row r="1397" spans="1:13">
      <c r="A1397" s="1">
        <f>HYPERLINK("http://www.twitter.com/NathanBLawrence/status/987692410556899328", "987692410556899328")</f>
        <v/>
      </c>
      <c r="B1397" s="2" t="n">
        <v>43211.58327546297</v>
      </c>
      <c r="C1397" t="n">
        <v>0</v>
      </c>
      <c r="D1397" t="n">
        <v>0</v>
      </c>
      <c r="E1397" t="s">
        <v>1408</v>
      </c>
      <c r="F1397" t="s"/>
      <c r="G1397" t="s"/>
      <c r="H1397" t="s"/>
      <c r="I1397" t="s"/>
      <c r="J1397" t="n">
        <v>-0.5574</v>
      </c>
      <c r="K1397" t="n">
        <v>0.31</v>
      </c>
      <c r="L1397" t="n">
        <v>0.6899999999999999</v>
      </c>
      <c r="M1397" t="n">
        <v>0</v>
      </c>
    </row>
    <row r="1398" spans="1:13">
      <c r="A1398" s="1">
        <f>HYPERLINK("http://www.twitter.com/NathanBLawrence/status/987691368872071170", "987691368872071170")</f>
        <v/>
      </c>
      <c r="B1398" s="2" t="n">
        <v>43211.58040509259</v>
      </c>
      <c r="C1398" t="n">
        <v>0</v>
      </c>
      <c r="D1398" t="n">
        <v>0</v>
      </c>
      <c r="E1398" t="s">
        <v>1409</v>
      </c>
      <c r="F1398" t="s"/>
      <c r="G1398" t="s"/>
      <c r="H1398" t="s"/>
      <c r="I1398" t="s"/>
      <c r="J1398" t="n">
        <v>0.73</v>
      </c>
      <c r="K1398" t="n">
        <v>0</v>
      </c>
      <c r="L1398" t="n">
        <v>0.595</v>
      </c>
      <c r="M1398" t="n">
        <v>0.405</v>
      </c>
    </row>
    <row r="1399" spans="1:13">
      <c r="A1399" s="1">
        <f>HYPERLINK("http://www.twitter.com/NathanBLawrence/status/987689138467024897", "987689138467024897")</f>
        <v/>
      </c>
      <c r="B1399" s="2" t="n">
        <v>43211.57424768519</v>
      </c>
      <c r="C1399" t="n">
        <v>0</v>
      </c>
      <c r="D1399" t="n">
        <v>1</v>
      </c>
      <c r="E1399" t="s">
        <v>1410</v>
      </c>
      <c r="F1399" t="s"/>
      <c r="G1399" t="s"/>
      <c r="H1399" t="s"/>
      <c r="I1399" t="s"/>
      <c r="J1399" t="n">
        <v>0</v>
      </c>
      <c r="K1399" t="n">
        <v>0</v>
      </c>
      <c r="L1399" t="n">
        <v>1</v>
      </c>
      <c r="M1399" t="n">
        <v>0</v>
      </c>
    </row>
    <row r="1400" spans="1:13">
      <c r="A1400" s="1">
        <f>HYPERLINK("http://www.twitter.com/NathanBLawrence/status/987686058417586177", "987686058417586177")</f>
        <v/>
      </c>
      <c r="B1400" s="2" t="n">
        <v>43211.56575231482</v>
      </c>
      <c r="C1400" t="n">
        <v>1</v>
      </c>
      <c r="D1400" t="n">
        <v>0</v>
      </c>
      <c r="E1400" t="s">
        <v>1411</v>
      </c>
      <c r="F1400" t="s"/>
      <c r="G1400" t="s"/>
      <c r="H1400" t="s"/>
      <c r="I1400" t="s"/>
      <c r="J1400" t="n">
        <v>0.3164</v>
      </c>
      <c r="K1400" t="n">
        <v>0</v>
      </c>
      <c r="L1400" t="n">
        <v>0.84</v>
      </c>
      <c r="M1400" t="n">
        <v>0.16</v>
      </c>
    </row>
    <row r="1401" spans="1:13">
      <c r="A1401" s="1">
        <f>HYPERLINK("http://www.twitter.com/NathanBLawrence/status/987676380098908160", "987676380098908160")</f>
        <v/>
      </c>
      <c r="B1401" s="2" t="n">
        <v>43211.53903935185</v>
      </c>
      <c r="C1401" t="n">
        <v>4</v>
      </c>
      <c r="D1401" t="n">
        <v>1</v>
      </c>
      <c r="E1401" t="s">
        <v>1412</v>
      </c>
      <c r="F1401" t="s"/>
      <c r="G1401" t="s"/>
      <c r="H1401" t="s"/>
      <c r="I1401" t="s"/>
      <c r="J1401" t="n">
        <v>0</v>
      </c>
      <c r="K1401" t="n">
        <v>0</v>
      </c>
      <c r="L1401" t="n">
        <v>1</v>
      </c>
      <c r="M1401" t="n">
        <v>0</v>
      </c>
    </row>
    <row r="1402" spans="1:13">
      <c r="A1402" s="1">
        <f>HYPERLINK("http://www.twitter.com/NathanBLawrence/status/987667364849348609", "987667364849348609")</f>
        <v/>
      </c>
      <c r="B1402" s="2" t="n">
        <v>43211.51416666667</v>
      </c>
      <c r="C1402" t="n">
        <v>2</v>
      </c>
      <c r="D1402" t="n">
        <v>0</v>
      </c>
      <c r="E1402" t="s">
        <v>1413</v>
      </c>
      <c r="F1402" t="s"/>
      <c r="G1402" t="s"/>
      <c r="H1402" t="s"/>
      <c r="I1402" t="s"/>
      <c r="J1402" t="n">
        <v>0.3818</v>
      </c>
      <c r="K1402" t="n">
        <v>0</v>
      </c>
      <c r="L1402" t="n">
        <v>0.8090000000000001</v>
      </c>
      <c r="M1402" t="n">
        <v>0.191</v>
      </c>
    </row>
    <row r="1403" spans="1:13">
      <c r="A1403" s="1">
        <f>HYPERLINK("http://www.twitter.com/NathanBLawrence/status/987667178446032896", "987667178446032896")</f>
        <v/>
      </c>
      <c r="B1403" s="2" t="n">
        <v>43211.51364583334</v>
      </c>
      <c r="C1403" t="n">
        <v>2</v>
      </c>
      <c r="D1403" t="n">
        <v>0</v>
      </c>
      <c r="E1403" t="s">
        <v>1414</v>
      </c>
      <c r="F1403">
        <f>HYPERLINK("http://pbs.twimg.com/media/DbTmECvUQAEmGVV.jpg", "http://pbs.twimg.com/media/DbTmECvUQAEmGVV.jpg")</f>
        <v/>
      </c>
      <c r="G1403" t="s"/>
      <c r="H1403" t="s"/>
      <c r="I1403" t="s"/>
      <c r="J1403" t="n">
        <v>0.5399</v>
      </c>
      <c r="K1403" t="n">
        <v>0</v>
      </c>
      <c r="L1403" t="n">
        <v>0.889</v>
      </c>
      <c r="M1403" t="n">
        <v>0.111</v>
      </c>
    </row>
    <row r="1404" spans="1:13">
      <c r="A1404" s="1">
        <f>HYPERLINK("http://www.twitter.com/NathanBLawrence/status/987666159439876096", "987666159439876096")</f>
        <v/>
      </c>
      <c r="B1404" s="2" t="n">
        <v>43211.51084490741</v>
      </c>
      <c r="C1404" t="n">
        <v>1</v>
      </c>
      <c r="D1404" t="n">
        <v>0</v>
      </c>
      <c r="E1404" t="s">
        <v>1415</v>
      </c>
      <c r="F1404" t="s"/>
      <c r="G1404" t="s"/>
      <c r="H1404" t="s"/>
      <c r="I1404" t="s"/>
      <c r="J1404" t="n">
        <v>0</v>
      </c>
      <c r="K1404" t="n">
        <v>0</v>
      </c>
      <c r="L1404" t="n">
        <v>1</v>
      </c>
      <c r="M1404" t="n">
        <v>0</v>
      </c>
    </row>
    <row r="1405" spans="1:13">
      <c r="A1405" s="1">
        <f>HYPERLINK("http://www.twitter.com/NathanBLawrence/status/987665954372030464", "987665954372030464")</f>
        <v/>
      </c>
      <c r="B1405" s="2" t="n">
        <v>43211.51027777778</v>
      </c>
      <c r="C1405" t="n">
        <v>3</v>
      </c>
      <c r="D1405" t="n">
        <v>0</v>
      </c>
      <c r="E1405" t="s">
        <v>1416</v>
      </c>
      <c r="F1405" t="s"/>
      <c r="G1405" t="s"/>
      <c r="H1405" t="s"/>
      <c r="I1405" t="s"/>
      <c r="J1405" t="n">
        <v>0</v>
      </c>
      <c r="K1405" t="n">
        <v>0</v>
      </c>
      <c r="L1405" t="n">
        <v>1</v>
      </c>
      <c r="M1405" t="n">
        <v>0</v>
      </c>
    </row>
    <row r="1406" spans="1:13">
      <c r="A1406" s="1">
        <f>HYPERLINK("http://www.twitter.com/NathanBLawrence/status/987665737358692357", "987665737358692357")</f>
        <v/>
      </c>
      <c r="B1406" s="2" t="n">
        <v>43211.50967592592</v>
      </c>
      <c r="C1406" t="n">
        <v>1</v>
      </c>
      <c r="D1406" t="n">
        <v>1</v>
      </c>
      <c r="E1406" t="s">
        <v>1417</v>
      </c>
      <c r="F1406" t="s"/>
      <c r="G1406" t="s"/>
      <c r="H1406" t="s"/>
      <c r="I1406" t="s"/>
      <c r="J1406" t="n">
        <v>0.4404</v>
      </c>
      <c r="K1406" t="n">
        <v>0</v>
      </c>
      <c r="L1406" t="n">
        <v>0.734</v>
      </c>
      <c r="M1406" t="n">
        <v>0.266</v>
      </c>
    </row>
    <row r="1407" spans="1:13">
      <c r="A1407" s="1">
        <f>HYPERLINK("http://www.twitter.com/NathanBLawrence/status/987665423733809152", "987665423733809152")</f>
        <v/>
      </c>
      <c r="B1407" s="2" t="n">
        <v>43211.50880787037</v>
      </c>
      <c r="C1407" t="n">
        <v>0</v>
      </c>
      <c r="D1407" t="n">
        <v>0</v>
      </c>
      <c r="E1407" t="s">
        <v>1418</v>
      </c>
      <c r="F1407" t="s"/>
      <c r="G1407" t="s"/>
      <c r="H1407" t="s"/>
      <c r="I1407" t="s"/>
      <c r="J1407" t="n">
        <v>0.3182</v>
      </c>
      <c r="K1407" t="n">
        <v>0</v>
      </c>
      <c r="L1407" t="n">
        <v>0.8129999999999999</v>
      </c>
      <c r="M1407" t="n">
        <v>0.187</v>
      </c>
    </row>
    <row r="1408" spans="1:13">
      <c r="A1408" s="1">
        <f>HYPERLINK("http://www.twitter.com/NathanBLawrence/status/987664960019943424", "987664960019943424")</f>
        <v/>
      </c>
      <c r="B1408" s="2" t="n">
        <v>43211.50753472222</v>
      </c>
      <c r="C1408" t="n">
        <v>3</v>
      </c>
      <c r="D1408" t="n">
        <v>0</v>
      </c>
      <c r="E1408" t="s">
        <v>1419</v>
      </c>
      <c r="F1408" t="s"/>
      <c r="G1408" t="s"/>
      <c r="H1408" t="s"/>
      <c r="I1408" t="s"/>
      <c r="J1408" t="n">
        <v>0</v>
      </c>
      <c r="K1408" t="n">
        <v>0</v>
      </c>
      <c r="L1408" t="n">
        <v>1</v>
      </c>
      <c r="M1408" t="n">
        <v>0</v>
      </c>
    </row>
    <row r="1409" spans="1:13">
      <c r="A1409" s="1">
        <f>HYPERLINK("http://www.twitter.com/NathanBLawrence/status/987539898440847360", "987539898440847360")</f>
        <v/>
      </c>
      <c r="B1409" s="2" t="n">
        <v>43211.16243055555</v>
      </c>
      <c r="C1409" t="n">
        <v>0</v>
      </c>
      <c r="D1409" t="n">
        <v>301</v>
      </c>
      <c r="E1409" t="s">
        <v>1420</v>
      </c>
      <c r="F1409" t="s"/>
      <c r="G1409" t="s"/>
      <c r="H1409" t="s"/>
      <c r="I1409" t="s"/>
      <c r="J1409" t="n">
        <v>0</v>
      </c>
      <c r="K1409" t="n">
        <v>0</v>
      </c>
      <c r="L1409" t="n">
        <v>1</v>
      </c>
      <c r="M1409" t="n">
        <v>0</v>
      </c>
    </row>
    <row r="1410" spans="1:13">
      <c r="A1410" s="1">
        <f>HYPERLINK("http://www.twitter.com/NathanBLawrence/status/987539603174363141", "987539603174363141")</f>
        <v/>
      </c>
      <c r="B1410" s="2" t="n">
        <v>43211.1616087963</v>
      </c>
      <c r="C1410" t="n">
        <v>0</v>
      </c>
      <c r="D1410" t="n">
        <v>5922</v>
      </c>
      <c r="E1410" t="s">
        <v>1421</v>
      </c>
      <c r="F1410" t="s"/>
      <c r="G1410" t="s"/>
      <c r="H1410" t="s"/>
      <c r="I1410" t="s"/>
      <c r="J1410" t="n">
        <v>-0.4391</v>
      </c>
      <c r="K1410" t="n">
        <v>0.153</v>
      </c>
      <c r="L1410" t="n">
        <v>0.847</v>
      </c>
      <c r="M1410" t="n">
        <v>0</v>
      </c>
    </row>
    <row r="1411" spans="1:13">
      <c r="A1411" s="1">
        <f>HYPERLINK("http://www.twitter.com/NathanBLawrence/status/987539326069297152", "987539326069297152")</f>
        <v/>
      </c>
      <c r="B1411" s="2" t="n">
        <v>43211.1608449074</v>
      </c>
      <c r="C1411" t="n">
        <v>9</v>
      </c>
      <c r="D1411" t="n">
        <v>4</v>
      </c>
      <c r="E1411" t="s">
        <v>1422</v>
      </c>
      <c r="F1411" t="s"/>
      <c r="G1411" t="s"/>
      <c r="H1411" t="s"/>
      <c r="I1411" t="s"/>
      <c r="J1411" t="n">
        <v>0.4939</v>
      </c>
      <c r="K1411" t="n">
        <v>0</v>
      </c>
      <c r="L1411" t="n">
        <v>0.8139999999999999</v>
      </c>
      <c r="M1411" t="n">
        <v>0.186</v>
      </c>
    </row>
    <row r="1412" spans="1:13">
      <c r="A1412" s="1">
        <f>HYPERLINK("http://www.twitter.com/NathanBLawrence/status/987537266489942018", "987537266489942018")</f>
        <v/>
      </c>
      <c r="B1412" s="2" t="n">
        <v>43211.15516203704</v>
      </c>
      <c r="C1412" t="n">
        <v>0</v>
      </c>
      <c r="D1412" t="n">
        <v>0</v>
      </c>
      <c r="E1412" t="s">
        <v>1423</v>
      </c>
      <c r="F1412" t="s"/>
      <c r="G1412" t="s"/>
      <c r="H1412" t="s"/>
      <c r="I1412" t="s"/>
      <c r="J1412" t="n">
        <v>0</v>
      </c>
      <c r="K1412" t="n">
        <v>0</v>
      </c>
      <c r="L1412" t="n">
        <v>1</v>
      </c>
      <c r="M1412" t="n">
        <v>0</v>
      </c>
    </row>
    <row r="1413" spans="1:13">
      <c r="A1413" s="1">
        <f>HYPERLINK("http://www.twitter.com/NathanBLawrence/status/987536253905141760", "987536253905141760")</f>
        <v/>
      </c>
      <c r="B1413" s="2" t="n">
        <v>43211.15237268519</v>
      </c>
      <c r="C1413" t="n">
        <v>0</v>
      </c>
      <c r="D1413" t="n">
        <v>0</v>
      </c>
      <c r="E1413" t="s">
        <v>1424</v>
      </c>
      <c r="F1413" t="s"/>
      <c r="G1413" t="s"/>
      <c r="H1413" t="s"/>
      <c r="I1413" t="s"/>
      <c r="J1413" t="n">
        <v>0</v>
      </c>
      <c r="K1413" t="n">
        <v>0</v>
      </c>
      <c r="L1413" t="n">
        <v>1</v>
      </c>
      <c r="M1413" t="n">
        <v>0</v>
      </c>
    </row>
    <row r="1414" spans="1:13">
      <c r="A1414" s="1">
        <f>HYPERLINK("http://www.twitter.com/NathanBLawrence/status/987536085050945536", "987536085050945536")</f>
        <v/>
      </c>
      <c r="B1414" s="2" t="n">
        <v>43211.15189814815</v>
      </c>
      <c r="C1414" t="n">
        <v>0</v>
      </c>
      <c r="D1414" t="n">
        <v>13</v>
      </c>
      <c r="E1414" t="s">
        <v>1425</v>
      </c>
      <c r="F1414">
        <f>HYPERLINK("http://pbs.twimg.com/media/DbRSTc8V0AEjfSM.jpg", "http://pbs.twimg.com/media/DbRSTc8V0AEjfSM.jpg")</f>
        <v/>
      </c>
      <c r="G1414" t="s"/>
      <c r="H1414" t="s"/>
      <c r="I1414" t="s"/>
      <c r="J1414" t="n">
        <v>0</v>
      </c>
      <c r="K1414" t="n">
        <v>0</v>
      </c>
      <c r="L1414" t="n">
        <v>1</v>
      </c>
      <c r="M1414" t="n">
        <v>0</v>
      </c>
    </row>
    <row r="1415" spans="1:13">
      <c r="A1415" s="1">
        <f>HYPERLINK("http://www.twitter.com/NathanBLawrence/status/987535926963392514", "987535926963392514")</f>
        <v/>
      </c>
      <c r="B1415" s="2" t="n">
        <v>43211.15146990741</v>
      </c>
      <c r="C1415" t="n">
        <v>1</v>
      </c>
      <c r="D1415" t="n">
        <v>0</v>
      </c>
      <c r="E1415" t="s">
        <v>1426</v>
      </c>
      <c r="F1415" t="s"/>
      <c r="G1415" t="s"/>
      <c r="H1415" t="s"/>
      <c r="I1415" t="s"/>
      <c r="J1415" t="n">
        <v>-0.4572</v>
      </c>
      <c r="K1415" t="n">
        <v>0.499</v>
      </c>
      <c r="L1415" t="n">
        <v>0.501</v>
      </c>
      <c r="M1415" t="n">
        <v>0</v>
      </c>
    </row>
    <row r="1416" spans="1:13">
      <c r="A1416" s="1">
        <f>HYPERLINK("http://www.twitter.com/NathanBLawrence/status/987535451610370048", "987535451610370048")</f>
        <v/>
      </c>
      <c r="B1416" s="2" t="n">
        <v>43211.15015046296</v>
      </c>
      <c r="C1416" t="n">
        <v>0</v>
      </c>
      <c r="D1416" t="n">
        <v>28630</v>
      </c>
      <c r="E1416" t="s">
        <v>1427</v>
      </c>
      <c r="F1416" t="s"/>
      <c r="G1416" t="s"/>
      <c r="H1416" t="s"/>
      <c r="I1416" t="s"/>
      <c r="J1416" t="n">
        <v>0.1027</v>
      </c>
      <c r="K1416" t="n">
        <v>0.105</v>
      </c>
      <c r="L1416" t="n">
        <v>0.773</v>
      </c>
      <c r="M1416" t="n">
        <v>0.123</v>
      </c>
    </row>
    <row r="1417" spans="1:13">
      <c r="A1417" s="1">
        <f>HYPERLINK("http://www.twitter.com/NathanBLawrence/status/987535372090560512", "987535372090560512")</f>
        <v/>
      </c>
      <c r="B1417" s="2" t="n">
        <v>43211.14993055556</v>
      </c>
      <c r="C1417" t="n">
        <v>0</v>
      </c>
      <c r="D1417" t="n">
        <v>0</v>
      </c>
      <c r="E1417" t="s">
        <v>1428</v>
      </c>
      <c r="F1417" t="s"/>
      <c r="G1417" t="s"/>
      <c r="H1417" t="s"/>
      <c r="I1417" t="s"/>
      <c r="J1417" t="n">
        <v>0.5502</v>
      </c>
      <c r="K1417" t="n">
        <v>0</v>
      </c>
      <c r="L1417" t="n">
        <v>0.897</v>
      </c>
      <c r="M1417" t="n">
        <v>0.103</v>
      </c>
    </row>
    <row r="1418" spans="1:13">
      <c r="A1418" s="1">
        <f>HYPERLINK("http://www.twitter.com/NathanBLawrence/status/987534190848741377", "987534190848741377")</f>
        <v/>
      </c>
      <c r="B1418" s="2" t="n">
        <v>43211.14667824074</v>
      </c>
      <c r="C1418" t="n">
        <v>0</v>
      </c>
      <c r="D1418" t="n">
        <v>73</v>
      </c>
      <c r="E1418" t="s">
        <v>1429</v>
      </c>
      <c r="F1418" t="s"/>
      <c r="G1418" t="s"/>
      <c r="H1418" t="s"/>
      <c r="I1418" t="s"/>
      <c r="J1418" t="n">
        <v>0.6523</v>
      </c>
      <c r="K1418" t="n">
        <v>0</v>
      </c>
      <c r="L1418" t="n">
        <v>0.764</v>
      </c>
      <c r="M1418" t="n">
        <v>0.236</v>
      </c>
    </row>
    <row r="1419" spans="1:13">
      <c r="A1419" s="1">
        <f>HYPERLINK("http://www.twitter.com/NathanBLawrence/status/987526621455372288", "987526621455372288")</f>
        <v/>
      </c>
      <c r="B1419" s="2" t="n">
        <v>43211.12578703704</v>
      </c>
      <c r="C1419" t="n">
        <v>0</v>
      </c>
      <c r="D1419" t="n">
        <v>2</v>
      </c>
      <c r="E1419" t="s">
        <v>1430</v>
      </c>
      <c r="F1419" t="s"/>
      <c r="G1419" t="s"/>
      <c r="H1419" t="s"/>
      <c r="I1419" t="s"/>
      <c r="J1419" t="n">
        <v>-0.4767</v>
      </c>
      <c r="K1419" t="n">
        <v>0.119</v>
      </c>
      <c r="L1419" t="n">
        <v>0.881</v>
      </c>
      <c r="M1419" t="n">
        <v>0</v>
      </c>
    </row>
    <row r="1420" spans="1:13">
      <c r="A1420" s="1">
        <f>HYPERLINK("http://www.twitter.com/NathanBLawrence/status/987525531624202245", "987525531624202245")</f>
        <v/>
      </c>
      <c r="B1420" s="2" t="n">
        <v>43211.12277777777</v>
      </c>
      <c r="C1420" t="n">
        <v>0</v>
      </c>
      <c r="D1420" t="n">
        <v>0</v>
      </c>
      <c r="E1420" t="s">
        <v>1431</v>
      </c>
      <c r="F1420" t="s"/>
      <c r="G1420" t="s"/>
      <c r="H1420" t="s"/>
      <c r="I1420" t="s"/>
      <c r="J1420" t="n">
        <v>-0.6486</v>
      </c>
      <c r="K1420" t="n">
        <v>0.264</v>
      </c>
      <c r="L1420" t="n">
        <v>0.736</v>
      </c>
      <c r="M1420" t="n">
        <v>0</v>
      </c>
    </row>
    <row r="1421" spans="1:13">
      <c r="A1421" s="1">
        <f>HYPERLINK("http://www.twitter.com/NathanBLawrence/status/987510642843246592", "987510642843246592")</f>
        <v/>
      </c>
      <c r="B1421" s="2" t="n">
        <v>43211.08168981481</v>
      </c>
      <c r="C1421" t="n">
        <v>3</v>
      </c>
      <c r="D1421" t="n">
        <v>0</v>
      </c>
      <c r="E1421" t="s">
        <v>1432</v>
      </c>
      <c r="F1421" t="s"/>
      <c r="G1421" t="s"/>
      <c r="H1421" t="s"/>
      <c r="I1421" t="s"/>
      <c r="J1421" t="n">
        <v>-0.8431999999999999</v>
      </c>
      <c r="K1421" t="n">
        <v>0.335</v>
      </c>
      <c r="L1421" t="n">
        <v>0.665</v>
      </c>
      <c r="M1421" t="n">
        <v>0</v>
      </c>
    </row>
    <row r="1422" spans="1:13">
      <c r="A1422" s="1">
        <f>HYPERLINK("http://www.twitter.com/NathanBLawrence/status/987510347929137152", "987510347929137152")</f>
        <v/>
      </c>
      <c r="B1422" s="2" t="n">
        <v>43211.08087962963</v>
      </c>
      <c r="C1422" t="n">
        <v>2</v>
      </c>
      <c r="D1422" t="n">
        <v>0</v>
      </c>
      <c r="E1422" t="s">
        <v>1433</v>
      </c>
      <c r="F1422" t="s"/>
      <c r="G1422" t="s"/>
      <c r="H1422" t="s"/>
      <c r="I1422" t="s"/>
      <c r="J1422" t="n">
        <v>0</v>
      </c>
      <c r="K1422" t="n">
        <v>0</v>
      </c>
      <c r="L1422" t="n">
        <v>1</v>
      </c>
      <c r="M1422" t="n">
        <v>0</v>
      </c>
    </row>
    <row r="1423" spans="1:13">
      <c r="A1423" s="1">
        <f>HYPERLINK("http://www.twitter.com/NathanBLawrence/status/987509802430550016", "987509802430550016")</f>
        <v/>
      </c>
      <c r="B1423" s="2" t="n">
        <v>43211.079375</v>
      </c>
      <c r="C1423" t="n">
        <v>3</v>
      </c>
      <c r="D1423" t="n">
        <v>3</v>
      </c>
      <c r="E1423" t="s">
        <v>1434</v>
      </c>
      <c r="F1423" t="s"/>
      <c r="G1423" t="s"/>
      <c r="H1423" t="s"/>
      <c r="I1423" t="s"/>
      <c r="J1423" t="n">
        <v>-0.6458</v>
      </c>
      <c r="K1423" t="n">
        <v>0.201</v>
      </c>
      <c r="L1423" t="n">
        <v>0.799</v>
      </c>
      <c r="M1423" t="n">
        <v>0</v>
      </c>
    </row>
    <row r="1424" spans="1:13">
      <c r="A1424" s="1">
        <f>HYPERLINK("http://www.twitter.com/NathanBLawrence/status/987506985120731136", "987506985120731136")</f>
        <v/>
      </c>
      <c r="B1424" s="2" t="n">
        <v>43211.07159722222</v>
      </c>
      <c r="C1424" t="n">
        <v>0</v>
      </c>
      <c r="D1424" t="n">
        <v>0</v>
      </c>
      <c r="E1424" t="s">
        <v>1435</v>
      </c>
      <c r="F1424" t="s"/>
      <c r="G1424" t="s"/>
      <c r="H1424" t="s"/>
      <c r="I1424" t="s"/>
      <c r="J1424" t="n">
        <v>-0.6159</v>
      </c>
      <c r="K1424" t="n">
        <v>0.192</v>
      </c>
      <c r="L1424" t="n">
        <v>0.756</v>
      </c>
      <c r="M1424" t="n">
        <v>0.052</v>
      </c>
    </row>
    <row r="1425" spans="1:13">
      <c r="A1425" s="1">
        <f>HYPERLINK("http://www.twitter.com/NathanBLawrence/status/987503479462744064", "987503479462744064")</f>
        <v/>
      </c>
      <c r="B1425" s="2" t="n">
        <v>43211.06193287037</v>
      </c>
      <c r="C1425" t="n">
        <v>0</v>
      </c>
      <c r="D1425" t="n">
        <v>0</v>
      </c>
      <c r="E1425" t="s">
        <v>1436</v>
      </c>
      <c r="F1425" t="s"/>
      <c r="G1425" t="s"/>
      <c r="H1425" t="s"/>
      <c r="I1425" t="s"/>
      <c r="J1425" t="n">
        <v>0</v>
      </c>
      <c r="K1425" t="n">
        <v>0</v>
      </c>
      <c r="L1425" t="n">
        <v>1</v>
      </c>
      <c r="M1425" t="n">
        <v>0</v>
      </c>
    </row>
    <row r="1426" spans="1:13">
      <c r="A1426" s="1">
        <f>HYPERLINK("http://www.twitter.com/NathanBLawrence/status/987495449727815680", "987495449727815680")</f>
        <v/>
      </c>
      <c r="B1426" s="2" t="n">
        <v>43211.03976851852</v>
      </c>
      <c r="C1426" t="n">
        <v>3</v>
      </c>
      <c r="D1426" t="n">
        <v>1</v>
      </c>
      <c r="E1426" t="s">
        <v>1437</v>
      </c>
      <c r="F1426" t="s"/>
      <c r="G1426" t="s"/>
      <c r="H1426" t="s"/>
      <c r="I1426" t="s"/>
      <c r="J1426" t="n">
        <v>0</v>
      </c>
      <c r="K1426" t="n">
        <v>0</v>
      </c>
      <c r="L1426" t="n">
        <v>1</v>
      </c>
      <c r="M1426" t="n">
        <v>0</v>
      </c>
    </row>
    <row r="1427" spans="1:13">
      <c r="A1427" s="1">
        <f>HYPERLINK("http://www.twitter.com/NathanBLawrence/status/987483844281499648", "987483844281499648")</f>
        <v/>
      </c>
      <c r="B1427" s="2" t="n">
        <v>43211.00774305555</v>
      </c>
      <c r="C1427" t="n">
        <v>2</v>
      </c>
      <c r="D1427" t="n">
        <v>1</v>
      </c>
      <c r="E1427" t="s">
        <v>1438</v>
      </c>
      <c r="F1427" t="s"/>
      <c r="G1427" t="s"/>
      <c r="H1427" t="s"/>
      <c r="I1427" t="s"/>
      <c r="J1427" t="n">
        <v>-0.7104</v>
      </c>
      <c r="K1427" t="n">
        <v>0.224</v>
      </c>
      <c r="L1427" t="n">
        <v>0.776</v>
      </c>
      <c r="M1427" t="n">
        <v>0</v>
      </c>
    </row>
    <row r="1428" spans="1:13">
      <c r="A1428" s="1">
        <f>HYPERLINK("http://www.twitter.com/NathanBLawrence/status/987481989803663360", "987481989803663360")</f>
        <v/>
      </c>
      <c r="B1428" s="2" t="n">
        <v>43211.00262731482</v>
      </c>
      <c r="C1428" t="n">
        <v>0</v>
      </c>
      <c r="D1428" t="n">
        <v>0</v>
      </c>
      <c r="E1428" t="s">
        <v>1439</v>
      </c>
      <c r="F1428" t="s"/>
      <c r="G1428" t="s"/>
      <c r="H1428" t="s"/>
      <c r="I1428" t="s"/>
      <c r="J1428" t="n">
        <v>0</v>
      </c>
      <c r="K1428" t="n">
        <v>0</v>
      </c>
      <c r="L1428" t="n">
        <v>1</v>
      </c>
      <c r="M1428" t="n">
        <v>0</v>
      </c>
    </row>
    <row r="1429" spans="1:13">
      <c r="A1429" s="1">
        <f>HYPERLINK("http://www.twitter.com/NathanBLawrence/status/987477739681861634", "987477739681861634")</f>
        <v/>
      </c>
      <c r="B1429" s="2" t="n">
        <v>43210.99090277778</v>
      </c>
      <c r="C1429" t="n">
        <v>1</v>
      </c>
      <c r="D1429" t="n">
        <v>0</v>
      </c>
      <c r="E1429" t="s">
        <v>1440</v>
      </c>
      <c r="F1429" t="s"/>
      <c r="G1429" t="s"/>
      <c r="H1429" t="s"/>
      <c r="I1429" t="s"/>
      <c r="J1429" t="n">
        <v>0</v>
      </c>
      <c r="K1429" t="n">
        <v>0</v>
      </c>
      <c r="L1429" t="n">
        <v>1</v>
      </c>
      <c r="M1429" t="n">
        <v>0</v>
      </c>
    </row>
    <row r="1430" spans="1:13">
      <c r="A1430" s="1">
        <f>HYPERLINK("http://www.twitter.com/NathanBLawrence/status/987475677690712064", "987475677690712064")</f>
        <v/>
      </c>
      <c r="B1430" s="2" t="n">
        <v>43210.98520833333</v>
      </c>
      <c r="C1430" t="n">
        <v>2</v>
      </c>
      <c r="D1430" t="n">
        <v>1</v>
      </c>
      <c r="E1430" t="s">
        <v>1441</v>
      </c>
      <c r="F1430" t="s"/>
      <c r="G1430" t="s"/>
      <c r="H1430" t="s"/>
      <c r="I1430" t="s"/>
      <c r="J1430" t="n">
        <v>0</v>
      </c>
      <c r="K1430" t="n">
        <v>0</v>
      </c>
      <c r="L1430" t="n">
        <v>1</v>
      </c>
      <c r="M1430" t="n">
        <v>0</v>
      </c>
    </row>
    <row r="1431" spans="1:13">
      <c r="A1431" s="1">
        <f>HYPERLINK("http://www.twitter.com/NathanBLawrence/status/987475527366823936", "987475527366823936")</f>
        <v/>
      </c>
      <c r="B1431" s="2" t="n">
        <v>43210.98479166667</v>
      </c>
      <c r="C1431" t="n">
        <v>0</v>
      </c>
      <c r="D1431" t="n">
        <v>0</v>
      </c>
      <c r="E1431" t="s">
        <v>1442</v>
      </c>
      <c r="F1431" t="s"/>
      <c r="G1431" t="s"/>
      <c r="H1431" t="s"/>
      <c r="I1431" t="s"/>
      <c r="J1431" t="n">
        <v>-0.4767</v>
      </c>
      <c r="K1431" t="n">
        <v>0.205</v>
      </c>
      <c r="L1431" t="n">
        <v>0.795</v>
      </c>
      <c r="M1431" t="n">
        <v>0</v>
      </c>
    </row>
    <row r="1432" spans="1:13">
      <c r="A1432" s="1">
        <f>HYPERLINK("http://www.twitter.com/NathanBLawrence/status/987474052880232448", "987474052880232448")</f>
        <v/>
      </c>
      <c r="B1432" s="2" t="n">
        <v>43210.98072916667</v>
      </c>
      <c r="C1432" t="n">
        <v>0</v>
      </c>
      <c r="D1432" t="n">
        <v>0</v>
      </c>
      <c r="E1432" t="s">
        <v>1443</v>
      </c>
      <c r="F1432" t="s"/>
      <c r="G1432" t="s"/>
      <c r="H1432" t="s"/>
      <c r="I1432" t="s"/>
      <c r="J1432" t="n">
        <v>0</v>
      </c>
      <c r="K1432" t="n">
        <v>0</v>
      </c>
      <c r="L1432" t="n">
        <v>1</v>
      </c>
      <c r="M1432" t="n">
        <v>0</v>
      </c>
    </row>
    <row r="1433" spans="1:13">
      <c r="A1433" s="1">
        <f>HYPERLINK("http://www.twitter.com/NathanBLawrence/status/987473790673342465", "987473790673342465")</f>
        <v/>
      </c>
      <c r="B1433" s="2" t="n">
        <v>43210.98</v>
      </c>
      <c r="C1433" t="n">
        <v>1</v>
      </c>
      <c r="D1433" t="n">
        <v>0</v>
      </c>
      <c r="E1433" t="s">
        <v>1444</v>
      </c>
      <c r="F1433" t="s"/>
      <c r="G1433" t="s"/>
      <c r="H1433" t="s"/>
      <c r="I1433" t="s"/>
      <c r="J1433" t="n">
        <v>0.4086</v>
      </c>
      <c r="K1433" t="n">
        <v>0.033</v>
      </c>
      <c r="L1433" t="n">
        <v>0.879</v>
      </c>
      <c r="M1433" t="n">
        <v>0.08799999999999999</v>
      </c>
    </row>
    <row r="1434" spans="1:13">
      <c r="A1434" s="1">
        <f>HYPERLINK("http://www.twitter.com/NathanBLawrence/status/987472942698246144", "987472942698246144")</f>
        <v/>
      </c>
      <c r="B1434" s="2" t="n">
        <v>43210.97766203704</v>
      </c>
      <c r="C1434" t="n">
        <v>0</v>
      </c>
      <c r="D1434" t="n">
        <v>557</v>
      </c>
      <c r="E1434" t="s">
        <v>1445</v>
      </c>
      <c r="F1434" t="s"/>
      <c r="G1434" t="s"/>
      <c r="H1434" t="s"/>
      <c r="I1434" t="s"/>
      <c r="J1434" t="n">
        <v>0.0839</v>
      </c>
      <c r="K1434" t="n">
        <v>0.121</v>
      </c>
      <c r="L1434" t="n">
        <v>0.747</v>
      </c>
      <c r="M1434" t="n">
        <v>0.132</v>
      </c>
    </row>
    <row r="1435" spans="1:13">
      <c r="A1435" s="1">
        <f>HYPERLINK("http://www.twitter.com/NathanBLawrence/status/987468320315240449", "987468320315240449")</f>
        <v/>
      </c>
      <c r="B1435" s="2" t="n">
        <v>43210.9649074074</v>
      </c>
      <c r="C1435" t="n">
        <v>0</v>
      </c>
      <c r="D1435" t="n">
        <v>0</v>
      </c>
      <c r="E1435" t="s">
        <v>1446</v>
      </c>
      <c r="F1435">
        <f>HYPERLINK("http://pbs.twimg.com/media/DbQxMqxU0AAlhry.jpg", "http://pbs.twimg.com/media/DbQxMqxU0AAlhry.jpg")</f>
        <v/>
      </c>
      <c r="G1435" t="s"/>
      <c r="H1435" t="s"/>
      <c r="I1435" t="s"/>
      <c r="J1435" t="n">
        <v>0</v>
      </c>
      <c r="K1435" t="n">
        <v>0</v>
      </c>
      <c r="L1435" t="n">
        <v>1</v>
      </c>
      <c r="M1435" t="n">
        <v>0</v>
      </c>
    </row>
    <row r="1436" spans="1:13">
      <c r="A1436" s="1">
        <f>HYPERLINK("http://www.twitter.com/NathanBLawrence/status/987457085423149057", "987457085423149057")</f>
        <v/>
      </c>
      <c r="B1436" s="2" t="n">
        <v>43210.93390046297</v>
      </c>
      <c r="C1436" t="n">
        <v>3</v>
      </c>
      <c r="D1436" t="n">
        <v>2</v>
      </c>
      <c r="E1436" t="s">
        <v>1447</v>
      </c>
      <c r="F1436" t="s"/>
      <c r="G1436" t="s"/>
      <c r="H1436" t="s"/>
      <c r="I1436" t="s"/>
      <c r="J1436" t="n">
        <v>-0.1531</v>
      </c>
      <c r="K1436" t="n">
        <v>0.186</v>
      </c>
      <c r="L1436" t="n">
        <v>0.8139999999999999</v>
      </c>
      <c r="M1436" t="n">
        <v>0</v>
      </c>
    </row>
    <row r="1437" spans="1:13">
      <c r="A1437" s="1">
        <f>HYPERLINK("http://www.twitter.com/NathanBLawrence/status/987455820794421249", "987455820794421249")</f>
        <v/>
      </c>
      <c r="B1437" s="2" t="n">
        <v>43210.93041666667</v>
      </c>
      <c r="C1437" t="n">
        <v>0</v>
      </c>
      <c r="D1437" t="n">
        <v>0</v>
      </c>
      <c r="E1437" t="s">
        <v>1448</v>
      </c>
      <c r="F1437" t="s"/>
      <c r="G1437" t="s"/>
      <c r="H1437" t="s"/>
      <c r="I1437" t="s"/>
      <c r="J1437" t="n">
        <v>-0.25</v>
      </c>
      <c r="K1437" t="n">
        <v>0.118</v>
      </c>
      <c r="L1437" t="n">
        <v>0.882</v>
      </c>
      <c r="M1437" t="n">
        <v>0</v>
      </c>
    </row>
    <row r="1438" spans="1:13">
      <c r="A1438" s="1">
        <f>HYPERLINK("http://www.twitter.com/NathanBLawrence/status/987455012115755008", "987455012115755008")</f>
        <v/>
      </c>
      <c r="B1438" s="2" t="n">
        <v>43210.92818287037</v>
      </c>
      <c r="C1438" t="n">
        <v>5</v>
      </c>
      <c r="D1438" t="n">
        <v>2</v>
      </c>
      <c r="E1438" t="s">
        <v>1449</v>
      </c>
      <c r="F1438" t="s"/>
      <c r="G1438" t="s"/>
      <c r="H1438" t="s"/>
      <c r="I1438" t="s"/>
      <c r="J1438" t="n">
        <v>0</v>
      </c>
      <c r="K1438" t="n">
        <v>0</v>
      </c>
      <c r="L1438" t="n">
        <v>1</v>
      </c>
      <c r="M1438" t="n">
        <v>0</v>
      </c>
    </row>
    <row r="1439" spans="1:13">
      <c r="A1439" s="1">
        <f>HYPERLINK("http://www.twitter.com/NathanBLawrence/status/987453707469185024", "987453707469185024")</f>
        <v/>
      </c>
      <c r="B1439" s="2" t="n">
        <v>43210.92458333333</v>
      </c>
      <c r="C1439" t="n">
        <v>2</v>
      </c>
      <c r="D1439" t="n">
        <v>0</v>
      </c>
      <c r="E1439" t="s">
        <v>1450</v>
      </c>
      <c r="F1439" t="s"/>
      <c r="G1439" t="s"/>
      <c r="H1439" t="s"/>
      <c r="I1439" t="s"/>
      <c r="J1439" t="n">
        <v>0</v>
      </c>
      <c r="K1439" t="n">
        <v>0</v>
      </c>
      <c r="L1439" t="n">
        <v>1</v>
      </c>
      <c r="M1439" t="n">
        <v>0</v>
      </c>
    </row>
    <row r="1440" spans="1:13">
      <c r="A1440" s="1">
        <f>HYPERLINK("http://www.twitter.com/NathanBLawrence/status/987449633130582017", "987449633130582017")</f>
        <v/>
      </c>
      <c r="B1440" s="2" t="n">
        <v>43210.91334490741</v>
      </c>
      <c r="C1440" t="n">
        <v>0</v>
      </c>
      <c r="D1440" t="n">
        <v>0</v>
      </c>
      <c r="E1440" t="s">
        <v>1451</v>
      </c>
      <c r="F1440" t="s"/>
      <c r="G1440" t="s"/>
      <c r="H1440" t="s"/>
      <c r="I1440" t="s"/>
      <c r="J1440" t="n">
        <v>0</v>
      </c>
      <c r="K1440" t="n">
        <v>0</v>
      </c>
      <c r="L1440" t="n">
        <v>1</v>
      </c>
      <c r="M1440" t="n">
        <v>0</v>
      </c>
    </row>
    <row r="1441" spans="1:13">
      <c r="A1441" s="1">
        <f>HYPERLINK("http://www.twitter.com/NathanBLawrence/status/987448524139835393", "987448524139835393")</f>
        <v/>
      </c>
      <c r="B1441" s="2" t="n">
        <v>43210.91027777778</v>
      </c>
      <c r="C1441" t="n">
        <v>3</v>
      </c>
      <c r="D1441" t="n">
        <v>0</v>
      </c>
      <c r="E1441" t="s">
        <v>1452</v>
      </c>
      <c r="F1441" t="s"/>
      <c r="G1441" t="s"/>
      <c r="H1441" t="s"/>
      <c r="I1441" t="s"/>
      <c r="J1441" t="n">
        <v>0</v>
      </c>
      <c r="K1441" t="n">
        <v>0</v>
      </c>
      <c r="L1441" t="n">
        <v>1</v>
      </c>
      <c r="M1441" t="n">
        <v>0</v>
      </c>
    </row>
    <row r="1442" spans="1:13">
      <c r="A1442" s="1">
        <f>HYPERLINK("http://www.twitter.com/NathanBLawrence/status/987447848777207808", "987447848777207808")</f>
        <v/>
      </c>
      <c r="B1442" s="2" t="n">
        <v>43210.90841435185</v>
      </c>
      <c r="C1442" t="n">
        <v>5</v>
      </c>
      <c r="D1442" t="n">
        <v>2</v>
      </c>
      <c r="E1442" t="s">
        <v>1453</v>
      </c>
      <c r="F1442" t="s"/>
      <c r="G1442" t="s"/>
      <c r="H1442" t="s"/>
      <c r="I1442" t="s"/>
      <c r="J1442" t="n">
        <v>-0.2481</v>
      </c>
      <c r="K1442" t="n">
        <v>0.172</v>
      </c>
      <c r="L1442" t="n">
        <v>0.697</v>
      </c>
      <c r="M1442" t="n">
        <v>0.131</v>
      </c>
    </row>
    <row r="1443" spans="1:13">
      <c r="A1443" s="1">
        <f>HYPERLINK("http://www.twitter.com/NathanBLawrence/status/987447104229527552", "987447104229527552")</f>
        <v/>
      </c>
      <c r="B1443" s="2" t="n">
        <v>43210.90636574074</v>
      </c>
      <c r="C1443" t="n">
        <v>0</v>
      </c>
      <c r="D1443" t="n">
        <v>0</v>
      </c>
      <c r="E1443" t="s">
        <v>1454</v>
      </c>
      <c r="F1443" t="s"/>
      <c r="G1443" t="s"/>
      <c r="H1443" t="s"/>
      <c r="I1443" t="s"/>
      <c r="J1443" t="n">
        <v>0</v>
      </c>
      <c r="K1443" t="n">
        <v>0</v>
      </c>
      <c r="L1443" t="n">
        <v>1</v>
      </c>
      <c r="M1443" t="n">
        <v>0</v>
      </c>
    </row>
    <row r="1444" spans="1:13">
      <c r="A1444" s="1">
        <f>HYPERLINK("http://www.twitter.com/NathanBLawrence/status/987415274243665920", "987415274243665920")</f>
        <v/>
      </c>
      <c r="B1444" s="2" t="n">
        <v>43210.81853009259</v>
      </c>
      <c r="C1444" t="n">
        <v>5</v>
      </c>
      <c r="D1444" t="n">
        <v>3</v>
      </c>
      <c r="E1444" t="s">
        <v>1455</v>
      </c>
      <c r="F1444" t="s"/>
      <c r="G1444" t="s"/>
      <c r="H1444" t="s"/>
      <c r="I1444" t="s"/>
      <c r="J1444" t="n">
        <v>0</v>
      </c>
      <c r="K1444" t="n">
        <v>0</v>
      </c>
      <c r="L1444" t="n">
        <v>1</v>
      </c>
      <c r="M1444" t="n">
        <v>0</v>
      </c>
    </row>
    <row r="1445" spans="1:13">
      <c r="A1445" s="1">
        <f>HYPERLINK("http://www.twitter.com/NathanBLawrence/status/987413711483822080", "987413711483822080")</f>
        <v/>
      </c>
      <c r="B1445" s="2" t="n">
        <v>43210.81421296296</v>
      </c>
      <c r="C1445" t="n">
        <v>0</v>
      </c>
      <c r="D1445" t="n">
        <v>0</v>
      </c>
      <c r="E1445" t="s">
        <v>1456</v>
      </c>
      <c r="F1445" t="s"/>
      <c r="G1445" t="s"/>
      <c r="H1445" t="s"/>
      <c r="I1445" t="s"/>
      <c r="J1445" t="n">
        <v>0.717</v>
      </c>
      <c r="K1445" t="n">
        <v>0</v>
      </c>
      <c r="L1445" t="n">
        <v>0.864</v>
      </c>
      <c r="M1445" t="n">
        <v>0.136</v>
      </c>
    </row>
    <row r="1446" spans="1:13">
      <c r="A1446" s="1">
        <f>HYPERLINK("http://www.twitter.com/NathanBLawrence/status/987400735934558210", "987400735934558210")</f>
        <v/>
      </c>
      <c r="B1446" s="2" t="n">
        <v>43210.77841435185</v>
      </c>
      <c r="C1446" t="n">
        <v>1</v>
      </c>
      <c r="D1446" t="n">
        <v>0</v>
      </c>
      <c r="E1446" t="s">
        <v>1457</v>
      </c>
      <c r="F1446" t="s"/>
      <c r="G1446" t="s"/>
      <c r="H1446" t="s"/>
      <c r="I1446" t="s"/>
      <c r="J1446" t="n">
        <v>0</v>
      </c>
      <c r="K1446" t="n">
        <v>0</v>
      </c>
      <c r="L1446" t="n">
        <v>1</v>
      </c>
      <c r="M1446" t="n">
        <v>0</v>
      </c>
    </row>
    <row r="1447" spans="1:13">
      <c r="A1447" s="1">
        <f>HYPERLINK("http://www.twitter.com/NathanBLawrence/status/987400479436132352", "987400479436132352")</f>
        <v/>
      </c>
      <c r="B1447" s="2" t="n">
        <v>43210.77769675926</v>
      </c>
      <c r="C1447" t="n">
        <v>0</v>
      </c>
      <c r="D1447" t="n">
        <v>0</v>
      </c>
      <c r="E1447" t="s">
        <v>1458</v>
      </c>
      <c r="F1447">
        <f>HYPERLINK("http://pbs.twimg.com/media/DbPzf41UwAA8MtL.jpg", "http://pbs.twimg.com/media/DbPzf41UwAA8MtL.jpg")</f>
        <v/>
      </c>
      <c r="G1447" t="s"/>
      <c r="H1447" t="s"/>
      <c r="I1447" t="s"/>
      <c r="J1447" t="n">
        <v>0</v>
      </c>
      <c r="K1447" t="n">
        <v>0</v>
      </c>
      <c r="L1447" t="n">
        <v>1</v>
      </c>
      <c r="M1447" t="n">
        <v>0</v>
      </c>
    </row>
    <row r="1448" spans="1:13">
      <c r="A1448" s="1">
        <f>HYPERLINK("http://www.twitter.com/NathanBLawrence/status/987400435312070661", "987400435312070661")</f>
        <v/>
      </c>
      <c r="B1448" s="2" t="n">
        <v>43210.77758101852</v>
      </c>
      <c r="C1448" t="n">
        <v>0</v>
      </c>
      <c r="D1448" t="n">
        <v>0</v>
      </c>
      <c r="E1448" t="s">
        <v>1459</v>
      </c>
      <c r="F1448" t="s"/>
      <c r="G1448" t="s"/>
      <c r="H1448" t="s"/>
      <c r="I1448" t="s"/>
      <c r="J1448" t="n">
        <v>0.185</v>
      </c>
      <c r="K1448" t="n">
        <v>0.11</v>
      </c>
      <c r="L1448" t="n">
        <v>0.757</v>
      </c>
      <c r="M1448" t="n">
        <v>0.134</v>
      </c>
    </row>
    <row r="1449" spans="1:13">
      <c r="A1449" s="1">
        <f>HYPERLINK("http://www.twitter.com/NathanBLawrence/status/987400401665318913", "987400401665318913")</f>
        <v/>
      </c>
      <c r="B1449" s="2" t="n">
        <v>43210.77748842593</v>
      </c>
      <c r="C1449" t="n">
        <v>1</v>
      </c>
      <c r="D1449" t="n">
        <v>0</v>
      </c>
      <c r="E1449" t="s">
        <v>1460</v>
      </c>
      <c r="F1449" t="s"/>
      <c r="G1449" t="s"/>
      <c r="H1449" t="s"/>
      <c r="I1449" t="s"/>
      <c r="J1449" t="n">
        <v>0</v>
      </c>
      <c r="K1449" t="n">
        <v>0</v>
      </c>
      <c r="L1449" t="n">
        <v>1</v>
      </c>
      <c r="M1449" t="n">
        <v>0</v>
      </c>
    </row>
    <row r="1450" spans="1:13">
      <c r="A1450" s="1">
        <f>HYPERLINK("http://www.twitter.com/NathanBLawrence/status/987400382933544965", "987400382933544965")</f>
        <v/>
      </c>
      <c r="B1450" s="2" t="n">
        <v>43210.77743055556</v>
      </c>
      <c r="C1450" t="n">
        <v>3</v>
      </c>
      <c r="D1450" t="n">
        <v>1</v>
      </c>
      <c r="E1450" t="s">
        <v>1461</v>
      </c>
      <c r="F1450">
        <f>HYPERLINK("http://pbs.twimg.com/media/DbPzZ4CU8AAGZPf.jpg", "http://pbs.twimg.com/media/DbPzZ4CU8AAGZPf.jpg")</f>
        <v/>
      </c>
      <c r="G1450" t="s"/>
      <c r="H1450" t="s"/>
      <c r="I1450" t="s"/>
      <c r="J1450" t="n">
        <v>0.4215</v>
      </c>
      <c r="K1450" t="n">
        <v>0.08599999999999999</v>
      </c>
      <c r="L1450" t="n">
        <v>0.747</v>
      </c>
      <c r="M1450" t="n">
        <v>0.167</v>
      </c>
    </row>
    <row r="1451" spans="1:13">
      <c r="A1451" s="1">
        <f>HYPERLINK("http://www.twitter.com/NathanBLawrence/status/987399937838239744", "987399937838239744")</f>
        <v/>
      </c>
      <c r="B1451" s="2" t="n">
        <v>43210.7762037037</v>
      </c>
      <c r="C1451" t="n">
        <v>2</v>
      </c>
      <c r="D1451" t="n">
        <v>1</v>
      </c>
      <c r="E1451" t="s">
        <v>1462</v>
      </c>
      <c r="F1451" t="s"/>
      <c r="G1451" t="s"/>
      <c r="H1451" t="s"/>
      <c r="I1451" t="s"/>
      <c r="J1451" t="n">
        <v>0</v>
      </c>
      <c r="K1451" t="n">
        <v>0</v>
      </c>
      <c r="L1451" t="n">
        <v>1</v>
      </c>
      <c r="M1451" t="n">
        <v>0</v>
      </c>
    </row>
    <row r="1452" spans="1:13">
      <c r="A1452" s="1">
        <f>HYPERLINK("http://www.twitter.com/NathanBLawrence/status/987399270943870977", "987399270943870977")</f>
        <v/>
      </c>
      <c r="B1452" s="2" t="n">
        <v>43210.77436342592</v>
      </c>
      <c r="C1452" t="n">
        <v>2</v>
      </c>
      <c r="D1452" t="n">
        <v>0</v>
      </c>
      <c r="E1452" t="s">
        <v>1463</v>
      </c>
      <c r="F1452" t="s"/>
      <c r="G1452" t="s"/>
      <c r="H1452" t="s"/>
      <c r="I1452" t="s"/>
      <c r="J1452" t="n">
        <v>0.8192</v>
      </c>
      <c r="K1452" t="n">
        <v>0</v>
      </c>
      <c r="L1452" t="n">
        <v>0.584</v>
      </c>
      <c r="M1452" t="n">
        <v>0.416</v>
      </c>
    </row>
    <row r="1453" spans="1:13">
      <c r="A1453" s="1">
        <f>HYPERLINK("http://www.twitter.com/NathanBLawrence/status/987394196305825797", "987394196305825797")</f>
        <v/>
      </c>
      <c r="B1453" s="2" t="n">
        <v>43210.76035879629</v>
      </c>
      <c r="C1453" t="n">
        <v>0</v>
      </c>
      <c r="D1453" t="n">
        <v>0</v>
      </c>
      <c r="E1453" t="s">
        <v>1464</v>
      </c>
      <c r="F1453" t="s"/>
      <c r="G1453" t="s"/>
      <c r="H1453" t="s"/>
      <c r="I1453" t="s"/>
      <c r="J1453" t="n">
        <v>0</v>
      </c>
      <c r="K1453" t="n">
        <v>0</v>
      </c>
      <c r="L1453" t="n">
        <v>1</v>
      </c>
      <c r="M1453" t="n">
        <v>0</v>
      </c>
    </row>
    <row r="1454" spans="1:13">
      <c r="A1454" s="1">
        <f>HYPERLINK("http://www.twitter.com/NathanBLawrence/status/987393547983839233", "987393547983839233")</f>
        <v/>
      </c>
      <c r="B1454" s="2" t="n">
        <v>43210.75857638889</v>
      </c>
      <c r="C1454" t="n">
        <v>0</v>
      </c>
      <c r="D1454" t="n">
        <v>0</v>
      </c>
      <c r="E1454" t="s">
        <v>1465</v>
      </c>
      <c r="F1454">
        <f>HYPERLINK("http://pbs.twimg.com/media/DbPtMc1UwAAwtRK.jpg", "http://pbs.twimg.com/media/DbPtMc1UwAAwtRK.jpg")</f>
        <v/>
      </c>
      <c r="G1454" t="s"/>
      <c r="H1454" t="s"/>
      <c r="I1454" t="s"/>
      <c r="J1454" t="n">
        <v>0.5719</v>
      </c>
      <c r="K1454" t="n">
        <v>0</v>
      </c>
      <c r="L1454" t="n">
        <v>0.351</v>
      </c>
      <c r="M1454" t="n">
        <v>0.649</v>
      </c>
    </row>
    <row r="1455" spans="1:13">
      <c r="A1455" s="1">
        <f>HYPERLINK("http://www.twitter.com/NathanBLawrence/status/987381353334345731", "987381353334345731")</f>
        <v/>
      </c>
      <c r="B1455" s="2" t="n">
        <v>43210.72491898148</v>
      </c>
      <c r="C1455" t="n">
        <v>0</v>
      </c>
      <c r="D1455" t="n">
        <v>0</v>
      </c>
      <c r="E1455" t="s">
        <v>1466</v>
      </c>
      <c r="F1455" t="s"/>
      <c r="G1455" t="s"/>
      <c r="H1455" t="s"/>
      <c r="I1455" t="s"/>
      <c r="J1455" t="n">
        <v>-0.6597</v>
      </c>
      <c r="K1455" t="n">
        <v>0.355</v>
      </c>
      <c r="L1455" t="n">
        <v>0.645</v>
      </c>
      <c r="M1455" t="n">
        <v>0</v>
      </c>
    </row>
    <row r="1456" spans="1:13">
      <c r="A1456" s="1">
        <f>HYPERLINK("http://www.twitter.com/NathanBLawrence/status/987380626901913600", "987380626901913600")</f>
        <v/>
      </c>
      <c r="B1456" s="2" t="n">
        <v>43210.72291666667</v>
      </c>
      <c r="C1456" t="n">
        <v>1</v>
      </c>
      <c r="D1456" t="n">
        <v>0</v>
      </c>
      <c r="E1456" t="s">
        <v>1467</v>
      </c>
      <c r="F1456" t="s"/>
      <c r="G1456" t="s"/>
      <c r="H1456" t="s"/>
      <c r="I1456" t="s"/>
      <c r="J1456" t="n">
        <v>0.8109</v>
      </c>
      <c r="K1456" t="n">
        <v>0</v>
      </c>
      <c r="L1456" t="n">
        <v>0.352</v>
      </c>
      <c r="M1456" t="n">
        <v>0.648</v>
      </c>
    </row>
    <row r="1457" spans="1:13">
      <c r="A1457" s="1">
        <f>HYPERLINK("http://www.twitter.com/NathanBLawrence/status/987377346553548806", "987377346553548806")</f>
        <v/>
      </c>
      <c r="B1457" s="2" t="n">
        <v>43210.71386574074</v>
      </c>
      <c r="C1457" t="n">
        <v>1</v>
      </c>
      <c r="D1457" t="n">
        <v>0</v>
      </c>
      <c r="E1457" t="s">
        <v>1468</v>
      </c>
      <c r="F1457" t="s"/>
      <c r="G1457" t="s"/>
      <c r="H1457" t="s"/>
      <c r="I1457" t="s"/>
      <c r="J1457" t="n">
        <v>0</v>
      </c>
      <c r="K1457" t="n">
        <v>0</v>
      </c>
      <c r="L1457" t="n">
        <v>1</v>
      </c>
      <c r="M1457" t="n">
        <v>0</v>
      </c>
    </row>
    <row r="1458" spans="1:13">
      <c r="A1458" s="1">
        <f>HYPERLINK("http://www.twitter.com/NathanBLawrence/status/987377200314937344", "987377200314937344")</f>
        <v/>
      </c>
      <c r="B1458" s="2" t="n">
        <v>43210.71346064815</v>
      </c>
      <c r="C1458" t="n">
        <v>1</v>
      </c>
      <c r="D1458" t="n">
        <v>1</v>
      </c>
      <c r="E1458" t="s">
        <v>1469</v>
      </c>
      <c r="F1458" t="s"/>
      <c r="G1458" t="s"/>
      <c r="H1458" t="s"/>
      <c r="I1458" t="s"/>
      <c r="J1458" t="n">
        <v>0.2144</v>
      </c>
      <c r="K1458" t="n">
        <v>0.133</v>
      </c>
      <c r="L1458" t="n">
        <v>0.678</v>
      </c>
      <c r="M1458" t="n">
        <v>0.19</v>
      </c>
    </row>
    <row r="1459" spans="1:13">
      <c r="A1459" s="1">
        <f>HYPERLINK("http://www.twitter.com/NathanBLawrence/status/987376740619227137", "987376740619227137")</f>
        <v/>
      </c>
      <c r="B1459" s="2" t="n">
        <v>43210.71219907407</v>
      </c>
      <c r="C1459" t="n">
        <v>0</v>
      </c>
      <c r="D1459" t="n">
        <v>0</v>
      </c>
      <c r="E1459" t="s">
        <v>1470</v>
      </c>
      <c r="F1459" t="s"/>
      <c r="G1459" t="s"/>
      <c r="H1459" t="s"/>
      <c r="I1459" t="s"/>
      <c r="J1459" t="n">
        <v>-0.34</v>
      </c>
      <c r="K1459" t="n">
        <v>0.269</v>
      </c>
      <c r="L1459" t="n">
        <v>0.522</v>
      </c>
      <c r="M1459" t="n">
        <v>0.209</v>
      </c>
    </row>
    <row r="1460" spans="1:13">
      <c r="A1460" s="1">
        <f>HYPERLINK("http://www.twitter.com/NathanBLawrence/status/987376324468756480", "987376324468756480")</f>
        <v/>
      </c>
      <c r="B1460" s="2" t="n">
        <v>43210.71104166667</v>
      </c>
      <c r="C1460" t="n">
        <v>0</v>
      </c>
      <c r="D1460" t="n">
        <v>0</v>
      </c>
      <c r="E1460" t="s">
        <v>1471</v>
      </c>
      <c r="F1460" t="s"/>
      <c r="G1460" t="s"/>
      <c r="H1460" t="s"/>
      <c r="I1460" t="s"/>
      <c r="J1460" t="n">
        <v>-0.886</v>
      </c>
      <c r="K1460" t="n">
        <v>0.464</v>
      </c>
      <c r="L1460" t="n">
        <v>0.536</v>
      </c>
      <c r="M1460" t="n">
        <v>0</v>
      </c>
    </row>
    <row r="1461" spans="1:13">
      <c r="A1461" s="1">
        <f>HYPERLINK("http://www.twitter.com/NathanBLawrence/status/987375838453731328", "987375838453731328")</f>
        <v/>
      </c>
      <c r="B1461" s="2" t="n">
        <v>43210.70971064815</v>
      </c>
      <c r="C1461" t="n">
        <v>2</v>
      </c>
      <c r="D1461" t="n">
        <v>0</v>
      </c>
      <c r="E1461" t="s">
        <v>1472</v>
      </c>
      <c r="F1461" t="s"/>
      <c r="G1461" t="s"/>
      <c r="H1461" t="s"/>
      <c r="I1461" t="s"/>
      <c r="J1461" t="n">
        <v>0</v>
      </c>
      <c r="K1461" t="n">
        <v>0</v>
      </c>
      <c r="L1461" t="n">
        <v>1</v>
      </c>
      <c r="M1461" t="n">
        <v>0</v>
      </c>
    </row>
    <row r="1462" spans="1:13">
      <c r="A1462" s="1">
        <f>HYPERLINK("http://www.twitter.com/NathanBLawrence/status/987375509741932545", "987375509741932545")</f>
        <v/>
      </c>
      <c r="B1462" s="2" t="n">
        <v>43210.7087962963</v>
      </c>
      <c r="C1462" t="n">
        <v>3</v>
      </c>
      <c r="D1462" t="n">
        <v>0</v>
      </c>
      <c r="E1462" t="s">
        <v>1473</v>
      </c>
      <c r="F1462" t="s"/>
      <c r="G1462" t="s"/>
      <c r="H1462" t="s"/>
      <c r="I1462" t="s"/>
      <c r="J1462" t="n">
        <v>-0.1531</v>
      </c>
      <c r="K1462" t="n">
        <v>0.118</v>
      </c>
      <c r="L1462" t="n">
        <v>0.882</v>
      </c>
      <c r="M1462" t="n">
        <v>0</v>
      </c>
    </row>
    <row r="1463" spans="1:13">
      <c r="A1463" s="1">
        <f>HYPERLINK("http://www.twitter.com/NathanBLawrence/status/987356362819686401", "987356362819686401")</f>
        <v/>
      </c>
      <c r="B1463" s="2" t="n">
        <v>43210.65596064815</v>
      </c>
      <c r="C1463" t="n">
        <v>0</v>
      </c>
      <c r="D1463" t="n">
        <v>0</v>
      </c>
      <c r="E1463" t="s">
        <v>1474</v>
      </c>
      <c r="F1463" t="s"/>
      <c r="G1463" t="s"/>
      <c r="H1463" t="s"/>
      <c r="I1463" t="s"/>
      <c r="J1463" t="n">
        <v>0.5859</v>
      </c>
      <c r="K1463" t="n">
        <v>0</v>
      </c>
      <c r="L1463" t="n">
        <v>0.909</v>
      </c>
      <c r="M1463" t="n">
        <v>0.091</v>
      </c>
    </row>
    <row r="1464" spans="1:13">
      <c r="A1464" s="1">
        <f>HYPERLINK("http://www.twitter.com/NathanBLawrence/status/987355571417468928", "987355571417468928")</f>
        <v/>
      </c>
      <c r="B1464" s="2" t="n">
        <v>43210.65378472222</v>
      </c>
      <c r="C1464" t="n">
        <v>0</v>
      </c>
      <c r="D1464" t="n">
        <v>0</v>
      </c>
      <c r="E1464" t="s">
        <v>1475</v>
      </c>
      <c r="F1464" t="s"/>
      <c r="G1464" t="s"/>
      <c r="H1464" t="s"/>
      <c r="I1464" t="s"/>
      <c r="J1464" t="n">
        <v>0.1027</v>
      </c>
      <c r="K1464" t="n">
        <v>0.073</v>
      </c>
      <c r="L1464" t="n">
        <v>0.827</v>
      </c>
      <c r="M1464" t="n">
        <v>0.101</v>
      </c>
    </row>
    <row r="1465" spans="1:13">
      <c r="A1465" s="1">
        <f>HYPERLINK("http://www.twitter.com/NathanBLawrence/status/987354703477518338", "987354703477518338")</f>
        <v/>
      </c>
      <c r="B1465" s="2" t="n">
        <v>43210.65138888889</v>
      </c>
      <c r="C1465" t="n">
        <v>0</v>
      </c>
      <c r="D1465" t="n">
        <v>0</v>
      </c>
      <c r="E1465" t="s">
        <v>1476</v>
      </c>
      <c r="F1465" t="s"/>
      <c r="G1465" t="s"/>
      <c r="H1465" t="s"/>
      <c r="I1465" t="s"/>
      <c r="J1465" t="n">
        <v>0.3612</v>
      </c>
      <c r="K1465" t="n">
        <v>0</v>
      </c>
      <c r="L1465" t="n">
        <v>0.783</v>
      </c>
      <c r="M1465" t="n">
        <v>0.217</v>
      </c>
    </row>
    <row r="1466" spans="1:13">
      <c r="A1466" s="1">
        <f>HYPERLINK("http://www.twitter.com/NathanBLawrence/status/987354451857035264", "987354451857035264")</f>
        <v/>
      </c>
      <c r="B1466" s="2" t="n">
        <v>43210.65069444444</v>
      </c>
      <c r="C1466" t="n">
        <v>0</v>
      </c>
      <c r="D1466" t="n">
        <v>0</v>
      </c>
      <c r="E1466" t="s">
        <v>1477</v>
      </c>
      <c r="F1466" t="s"/>
      <c r="G1466" t="s"/>
      <c r="H1466" t="s"/>
      <c r="I1466" t="s"/>
      <c r="J1466" t="n">
        <v>0</v>
      </c>
      <c r="K1466" t="n">
        <v>0</v>
      </c>
      <c r="L1466" t="n">
        <v>1</v>
      </c>
      <c r="M1466" t="n">
        <v>0</v>
      </c>
    </row>
    <row r="1467" spans="1:13">
      <c r="A1467" s="1">
        <f>HYPERLINK("http://www.twitter.com/NathanBLawrence/status/987354164916375553", "987354164916375553")</f>
        <v/>
      </c>
      <c r="B1467" s="2" t="n">
        <v>43210.64989583333</v>
      </c>
      <c r="C1467" t="n">
        <v>1</v>
      </c>
      <c r="D1467" t="n">
        <v>1</v>
      </c>
      <c r="E1467" t="s">
        <v>1478</v>
      </c>
      <c r="F1467" t="s"/>
      <c r="G1467" t="s"/>
      <c r="H1467" t="s"/>
      <c r="I1467" t="s"/>
      <c r="J1467" t="n">
        <v>-0.2263</v>
      </c>
      <c r="K1467" t="n">
        <v>0.213</v>
      </c>
      <c r="L1467" t="n">
        <v>0.787</v>
      </c>
      <c r="M1467" t="n">
        <v>0</v>
      </c>
    </row>
    <row r="1468" spans="1:13">
      <c r="A1468" s="1">
        <f>HYPERLINK("http://www.twitter.com/NathanBLawrence/status/987353754633691138", "987353754633691138")</f>
        <v/>
      </c>
      <c r="B1468" s="2" t="n">
        <v>43210.64876157408</v>
      </c>
      <c r="C1468" t="n">
        <v>1</v>
      </c>
      <c r="D1468" t="n">
        <v>0</v>
      </c>
      <c r="E1468" t="s">
        <v>1479</v>
      </c>
      <c r="F1468" t="s"/>
      <c r="G1468" t="s"/>
      <c r="H1468" t="s"/>
      <c r="I1468" t="s"/>
      <c r="J1468" t="n">
        <v>0</v>
      </c>
      <c r="K1468" t="n">
        <v>0</v>
      </c>
      <c r="L1468" t="n">
        <v>1</v>
      </c>
      <c r="M1468" t="n">
        <v>0</v>
      </c>
    </row>
    <row r="1469" spans="1:13">
      <c r="A1469" s="1">
        <f>HYPERLINK("http://www.twitter.com/NathanBLawrence/status/987347555611750401", "987347555611750401")</f>
        <v/>
      </c>
      <c r="B1469" s="2" t="n">
        <v>43210.63165509259</v>
      </c>
      <c r="C1469" t="n">
        <v>4</v>
      </c>
      <c r="D1469" t="n">
        <v>1</v>
      </c>
      <c r="E1469" t="s">
        <v>1480</v>
      </c>
      <c r="F1469" t="s"/>
      <c r="G1469" t="s"/>
      <c r="H1469" t="s"/>
      <c r="I1469" t="s"/>
      <c r="J1469" t="n">
        <v>0.3612</v>
      </c>
      <c r="K1469" t="n">
        <v>0.08799999999999999</v>
      </c>
      <c r="L1469" t="n">
        <v>0.723</v>
      </c>
      <c r="M1469" t="n">
        <v>0.189</v>
      </c>
    </row>
    <row r="1470" spans="1:13">
      <c r="A1470" s="1">
        <f>HYPERLINK("http://www.twitter.com/NathanBLawrence/status/987346959223672833", "987346959223672833")</f>
        <v/>
      </c>
      <c r="B1470" s="2" t="n">
        <v>43210.63001157407</v>
      </c>
      <c r="C1470" t="n">
        <v>0</v>
      </c>
      <c r="D1470" t="n">
        <v>7733</v>
      </c>
      <c r="E1470" t="s">
        <v>1481</v>
      </c>
      <c r="F1470" t="s"/>
      <c r="G1470" t="s"/>
      <c r="H1470" t="s"/>
      <c r="I1470" t="s"/>
      <c r="J1470" t="n">
        <v>-0.0258</v>
      </c>
      <c r="K1470" t="n">
        <v>0.094</v>
      </c>
      <c r="L1470" t="n">
        <v>0.8159999999999999</v>
      </c>
      <c r="M1470" t="n">
        <v>0.09</v>
      </c>
    </row>
    <row r="1471" spans="1:13">
      <c r="A1471" s="1">
        <f>HYPERLINK("http://www.twitter.com/NathanBLawrence/status/987346858392670208", "987346858392670208")</f>
        <v/>
      </c>
      <c r="B1471" s="2" t="n">
        <v>43210.6297337963</v>
      </c>
      <c r="C1471" t="n">
        <v>0</v>
      </c>
      <c r="D1471" t="n">
        <v>0</v>
      </c>
      <c r="E1471" t="s">
        <v>1482</v>
      </c>
      <c r="F1471" t="s"/>
      <c r="G1471" t="s"/>
      <c r="H1471" t="s"/>
      <c r="I1471" t="s"/>
      <c r="J1471" t="n">
        <v>0</v>
      </c>
      <c r="K1471" t="n">
        <v>0</v>
      </c>
      <c r="L1471" t="n">
        <v>1</v>
      </c>
      <c r="M1471" t="n">
        <v>0</v>
      </c>
    </row>
    <row r="1472" spans="1:13">
      <c r="A1472" s="1">
        <f>HYPERLINK("http://www.twitter.com/NathanBLawrence/status/987346622668558336", "987346622668558336")</f>
        <v/>
      </c>
      <c r="B1472" s="2" t="n">
        <v>43210.62908564815</v>
      </c>
      <c r="C1472" t="n">
        <v>3</v>
      </c>
      <c r="D1472" t="n">
        <v>2</v>
      </c>
      <c r="E1472" t="s">
        <v>1483</v>
      </c>
      <c r="F1472" t="s"/>
      <c r="G1472" t="s"/>
      <c r="H1472" t="s"/>
      <c r="I1472" t="s"/>
      <c r="J1472" t="n">
        <v>0</v>
      </c>
      <c r="K1472" t="n">
        <v>0</v>
      </c>
      <c r="L1472" t="n">
        <v>1</v>
      </c>
      <c r="M1472" t="n">
        <v>0</v>
      </c>
    </row>
    <row r="1473" spans="1:13">
      <c r="A1473" s="1">
        <f>HYPERLINK("http://www.twitter.com/NathanBLawrence/status/987345958613733377", "987345958613733377")</f>
        <v/>
      </c>
      <c r="B1473" s="2" t="n">
        <v>43210.62725694444</v>
      </c>
      <c r="C1473" t="n">
        <v>0</v>
      </c>
      <c r="D1473" t="n">
        <v>3</v>
      </c>
      <c r="E1473" t="s">
        <v>1484</v>
      </c>
      <c r="F1473" t="s"/>
      <c r="G1473" t="s"/>
      <c r="H1473" t="s"/>
      <c r="I1473" t="s"/>
      <c r="J1473" t="n">
        <v>0</v>
      </c>
      <c r="K1473" t="n">
        <v>0</v>
      </c>
      <c r="L1473" t="n">
        <v>1</v>
      </c>
      <c r="M1473" t="n">
        <v>0</v>
      </c>
    </row>
    <row r="1474" spans="1:13">
      <c r="A1474" s="1">
        <f>HYPERLINK("http://www.twitter.com/NathanBLawrence/status/987345713788080128", "987345713788080128")</f>
        <v/>
      </c>
      <c r="B1474" s="2" t="n">
        <v>43210.62657407407</v>
      </c>
      <c r="C1474" t="n">
        <v>0</v>
      </c>
      <c r="D1474" t="n">
        <v>0</v>
      </c>
      <c r="E1474" t="s">
        <v>1485</v>
      </c>
      <c r="F1474" t="s"/>
      <c r="G1474" t="s"/>
      <c r="H1474" t="s"/>
      <c r="I1474" t="s"/>
      <c r="J1474" t="n">
        <v>0</v>
      </c>
      <c r="K1474" t="n">
        <v>0</v>
      </c>
      <c r="L1474" t="n">
        <v>1</v>
      </c>
      <c r="M1474" t="n">
        <v>0</v>
      </c>
    </row>
    <row r="1475" spans="1:13">
      <c r="A1475" s="1">
        <f>HYPERLINK("http://www.twitter.com/NathanBLawrence/status/987345574444912640", "987345574444912640")</f>
        <v/>
      </c>
      <c r="B1475" s="2" t="n">
        <v>43210.62619212963</v>
      </c>
      <c r="C1475" t="n">
        <v>1</v>
      </c>
      <c r="D1475" t="n">
        <v>1</v>
      </c>
      <c r="E1475" t="s">
        <v>1486</v>
      </c>
      <c r="F1475" t="s"/>
      <c r="G1475" t="s"/>
      <c r="H1475" t="s"/>
      <c r="I1475" t="s"/>
      <c r="J1475" t="n">
        <v>0.5459000000000001</v>
      </c>
      <c r="K1475" t="n">
        <v>0</v>
      </c>
      <c r="L1475" t="n">
        <v>0.757</v>
      </c>
      <c r="M1475" t="n">
        <v>0.243</v>
      </c>
    </row>
    <row r="1476" spans="1:13">
      <c r="A1476" s="1">
        <f>HYPERLINK("http://www.twitter.com/NathanBLawrence/status/987345306772701184", "987345306772701184")</f>
        <v/>
      </c>
      <c r="B1476" s="2" t="n">
        <v>43210.62545138889</v>
      </c>
      <c r="C1476" t="n">
        <v>1</v>
      </c>
      <c r="D1476" t="n">
        <v>0</v>
      </c>
      <c r="E1476" t="s">
        <v>1487</v>
      </c>
      <c r="F1476" t="s"/>
      <c r="G1476" t="s"/>
      <c r="H1476" t="s"/>
      <c r="I1476" t="s"/>
      <c r="J1476" t="n">
        <v>0.2144</v>
      </c>
      <c r="K1476" t="n">
        <v>0</v>
      </c>
      <c r="L1476" t="n">
        <v>0.89</v>
      </c>
      <c r="M1476" t="n">
        <v>0.11</v>
      </c>
    </row>
    <row r="1477" spans="1:13">
      <c r="A1477" s="1">
        <f>HYPERLINK("http://www.twitter.com/NathanBLawrence/status/987344901317722112", "987344901317722112")</f>
        <v/>
      </c>
      <c r="B1477" s="2" t="n">
        <v>43210.62434027778</v>
      </c>
      <c r="C1477" t="n">
        <v>2</v>
      </c>
      <c r="D1477" t="n">
        <v>0</v>
      </c>
      <c r="E1477" t="s">
        <v>1488</v>
      </c>
      <c r="F1477" t="s"/>
      <c r="G1477" t="s"/>
      <c r="H1477" t="s"/>
      <c r="I1477" t="s"/>
      <c r="J1477" t="n">
        <v>0.4404</v>
      </c>
      <c r="K1477" t="n">
        <v>0</v>
      </c>
      <c r="L1477" t="n">
        <v>0.805</v>
      </c>
      <c r="M1477" t="n">
        <v>0.195</v>
      </c>
    </row>
    <row r="1478" spans="1:13">
      <c r="A1478" s="1">
        <f>HYPERLINK("http://www.twitter.com/NathanBLawrence/status/987333391384219650", "987333391384219650")</f>
        <v/>
      </c>
      <c r="B1478" s="2" t="n">
        <v>43210.59256944444</v>
      </c>
      <c r="C1478" t="n">
        <v>0</v>
      </c>
      <c r="D1478" t="n">
        <v>0</v>
      </c>
      <c r="E1478" t="s">
        <v>1489</v>
      </c>
      <c r="F1478" t="s"/>
      <c r="G1478" t="s"/>
      <c r="H1478" t="s"/>
      <c r="I1478" t="s"/>
      <c r="J1478" t="n">
        <v>0.4753</v>
      </c>
      <c r="K1478" t="n">
        <v>0</v>
      </c>
      <c r="L1478" t="n">
        <v>0.618</v>
      </c>
      <c r="M1478" t="n">
        <v>0.382</v>
      </c>
    </row>
    <row r="1479" spans="1:13">
      <c r="A1479" s="1">
        <f>HYPERLINK("http://www.twitter.com/NathanBLawrence/status/987333257200054272", "987333257200054272")</f>
        <v/>
      </c>
      <c r="B1479" s="2" t="n">
        <v>43210.59219907408</v>
      </c>
      <c r="C1479" t="n">
        <v>3</v>
      </c>
      <c r="D1479" t="n">
        <v>2</v>
      </c>
      <c r="E1479" t="s">
        <v>1490</v>
      </c>
      <c r="F1479" t="s"/>
      <c r="G1479" t="s"/>
      <c r="H1479" t="s"/>
      <c r="I1479" t="s"/>
      <c r="J1479" t="n">
        <v>-0.5411</v>
      </c>
      <c r="K1479" t="n">
        <v>0.127</v>
      </c>
      <c r="L1479" t="n">
        <v>0.873</v>
      </c>
      <c r="M1479" t="n">
        <v>0</v>
      </c>
    </row>
    <row r="1480" spans="1:13">
      <c r="A1480" s="1">
        <f>HYPERLINK("http://www.twitter.com/NathanBLawrence/status/987326945212948482", "987326945212948482")</f>
        <v/>
      </c>
      <c r="B1480" s="2" t="n">
        <v>43210.57479166667</v>
      </c>
      <c r="C1480" t="n">
        <v>12</v>
      </c>
      <c r="D1480" t="n">
        <v>7</v>
      </c>
      <c r="E1480" t="s">
        <v>1491</v>
      </c>
      <c r="F1480">
        <f>HYPERLINK("http://pbs.twimg.com/media/DbOwlo8U0AAY6JS.jpg", "http://pbs.twimg.com/media/DbOwlo8U0AAY6JS.jpg")</f>
        <v/>
      </c>
      <c r="G1480" t="s"/>
      <c r="H1480" t="s"/>
      <c r="I1480" t="s"/>
      <c r="J1480" t="n">
        <v>-0.6486</v>
      </c>
      <c r="K1480" t="n">
        <v>0.164</v>
      </c>
      <c r="L1480" t="n">
        <v>0.783</v>
      </c>
      <c r="M1480" t="n">
        <v>0.052</v>
      </c>
    </row>
    <row r="1481" spans="1:13">
      <c r="A1481" s="1">
        <f>HYPERLINK("http://www.twitter.com/NathanBLawrence/status/987326004585811969", "987326004585811969")</f>
        <v/>
      </c>
      <c r="B1481" s="2" t="n">
        <v>43210.5721875</v>
      </c>
      <c r="C1481" t="n">
        <v>5</v>
      </c>
      <c r="D1481" t="n">
        <v>4</v>
      </c>
      <c r="E1481" t="s">
        <v>1492</v>
      </c>
      <c r="F1481">
        <f>HYPERLINK("http://pbs.twimg.com/media/DbOvwuzUMAArYqF.jpg", "http://pbs.twimg.com/media/DbOvwuzUMAArYqF.jpg")</f>
        <v/>
      </c>
      <c r="G1481" t="s"/>
      <c r="H1481" t="s"/>
      <c r="I1481" t="s"/>
      <c r="J1481" t="n">
        <v>0.3612</v>
      </c>
      <c r="K1481" t="n">
        <v>0.03</v>
      </c>
      <c r="L1481" t="n">
        <v>0.902</v>
      </c>
      <c r="M1481" t="n">
        <v>0.068</v>
      </c>
    </row>
    <row r="1482" spans="1:13">
      <c r="A1482" s="1">
        <f>HYPERLINK("http://www.twitter.com/NathanBLawrence/status/987324370233249792", "987324370233249792")</f>
        <v/>
      </c>
      <c r="B1482" s="2" t="n">
        <v>43210.56768518518</v>
      </c>
      <c r="C1482" t="n">
        <v>6</v>
      </c>
      <c r="D1482" t="n">
        <v>3</v>
      </c>
      <c r="E1482" t="s">
        <v>1493</v>
      </c>
      <c r="F1482">
        <f>HYPERLINK("http://pbs.twimg.com/media/DbOuRmsVwAENKfR.jpg", "http://pbs.twimg.com/media/DbOuRmsVwAENKfR.jpg")</f>
        <v/>
      </c>
      <c r="G1482" t="s"/>
      <c r="H1482" t="s"/>
      <c r="I1482" t="s"/>
      <c r="J1482" t="n">
        <v>-0.7378</v>
      </c>
      <c r="K1482" t="n">
        <v>0.18</v>
      </c>
      <c r="L1482" t="n">
        <v>0.765</v>
      </c>
      <c r="M1482" t="n">
        <v>0.055</v>
      </c>
    </row>
    <row r="1483" spans="1:13">
      <c r="A1483" s="1">
        <f>HYPERLINK("http://www.twitter.com/NathanBLawrence/status/987322751932420101", "987322751932420101")</f>
        <v/>
      </c>
      <c r="B1483" s="2" t="n">
        <v>43210.56321759259</v>
      </c>
      <c r="C1483" t="n">
        <v>0</v>
      </c>
      <c r="D1483" t="n">
        <v>0</v>
      </c>
      <c r="E1483" t="s">
        <v>1494</v>
      </c>
      <c r="F1483" t="s"/>
      <c r="G1483" t="s"/>
      <c r="H1483" t="s"/>
      <c r="I1483" t="s"/>
      <c r="J1483" t="n">
        <v>-0.5573</v>
      </c>
      <c r="K1483" t="n">
        <v>0.291</v>
      </c>
      <c r="L1483" t="n">
        <v>0.534</v>
      </c>
      <c r="M1483" t="n">
        <v>0.175</v>
      </c>
    </row>
    <row r="1484" spans="1:13">
      <c r="A1484" s="1">
        <f>HYPERLINK("http://www.twitter.com/NathanBLawrence/status/987321454780997632", "987321454780997632")</f>
        <v/>
      </c>
      <c r="B1484" s="2" t="n">
        <v>43210.5596412037</v>
      </c>
      <c r="C1484" t="n">
        <v>0</v>
      </c>
      <c r="D1484" t="n">
        <v>0</v>
      </c>
      <c r="E1484" t="s">
        <v>1495</v>
      </c>
      <c r="F1484" t="s"/>
      <c r="G1484" t="s"/>
      <c r="H1484" t="s"/>
      <c r="I1484" t="s"/>
      <c r="J1484" t="n">
        <v>0</v>
      </c>
      <c r="K1484" t="n">
        <v>0</v>
      </c>
      <c r="L1484" t="n">
        <v>1</v>
      </c>
      <c r="M1484" t="n">
        <v>0</v>
      </c>
    </row>
    <row r="1485" spans="1:13">
      <c r="A1485" s="1">
        <f>HYPERLINK("http://www.twitter.com/NathanBLawrence/status/987320207021572096", "987320207021572096")</f>
        <v/>
      </c>
      <c r="B1485" s="2" t="n">
        <v>43210.55619212963</v>
      </c>
      <c r="C1485" t="n">
        <v>2</v>
      </c>
      <c r="D1485" t="n">
        <v>1</v>
      </c>
      <c r="E1485" t="s">
        <v>1496</v>
      </c>
      <c r="F1485" t="s"/>
      <c r="G1485" t="s"/>
      <c r="H1485" t="s"/>
      <c r="I1485" t="s"/>
      <c r="J1485" t="n">
        <v>0.4588</v>
      </c>
      <c r="K1485" t="n">
        <v>0</v>
      </c>
      <c r="L1485" t="n">
        <v>0.833</v>
      </c>
      <c r="M1485" t="n">
        <v>0.167</v>
      </c>
    </row>
    <row r="1486" spans="1:13">
      <c r="A1486" s="1">
        <f>HYPERLINK("http://www.twitter.com/NathanBLawrence/status/987314333255372800", "987314333255372800")</f>
        <v/>
      </c>
      <c r="B1486" s="2" t="n">
        <v>43210.53998842592</v>
      </c>
      <c r="C1486" t="n">
        <v>1</v>
      </c>
      <c r="D1486" t="n">
        <v>0</v>
      </c>
      <c r="E1486" t="s">
        <v>1497</v>
      </c>
      <c r="F1486">
        <f>HYPERLINK("http://pbs.twimg.com/media/DbOlJf1VAAMa_ZI.jpg", "http://pbs.twimg.com/media/DbOlJf1VAAMa_ZI.jpg")</f>
        <v/>
      </c>
      <c r="G1486" t="s"/>
      <c r="H1486" t="s"/>
      <c r="I1486" t="s"/>
      <c r="J1486" t="n">
        <v>-0.4019</v>
      </c>
      <c r="K1486" t="n">
        <v>0.153</v>
      </c>
      <c r="L1486" t="n">
        <v>0.847</v>
      </c>
      <c r="M1486" t="n">
        <v>0</v>
      </c>
    </row>
    <row r="1487" spans="1:13">
      <c r="A1487" s="1">
        <f>HYPERLINK("http://www.twitter.com/NathanBLawrence/status/987309037808209921", "987309037808209921")</f>
        <v/>
      </c>
      <c r="B1487" s="2" t="n">
        <v>43210.52537037037</v>
      </c>
      <c r="C1487" t="n">
        <v>2</v>
      </c>
      <c r="D1487" t="n">
        <v>1</v>
      </c>
      <c r="E1487" t="s">
        <v>1498</v>
      </c>
      <c r="F1487">
        <f>HYPERLINK("http://pbs.twimg.com/media/DbOgVJkXkAAZs9E.jpg", "http://pbs.twimg.com/media/DbOgVJkXkAAZs9E.jpg")</f>
        <v/>
      </c>
      <c r="G1487" t="s"/>
      <c r="H1487" t="s"/>
      <c r="I1487" t="s"/>
      <c r="J1487" t="n">
        <v>-0.07539999999999999</v>
      </c>
      <c r="K1487" t="n">
        <v>0.144</v>
      </c>
      <c r="L1487" t="n">
        <v>0.721</v>
      </c>
      <c r="M1487" t="n">
        <v>0.135</v>
      </c>
    </row>
    <row r="1488" spans="1:13">
      <c r="A1488" s="1">
        <f>HYPERLINK("http://www.twitter.com/NathanBLawrence/status/987302370492190720", "987302370492190720")</f>
        <v/>
      </c>
      <c r="B1488" s="2" t="n">
        <v>43210.50696759259</v>
      </c>
      <c r="C1488" t="n">
        <v>1</v>
      </c>
      <c r="D1488" t="n">
        <v>0</v>
      </c>
      <c r="E1488" t="s">
        <v>1499</v>
      </c>
      <c r="F1488" t="s"/>
      <c r="G1488" t="s"/>
      <c r="H1488" t="s"/>
      <c r="I1488" t="s"/>
      <c r="J1488" t="n">
        <v>0.5423</v>
      </c>
      <c r="K1488" t="n">
        <v>0</v>
      </c>
      <c r="L1488" t="n">
        <v>0.526</v>
      </c>
      <c r="M1488" t="n">
        <v>0.474</v>
      </c>
    </row>
    <row r="1489" spans="1:13">
      <c r="A1489" s="1">
        <f>HYPERLINK("http://www.twitter.com/NathanBLawrence/status/987302132511584260", "987302132511584260")</f>
        <v/>
      </c>
      <c r="B1489" s="2" t="n">
        <v>43210.50631944444</v>
      </c>
      <c r="C1489" t="n">
        <v>4</v>
      </c>
      <c r="D1489" t="n">
        <v>4</v>
      </c>
      <c r="E1489" t="s">
        <v>1500</v>
      </c>
      <c r="F1489" t="s"/>
      <c r="G1489" t="s"/>
      <c r="H1489" t="s"/>
      <c r="I1489" t="s"/>
      <c r="J1489" t="n">
        <v>0</v>
      </c>
      <c r="K1489" t="n">
        <v>0</v>
      </c>
      <c r="L1489" t="n">
        <v>1</v>
      </c>
      <c r="M1489" t="n">
        <v>0</v>
      </c>
    </row>
    <row r="1490" spans="1:13">
      <c r="A1490" s="1">
        <f>HYPERLINK("http://www.twitter.com/NathanBLawrence/status/987301141267574784", "987301141267574784")</f>
        <v/>
      </c>
      <c r="B1490" s="2" t="n">
        <v>43210.50357638889</v>
      </c>
      <c r="C1490" t="n">
        <v>2</v>
      </c>
      <c r="D1490" t="n">
        <v>1</v>
      </c>
      <c r="E1490" t="s">
        <v>1501</v>
      </c>
      <c r="F1490" t="s"/>
      <c r="G1490" t="s"/>
      <c r="H1490" t="s"/>
      <c r="I1490" t="s"/>
      <c r="J1490" t="n">
        <v>0.3612</v>
      </c>
      <c r="K1490" t="n">
        <v>0</v>
      </c>
      <c r="L1490" t="n">
        <v>0.878</v>
      </c>
      <c r="M1490" t="n">
        <v>0.122</v>
      </c>
    </row>
    <row r="1491" spans="1:13">
      <c r="A1491" s="1">
        <f>HYPERLINK("http://www.twitter.com/NathanBLawrence/status/987300266985820160", "987300266985820160")</f>
        <v/>
      </c>
      <c r="B1491" s="2" t="n">
        <v>43210.50116898148</v>
      </c>
      <c r="C1491" t="n">
        <v>1</v>
      </c>
      <c r="D1491" t="n">
        <v>1</v>
      </c>
      <c r="E1491" t="s">
        <v>1502</v>
      </c>
      <c r="F1491" t="s"/>
      <c r="G1491" t="s"/>
      <c r="H1491" t="s"/>
      <c r="I1491" t="s"/>
      <c r="J1491" t="n">
        <v>0</v>
      </c>
      <c r="K1491" t="n">
        <v>0</v>
      </c>
      <c r="L1491" t="n">
        <v>1</v>
      </c>
      <c r="M1491" t="n">
        <v>0</v>
      </c>
    </row>
    <row r="1492" spans="1:13">
      <c r="A1492" s="1">
        <f>HYPERLINK("http://www.twitter.com/NathanBLawrence/status/987299182699532288", "987299182699532288")</f>
        <v/>
      </c>
      <c r="B1492" s="2" t="n">
        <v>43210.4981712963</v>
      </c>
      <c r="C1492" t="n">
        <v>6</v>
      </c>
      <c r="D1492" t="n">
        <v>2</v>
      </c>
      <c r="E1492" t="s">
        <v>1503</v>
      </c>
      <c r="F1492" t="s"/>
      <c r="G1492" t="s"/>
      <c r="H1492" t="s"/>
      <c r="I1492" t="s"/>
      <c r="J1492" t="n">
        <v>0</v>
      </c>
      <c r="K1492" t="n">
        <v>0</v>
      </c>
      <c r="L1492" t="n">
        <v>1</v>
      </c>
      <c r="M1492" t="n">
        <v>0</v>
      </c>
    </row>
    <row r="1493" spans="1:13">
      <c r="A1493" s="1">
        <f>HYPERLINK("http://www.twitter.com/NathanBLawrence/status/987295933573533696", "987295933573533696")</f>
        <v/>
      </c>
      <c r="B1493" s="2" t="n">
        <v>43210.48921296297</v>
      </c>
      <c r="C1493" t="n">
        <v>0</v>
      </c>
      <c r="D1493" t="n">
        <v>4</v>
      </c>
      <c r="E1493" t="s">
        <v>1504</v>
      </c>
      <c r="F1493" t="s"/>
      <c r="G1493" t="s"/>
      <c r="H1493" t="s"/>
      <c r="I1493" t="s"/>
      <c r="J1493" t="n">
        <v>0.4404</v>
      </c>
      <c r="K1493" t="n">
        <v>0</v>
      </c>
      <c r="L1493" t="n">
        <v>0.837</v>
      </c>
      <c r="M1493" t="n">
        <v>0.163</v>
      </c>
    </row>
    <row r="1494" spans="1:13">
      <c r="A1494" s="1">
        <f>HYPERLINK("http://www.twitter.com/NathanBLawrence/status/987295806146404353", "987295806146404353")</f>
        <v/>
      </c>
      <c r="B1494" s="2" t="n">
        <v>43210.48885416667</v>
      </c>
      <c r="C1494" t="n">
        <v>1</v>
      </c>
      <c r="D1494" t="n">
        <v>0</v>
      </c>
      <c r="E1494" t="s">
        <v>1505</v>
      </c>
      <c r="F1494" t="s"/>
      <c r="G1494" t="s"/>
      <c r="H1494" t="s"/>
      <c r="I1494" t="s"/>
      <c r="J1494" t="n">
        <v>0</v>
      </c>
      <c r="K1494" t="n">
        <v>0</v>
      </c>
      <c r="L1494" t="n">
        <v>1</v>
      </c>
      <c r="M1494" t="n">
        <v>0</v>
      </c>
    </row>
    <row r="1495" spans="1:13">
      <c r="A1495" s="1">
        <f>HYPERLINK("http://www.twitter.com/NathanBLawrence/status/987173287905103872", "987173287905103872")</f>
        <v/>
      </c>
      <c r="B1495" s="2" t="n">
        <v>43210.15077546296</v>
      </c>
      <c r="C1495" t="n">
        <v>2</v>
      </c>
      <c r="D1495" t="n">
        <v>0</v>
      </c>
      <c r="E1495" t="s">
        <v>1506</v>
      </c>
      <c r="F1495" t="s"/>
      <c r="G1495" t="s"/>
      <c r="H1495" t="s"/>
      <c r="I1495" t="s"/>
      <c r="J1495" t="n">
        <v>0.5994</v>
      </c>
      <c r="K1495" t="n">
        <v>0</v>
      </c>
      <c r="L1495" t="n">
        <v>0.29</v>
      </c>
      <c r="M1495" t="n">
        <v>0.71</v>
      </c>
    </row>
    <row r="1496" spans="1:13">
      <c r="A1496" s="1">
        <f>HYPERLINK("http://www.twitter.com/NathanBLawrence/status/987172332002213888", "987172332002213888")</f>
        <v/>
      </c>
      <c r="B1496" s="2" t="n">
        <v>43210.14813657408</v>
      </c>
      <c r="C1496" t="n">
        <v>0</v>
      </c>
      <c r="D1496" t="n">
        <v>0</v>
      </c>
      <c r="E1496" t="s">
        <v>1507</v>
      </c>
      <c r="F1496" t="s"/>
      <c r="G1496" t="s"/>
      <c r="H1496" t="s"/>
      <c r="I1496" t="s"/>
      <c r="J1496" t="n">
        <v>0</v>
      </c>
      <c r="K1496" t="n">
        <v>0</v>
      </c>
      <c r="L1496" t="n">
        <v>1</v>
      </c>
      <c r="M1496" t="n">
        <v>0</v>
      </c>
    </row>
    <row r="1497" spans="1:13">
      <c r="A1497" s="1">
        <f>HYPERLINK("http://www.twitter.com/NathanBLawrence/status/987171690194128897", "987171690194128897")</f>
        <v/>
      </c>
      <c r="B1497" s="2" t="n">
        <v>43210.14636574074</v>
      </c>
      <c r="C1497" t="n">
        <v>8</v>
      </c>
      <c r="D1497" t="n">
        <v>1</v>
      </c>
      <c r="E1497" t="s">
        <v>1508</v>
      </c>
      <c r="F1497" t="s"/>
      <c r="G1497" t="s"/>
      <c r="H1497" t="s"/>
      <c r="I1497" t="s"/>
      <c r="J1497" t="n">
        <v>-0.9117</v>
      </c>
      <c r="K1497" t="n">
        <v>0.243</v>
      </c>
      <c r="L1497" t="n">
        <v>0.71</v>
      </c>
      <c r="M1497" t="n">
        <v>0.047</v>
      </c>
    </row>
    <row r="1498" spans="1:13">
      <c r="A1498" s="1">
        <f>HYPERLINK("http://www.twitter.com/NathanBLawrence/status/987138800441839616", "987138800441839616")</f>
        <v/>
      </c>
      <c r="B1498" s="2" t="n">
        <v>43210.05560185185</v>
      </c>
      <c r="C1498" t="n">
        <v>1</v>
      </c>
      <c r="D1498" t="n">
        <v>0</v>
      </c>
      <c r="E1498" t="s">
        <v>1509</v>
      </c>
      <c r="F1498" t="s"/>
      <c r="G1498" t="s"/>
      <c r="H1498" t="s"/>
      <c r="I1498" t="s"/>
      <c r="J1498" t="n">
        <v>0.4404</v>
      </c>
      <c r="K1498" t="n">
        <v>0</v>
      </c>
      <c r="L1498" t="n">
        <v>0.828</v>
      </c>
      <c r="M1498" t="n">
        <v>0.172</v>
      </c>
    </row>
    <row r="1499" spans="1:13">
      <c r="A1499" s="1">
        <f>HYPERLINK("http://www.twitter.com/NathanBLawrence/status/987136388041764864", "987136388041764864")</f>
        <v/>
      </c>
      <c r="B1499" s="2" t="n">
        <v>43210.04894675926</v>
      </c>
      <c r="C1499" t="n">
        <v>2</v>
      </c>
      <c r="D1499" t="n">
        <v>2</v>
      </c>
      <c r="E1499" t="s">
        <v>1510</v>
      </c>
      <c r="F1499" t="s"/>
      <c r="G1499" t="s"/>
      <c r="H1499" t="s"/>
      <c r="I1499" t="s"/>
      <c r="J1499" t="n">
        <v>0.7783</v>
      </c>
      <c r="K1499" t="n">
        <v>0</v>
      </c>
      <c r="L1499" t="n">
        <v>0.726</v>
      </c>
      <c r="M1499" t="n">
        <v>0.274</v>
      </c>
    </row>
    <row r="1500" spans="1:13">
      <c r="A1500" s="1">
        <f>HYPERLINK("http://www.twitter.com/NathanBLawrence/status/987134971134533632", "987134971134533632")</f>
        <v/>
      </c>
      <c r="B1500" s="2" t="n">
        <v>43210.04503472222</v>
      </c>
      <c r="C1500" t="n">
        <v>3</v>
      </c>
      <c r="D1500" t="n">
        <v>3</v>
      </c>
      <c r="E1500" t="s">
        <v>1511</v>
      </c>
      <c r="F1500" t="s"/>
      <c r="G1500" t="s"/>
      <c r="H1500" t="s"/>
      <c r="I1500" t="s"/>
      <c r="J1500" t="n">
        <v>0.7579</v>
      </c>
      <c r="K1500" t="n">
        <v>0</v>
      </c>
      <c r="L1500" t="n">
        <v>0.653</v>
      </c>
      <c r="M1500" t="n">
        <v>0.347</v>
      </c>
    </row>
    <row r="1501" spans="1:13">
      <c r="A1501" s="1">
        <f>HYPERLINK("http://www.twitter.com/NathanBLawrence/status/987086793278476289", "987086793278476289")</f>
        <v/>
      </c>
      <c r="B1501" s="2" t="n">
        <v>43209.91209490741</v>
      </c>
      <c r="C1501" t="n">
        <v>2</v>
      </c>
      <c r="D1501" t="n">
        <v>1</v>
      </c>
      <c r="E1501" t="s">
        <v>1512</v>
      </c>
      <c r="F1501" t="s"/>
      <c r="G1501" t="s"/>
      <c r="H1501" t="s"/>
      <c r="I1501" t="s"/>
      <c r="J1501" t="n">
        <v>0.4753</v>
      </c>
      <c r="K1501" t="n">
        <v>0</v>
      </c>
      <c r="L1501" t="n">
        <v>0.868</v>
      </c>
      <c r="M1501" t="n">
        <v>0.132</v>
      </c>
    </row>
    <row r="1502" spans="1:13">
      <c r="A1502" s="1">
        <f>HYPERLINK("http://www.twitter.com/NathanBLawrence/status/987056834765869056", "987056834765869056")</f>
        <v/>
      </c>
      <c r="B1502" s="2" t="n">
        <v>43209.82942129629</v>
      </c>
      <c r="C1502" t="n">
        <v>0</v>
      </c>
      <c r="D1502" t="n">
        <v>0</v>
      </c>
      <c r="E1502" t="s">
        <v>1513</v>
      </c>
      <c r="F1502" t="s"/>
      <c r="G1502" t="s"/>
      <c r="H1502" t="s"/>
      <c r="I1502" t="s"/>
      <c r="J1502" t="n">
        <v>0</v>
      </c>
      <c r="K1502" t="n">
        <v>0</v>
      </c>
      <c r="L1502" t="n">
        <v>1</v>
      </c>
      <c r="M1502" t="n">
        <v>0</v>
      </c>
    </row>
    <row r="1503" spans="1:13">
      <c r="A1503" s="1">
        <f>HYPERLINK("http://www.twitter.com/NathanBLawrence/status/987055678161289216", "987055678161289216")</f>
        <v/>
      </c>
      <c r="B1503" s="2" t="n">
        <v>43209.82622685185</v>
      </c>
      <c r="C1503" t="n">
        <v>2</v>
      </c>
      <c r="D1503" t="n">
        <v>1</v>
      </c>
      <c r="E1503" t="s">
        <v>1514</v>
      </c>
      <c r="F1503" t="s"/>
      <c r="G1503" t="s"/>
      <c r="H1503" t="s"/>
      <c r="I1503" t="s"/>
      <c r="J1503" t="n">
        <v>0.1511</v>
      </c>
      <c r="K1503" t="n">
        <v>0.128</v>
      </c>
      <c r="L1503" t="n">
        <v>0.79</v>
      </c>
      <c r="M1503" t="n">
        <v>0.082</v>
      </c>
    </row>
    <row r="1504" spans="1:13">
      <c r="A1504" s="1">
        <f>HYPERLINK("http://www.twitter.com/NathanBLawrence/status/987044882152873985", "987044882152873985")</f>
        <v/>
      </c>
      <c r="B1504" s="2" t="n">
        <v>43209.79643518518</v>
      </c>
      <c r="C1504" t="n">
        <v>1</v>
      </c>
      <c r="D1504" t="n">
        <v>0</v>
      </c>
      <c r="E1504" t="s">
        <v>1515</v>
      </c>
      <c r="F1504" t="s"/>
      <c r="G1504" t="s"/>
      <c r="H1504" t="s"/>
      <c r="I1504" t="s"/>
      <c r="J1504" t="n">
        <v>-0.2732</v>
      </c>
      <c r="K1504" t="n">
        <v>0.077</v>
      </c>
      <c r="L1504" t="n">
        <v>0.923</v>
      </c>
      <c r="M1504" t="n">
        <v>0</v>
      </c>
    </row>
    <row r="1505" spans="1:13">
      <c r="A1505" s="1">
        <f>HYPERLINK("http://www.twitter.com/NathanBLawrence/status/987043515371868160", "987043515371868160")</f>
        <v/>
      </c>
      <c r="B1505" s="2" t="n">
        <v>43209.79267361111</v>
      </c>
      <c r="C1505" t="n">
        <v>2</v>
      </c>
      <c r="D1505" t="n">
        <v>1</v>
      </c>
      <c r="E1505" t="s">
        <v>1516</v>
      </c>
      <c r="F1505" t="s"/>
      <c r="G1505" t="s"/>
      <c r="H1505" t="s"/>
      <c r="I1505" t="s"/>
      <c r="J1505" t="n">
        <v>0.6369</v>
      </c>
      <c r="K1505" t="n">
        <v>0</v>
      </c>
      <c r="L1505" t="n">
        <v>0.828</v>
      </c>
      <c r="M1505" t="n">
        <v>0.172</v>
      </c>
    </row>
    <row r="1506" spans="1:13">
      <c r="A1506" s="1">
        <f>HYPERLINK("http://www.twitter.com/NathanBLawrence/status/987031217328541696", "987031217328541696")</f>
        <v/>
      </c>
      <c r="B1506" s="2" t="n">
        <v>43209.75873842592</v>
      </c>
      <c r="C1506" t="n">
        <v>3</v>
      </c>
      <c r="D1506" t="n">
        <v>2</v>
      </c>
      <c r="E1506" t="s">
        <v>1517</v>
      </c>
      <c r="F1506" t="s"/>
      <c r="G1506" t="s"/>
      <c r="H1506" t="s"/>
      <c r="I1506" t="s"/>
      <c r="J1506" t="n">
        <v>0</v>
      </c>
      <c r="K1506" t="n">
        <v>0</v>
      </c>
      <c r="L1506" t="n">
        <v>1</v>
      </c>
      <c r="M1506" t="n">
        <v>0</v>
      </c>
    </row>
    <row r="1507" spans="1:13">
      <c r="A1507" s="1">
        <f>HYPERLINK("http://www.twitter.com/NathanBLawrence/status/987031023392313345", "987031023392313345")</f>
        <v/>
      </c>
      <c r="B1507" s="2" t="n">
        <v>43209.75819444445</v>
      </c>
      <c r="C1507" t="n">
        <v>0</v>
      </c>
      <c r="D1507" t="n">
        <v>0</v>
      </c>
      <c r="E1507" t="s">
        <v>1518</v>
      </c>
      <c r="F1507" t="s"/>
      <c r="G1507" t="s"/>
      <c r="H1507" t="s"/>
      <c r="I1507" t="s"/>
      <c r="J1507" t="n">
        <v>0.7818000000000001</v>
      </c>
      <c r="K1507" t="n">
        <v>0</v>
      </c>
      <c r="L1507" t="n">
        <v>0.304</v>
      </c>
      <c r="M1507" t="n">
        <v>0.696</v>
      </c>
    </row>
    <row r="1508" spans="1:13">
      <c r="A1508" s="1">
        <f>HYPERLINK("http://www.twitter.com/NathanBLawrence/status/987030310989783041", "987030310989783041")</f>
        <v/>
      </c>
      <c r="B1508" s="2" t="n">
        <v>43209.75622685185</v>
      </c>
      <c r="C1508" t="n">
        <v>1</v>
      </c>
      <c r="D1508" t="n">
        <v>0</v>
      </c>
      <c r="E1508" t="s">
        <v>1519</v>
      </c>
      <c r="F1508" t="s"/>
      <c r="G1508" t="s"/>
      <c r="H1508" t="s"/>
      <c r="I1508" t="s"/>
      <c r="J1508" t="n">
        <v>0.9041</v>
      </c>
      <c r="K1508" t="n">
        <v>0.049</v>
      </c>
      <c r="L1508" t="n">
        <v>0.523</v>
      </c>
      <c r="M1508" t="n">
        <v>0.429</v>
      </c>
    </row>
    <row r="1509" spans="1:13">
      <c r="A1509" s="1">
        <f>HYPERLINK("http://www.twitter.com/NathanBLawrence/status/987023940735393793", "987023940735393793")</f>
        <v/>
      </c>
      <c r="B1509" s="2" t="n">
        <v>43209.7386574074</v>
      </c>
      <c r="C1509" t="n">
        <v>0</v>
      </c>
      <c r="D1509" t="n">
        <v>0</v>
      </c>
      <c r="E1509" t="s">
        <v>1520</v>
      </c>
      <c r="F1509" t="s"/>
      <c r="G1509" t="s"/>
      <c r="H1509" t="s"/>
      <c r="I1509" t="s"/>
      <c r="J1509" t="n">
        <v>0.4019</v>
      </c>
      <c r="K1509" t="n">
        <v>0</v>
      </c>
      <c r="L1509" t="n">
        <v>0.748</v>
      </c>
      <c r="M1509" t="n">
        <v>0.252</v>
      </c>
    </row>
    <row r="1510" spans="1:13">
      <c r="A1510" s="1">
        <f>HYPERLINK("http://www.twitter.com/NathanBLawrence/status/987023434742976513", "987023434742976513")</f>
        <v/>
      </c>
      <c r="B1510" s="2" t="n">
        <v>43209.73725694444</v>
      </c>
      <c r="C1510" t="n">
        <v>7</v>
      </c>
      <c r="D1510" t="n">
        <v>4</v>
      </c>
      <c r="E1510" t="s">
        <v>1521</v>
      </c>
      <c r="F1510" t="s"/>
      <c r="G1510" t="s"/>
      <c r="H1510" t="s"/>
      <c r="I1510" t="s"/>
      <c r="J1510" t="n">
        <v>0</v>
      </c>
      <c r="K1510" t="n">
        <v>0</v>
      </c>
      <c r="L1510" t="n">
        <v>1</v>
      </c>
      <c r="M1510" t="n">
        <v>0</v>
      </c>
    </row>
    <row r="1511" spans="1:13">
      <c r="A1511" s="1">
        <f>HYPERLINK("http://www.twitter.com/NathanBLawrence/status/987021386358185984", "987021386358185984")</f>
        <v/>
      </c>
      <c r="B1511" s="2" t="n">
        <v>43209.7316087963</v>
      </c>
      <c r="C1511" t="n">
        <v>3</v>
      </c>
      <c r="D1511" t="n">
        <v>0</v>
      </c>
      <c r="E1511" t="s">
        <v>1522</v>
      </c>
      <c r="F1511" t="s"/>
      <c r="G1511" t="s"/>
      <c r="H1511" t="s"/>
      <c r="I1511" t="s"/>
      <c r="J1511" t="n">
        <v>0</v>
      </c>
      <c r="K1511" t="n">
        <v>0</v>
      </c>
      <c r="L1511" t="n">
        <v>1</v>
      </c>
      <c r="M1511" t="n">
        <v>0</v>
      </c>
    </row>
    <row r="1512" spans="1:13">
      <c r="A1512" s="1">
        <f>HYPERLINK("http://www.twitter.com/NathanBLawrence/status/987020758009483264", "987020758009483264")</f>
        <v/>
      </c>
      <c r="B1512" s="2" t="n">
        <v>43209.72987268519</v>
      </c>
      <c r="C1512" t="n">
        <v>0</v>
      </c>
      <c r="D1512" t="n">
        <v>0</v>
      </c>
      <c r="E1512" t="s">
        <v>1523</v>
      </c>
      <c r="F1512" t="s"/>
      <c r="G1512" t="s"/>
      <c r="H1512" t="s"/>
      <c r="I1512" t="s"/>
      <c r="J1512" t="n">
        <v>0.6369</v>
      </c>
      <c r="K1512" t="n">
        <v>0</v>
      </c>
      <c r="L1512" t="n">
        <v>0.656</v>
      </c>
      <c r="M1512" t="n">
        <v>0.344</v>
      </c>
    </row>
    <row r="1513" spans="1:13">
      <c r="A1513" s="1">
        <f>HYPERLINK("http://www.twitter.com/NathanBLawrence/status/987020612177661955", "987020612177661955")</f>
        <v/>
      </c>
      <c r="B1513" s="2" t="n">
        <v>43209.7294675926</v>
      </c>
      <c r="C1513" t="n">
        <v>0</v>
      </c>
      <c r="D1513" t="n">
        <v>0</v>
      </c>
      <c r="E1513" t="s">
        <v>1524</v>
      </c>
      <c r="F1513" t="s"/>
      <c r="G1513" t="s"/>
      <c r="H1513" t="s"/>
      <c r="I1513" t="s"/>
      <c r="J1513" t="n">
        <v>0.3182</v>
      </c>
      <c r="K1513" t="n">
        <v>0</v>
      </c>
      <c r="L1513" t="n">
        <v>0.635</v>
      </c>
      <c r="M1513" t="n">
        <v>0.365</v>
      </c>
    </row>
    <row r="1514" spans="1:13">
      <c r="A1514" s="1">
        <f>HYPERLINK("http://www.twitter.com/NathanBLawrence/status/987020361500946433", "987020361500946433")</f>
        <v/>
      </c>
      <c r="B1514" s="2" t="n">
        <v>43209.72877314815</v>
      </c>
      <c r="C1514" t="n">
        <v>2</v>
      </c>
      <c r="D1514" t="n">
        <v>0</v>
      </c>
      <c r="E1514" t="s">
        <v>1525</v>
      </c>
      <c r="F1514" t="s"/>
      <c r="G1514" t="s"/>
      <c r="H1514" t="s"/>
      <c r="I1514" t="s"/>
      <c r="J1514" t="n">
        <v>0</v>
      </c>
      <c r="K1514" t="n">
        <v>0</v>
      </c>
      <c r="L1514" t="n">
        <v>1</v>
      </c>
      <c r="M1514" t="n">
        <v>0</v>
      </c>
    </row>
    <row r="1515" spans="1:13">
      <c r="A1515" s="1">
        <f>HYPERLINK("http://www.twitter.com/NathanBLawrence/status/987019653158522880", "987019653158522880")</f>
        <v/>
      </c>
      <c r="B1515" s="2" t="n">
        <v>43209.72681712963</v>
      </c>
      <c r="C1515" t="n">
        <v>0</v>
      </c>
      <c r="D1515" t="n">
        <v>0</v>
      </c>
      <c r="E1515" t="s">
        <v>1526</v>
      </c>
      <c r="F1515" t="s"/>
      <c r="G1515" t="s"/>
      <c r="H1515" t="s"/>
      <c r="I1515" t="s"/>
      <c r="J1515" t="n">
        <v>0.8804999999999999</v>
      </c>
      <c r="K1515" t="n">
        <v>0</v>
      </c>
      <c r="L1515" t="n">
        <v>0.8169999999999999</v>
      </c>
      <c r="M1515" t="n">
        <v>0.183</v>
      </c>
    </row>
    <row r="1516" spans="1:13">
      <c r="A1516" s="1">
        <f>HYPERLINK("http://www.twitter.com/NathanBLawrence/status/986986042178834432", "986986042178834432")</f>
        <v/>
      </c>
      <c r="B1516" s="2" t="n">
        <v>43209.63407407407</v>
      </c>
      <c r="C1516" t="n">
        <v>0</v>
      </c>
      <c r="D1516" t="n">
        <v>0</v>
      </c>
      <c r="E1516" t="s">
        <v>1527</v>
      </c>
      <c r="F1516" t="s"/>
      <c r="G1516" t="s"/>
      <c r="H1516" t="s"/>
      <c r="I1516" t="s"/>
      <c r="J1516" t="n">
        <v>0</v>
      </c>
      <c r="K1516" t="n">
        <v>0</v>
      </c>
      <c r="L1516" t="n">
        <v>1</v>
      </c>
      <c r="M1516" t="n">
        <v>0</v>
      </c>
    </row>
    <row r="1517" spans="1:13">
      <c r="A1517" s="1">
        <f>HYPERLINK("http://www.twitter.com/NathanBLawrence/status/986982338054754305", "986982338054754305")</f>
        <v/>
      </c>
      <c r="B1517" s="2" t="n">
        <v>43209.62385416667</v>
      </c>
      <c r="C1517" t="n">
        <v>0</v>
      </c>
      <c r="D1517" t="n">
        <v>0</v>
      </c>
      <c r="E1517" t="s">
        <v>1528</v>
      </c>
      <c r="F1517" t="s"/>
      <c r="G1517" t="s"/>
      <c r="H1517" t="s"/>
      <c r="I1517" t="s"/>
      <c r="J1517" t="n">
        <v>0.3182</v>
      </c>
      <c r="K1517" t="n">
        <v>0</v>
      </c>
      <c r="L1517" t="n">
        <v>0.753</v>
      </c>
      <c r="M1517" t="n">
        <v>0.247</v>
      </c>
    </row>
    <row r="1518" spans="1:13">
      <c r="A1518" s="1">
        <f>HYPERLINK("http://www.twitter.com/NathanBLawrence/status/986981954712231937", "986981954712231937")</f>
        <v/>
      </c>
      <c r="B1518" s="2" t="n">
        <v>43209.62278935185</v>
      </c>
      <c r="C1518" t="n">
        <v>0</v>
      </c>
      <c r="D1518" t="n">
        <v>0</v>
      </c>
      <c r="E1518" t="s">
        <v>1529</v>
      </c>
      <c r="F1518" t="s"/>
      <c r="G1518" t="s"/>
      <c r="H1518" t="s"/>
      <c r="I1518" t="s"/>
      <c r="J1518" t="n">
        <v>0</v>
      </c>
      <c r="K1518" t="n">
        <v>0</v>
      </c>
      <c r="L1518" t="n">
        <v>1</v>
      </c>
      <c r="M1518" t="n">
        <v>0</v>
      </c>
    </row>
    <row r="1519" spans="1:13">
      <c r="A1519" s="1">
        <f>HYPERLINK("http://www.twitter.com/NathanBLawrence/status/986981363575349248", "986981363575349248")</f>
        <v/>
      </c>
      <c r="B1519" s="2" t="n">
        <v>43209.6211574074</v>
      </c>
      <c r="C1519" t="n">
        <v>0</v>
      </c>
      <c r="D1519" t="n">
        <v>0</v>
      </c>
      <c r="E1519" t="s">
        <v>1530</v>
      </c>
      <c r="F1519" t="s"/>
      <c r="G1519" t="s"/>
      <c r="H1519" t="s"/>
      <c r="I1519" t="s"/>
      <c r="J1519" t="n">
        <v>0.4588</v>
      </c>
      <c r="K1519" t="n">
        <v>0</v>
      </c>
      <c r="L1519" t="n">
        <v>0.667</v>
      </c>
      <c r="M1519" t="n">
        <v>0.333</v>
      </c>
    </row>
    <row r="1520" spans="1:13">
      <c r="A1520" s="1">
        <f>HYPERLINK("http://www.twitter.com/NathanBLawrence/status/986980948376944640", "986980948376944640")</f>
        <v/>
      </c>
      <c r="B1520" s="2" t="n">
        <v>43209.62001157407</v>
      </c>
      <c r="C1520" t="n">
        <v>1</v>
      </c>
      <c r="D1520" t="n">
        <v>1</v>
      </c>
      <c r="E1520" t="s">
        <v>1531</v>
      </c>
      <c r="F1520" t="s"/>
      <c r="G1520" t="s"/>
      <c r="H1520" t="s"/>
      <c r="I1520" t="s"/>
      <c r="J1520" t="n">
        <v>0</v>
      </c>
      <c r="K1520" t="n">
        <v>0</v>
      </c>
      <c r="L1520" t="n">
        <v>1</v>
      </c>
      <c r="M1520" t="n">
        <v>0</v>
      </c>
    </row>
    <row r="1521" spans="1:13">
      <c r="A1521" s="1">
        <f>HYPERLINK("http://www.twitter.com/NathanBLawrence/status/986980645447634945", "986980645447634945")</f>
        <v/>
      </c>
      <c r="B1521" s="2" t="n">
        <v>43209.61917824074</v>
      </c>
      <c r="C1521" t="n">
        <v>4</v>
      </c>
      <c r="D1521" t="n">
        <v>1</v>
      </c>
      <c r="E1521" t="s">
        <v>1532</v>
      </c>
      <c r="F1521" t="s"/>
      <c r="G1521" t="s"/>
      <c r="H1521" t="s"/>
      <c r="I1521" t="s"/>
      <c r="J1521" t="n">
        <v>0.658</v>
      </c>
      <c r="K1521" t="n">
        <v>0</v>
      </c>
      <c r="L1521" t="n">
        <v>0.903</v>
      </c>
      <c r="M1521" t="n">
        <v>0.097</v>
      </c>
    </row>
    <row r="1522" spans="1:13">
      <c r="A1522" s="1">
        <f>HYPERLINK("http://www.twitter.com/NathanBLawrence/status/986965323667640320", "986965323667640320")</f>
        <v/>
      </c>
      <c r="B1522" s="2" t="n">
        <v>43209.57689814815</v>
      </c>
      <c r="C1522" t="n">
        <v>0</v>
      </c>
      <c r="D1522" t="n">
        <v>0</v>
      </c>
      <c r="E1522" t="s">
        <v>1533</v>
      </c>
      <c r="F1522" t="s"/>
      <c r="G1522" t="s"/>
      <c r="H1522" t="s"/>
      <c r="I1522" t="s"/>
      <c r="J1522" t="n">
        <v>-0.765</v>
      </c>
      <c r="K1522" t="n">
        <v>0.202</v>
      </c>
      <c r="L1522" t="n">
        <v>0.798</v>
      </c>
      <c r="M1522" t="n">
        <v>0</v>
      </c>
    </row>
    <row r="1523" spans="1:13">
      <c r="A1523" s="1">
        <f>HYPERLINK("http://www.twitter.com/NathanBLawrence/status/986964399427674112", "986964399427674112")</f>
        <v/>
      </c>
      <c r="B1523" s="2" t="n">
        <v>43209.57435185185</v>
      </c>
      <c r="C1523" t="n">
        <v>3</v>
      </c>
      <c r="D1523" t="n">
        <v>0</v>
      </c>
      <c r="E1523" t="s">
        <v>1534</v>
      </c>
      <c r="F1523" t="s"/>
      <c r="G1523" t="s"/>
      <c r="H1523" t="s"/>
      <c r="I1523" t="s"/>
      <c r="J1523" t="n">
        <v>0.5473</v>
      </c>
      <c r="K1523" t="n">
        <v>0</v>
      </c>
      <c r="L1523" t="n">
        <v>0.629</v>
      </c>
      <c r="M1523" t="n">
        <v>0.371</v>
      </c>
    </row>
    <row r="1524" spans="1:13">
      <c r="A1524" s="1">
        <f>HYPERLINK("http://www.twitter.com/NathanBLawrence/status/986963998498279425", "986963998498279425")</f>
        <v/>
      </c>
      <c r="B1524" s="2" t="n">
        <v>43209.57324074074</v>
      </c>
      <c r="C1524" t="n">
        <v>3</v>
      </c>
      <c r="D1524" t="n">
        <v>0</v>
      </c>
      <c r="E1524" t="s">
        <v>1535</v>
      </c>
      <c r="F1524" t="s"/>
      <c r="G1524" t="s"/>
      <c r="H1524" t="s"/>
      <c r="I1524" t="s"/>
      <c r="J1524" t="n">
        <v>0.6705</v>
      </c>
      <c r="K1524" t="n">
        <v>0</v>
      </c>
      <c r="L1524" t="n">
        <v>0.6860000000000001</v>
      </c>
      <c r="M1524" t="n">
        <v>0.314</v>
      </c>
    </row>
    <row r="1525" spans="1:13">
      <c r="A1525" s="1">
        <f>HYPERLINK("http://www.twitter.com/NathanBLawrence/status/986963564077477889", "986963564077477889")</f>
        <v/>
      </c>
      <c r="B1525" s="2" t="n">
        <v>43209.57204861111</v>
      </c>
      <c r="C1525" t="n">
        <v>4</v>
      </c>
      <c r="D1525" t="n">
        <v>0</v>
      </c>
      <c r="E1525" t="s">
        <v>1536</v>
      </c>
      <c r="F1525" t="s"/>
      <c r="G1525" t="s"/>
      <c r="H1525" t="s"/>
      <c r="I1525" t="s"/>
      <c r="J1525" t="n">
        <v>0.1779</v>
      </c>
      <c r="K1525" t="n">
        <v>0.168</v>
      </c>
      <c r="L1525" t="n">
        <v>0.611</v>
      </c>
      <c r="M1525" t="n">
        <v>0.221</v>
      </c>
    </row>
    <row r="1526" spans="1:13">
      <c r="A1526" s="1">
        <f>HYPERLINK("http://www.twitter.com/NathanBLawrence/status/986963036626923521", "986963036626923521")</f>
        <v/>
      </c>
      <c r="B1526" s="2" t="n">
        <v>43209.57059027778</v>
      </c>
      <c r="C1526" t="n">
        <v>3</v>
      </c>
      <c r="D1526" t="n">
        <v>0</v>
      </c>
      <c r="E1526" t="s">
        <v>1537</v>
      </c>
      <c r="F1526" t="s"/>
      <c r="G1526" t="s"/>
      <c r="H1526" t="s"/>
      <c r="I1526" t="s"/>
      <c r="J1526" t="n">
        <v>0.4215</v>
      </c>
      <c r="K1526" t="n">
        <v>0</v>
      </c>
      <c r="L1526" t="n">
        <v>0.872</v>
      </c>
      <c r="M1526" t="n">
        <v>0.128</v>
      </c>
    </row>
    <row r="1527" spans="1:13">
      <c r="A1527" s="1">
        <f>HYPERLINK("http://www.twitter.com/NathanBLawrence/status/986960426616401920", "986960426616401920")</f>
        <v/>
      </c>
      <c r="B1527" s="2" t="n">
        <v>43209.5633912037</v>
      </c>
      <c r="C1527" t="n">
        <v>0</v>
      </c>
      <c r="D1527" t="n">
        <v>2949</v>
      </c>
      <c r="E1527" t="s">
        <v>1538</v>
      </c>
      <c r="F1527">
        <f>HYPERLINK("http://pbs.twimg.com/media/DbFQX8BUwAEu_CE.jpg", "http://pbs.twimg.com/media/DbFQX8BUwAEu_CE.jpg")</f>
        <v/>
      </c>
      <c r="G1527" t="s"/>
      <c r="H1527" t="s"/>
      <c r="I1527" t="s"/>
      <c r="J1527" t="n">
        <v>0</v>
      </c>
      <c r="K1527" t="n">
        <v>0</v>
      </c>
      <c r="L1527" t="n">
        <v>1</v>
      </c>
      <c r="M1527" t="n">
        <v>0</v>
      </c>
    </row>
    <row r="1528" spans="1:13">
      <c r="A1528" s="1">
        <f>HYPERLINK("http://www.twitter.com/NathanBLawrence/status/986958500160000000", "986958500160000000")</f>
        <v/>
      </c>
      <c r="B1528" s="2" t="n">
        <v>43209.55806712963</v>
      </c>
      <c r="C1528" t="n">
        <v>7</v>
      </c>
      <c r="D1528" t="n">
        <v>1</v>
      </c>
      <c r="E1528" t="s">
        <v>1539</v>
      </c>
      <c r="F1528" t="s"/>
      <c r="G1528" t="s"/>
      <c r="H1528" t="s"/>
      <c r="I1528" t="s"/>
      <c r="J1528" t="n">
        <v>0.9705</v>
      </c>
      <c r="K1528" t="n">
        <v>0</v>
      </c>
      <c r="L1528" t="n">
        <v>0.455</v>
      </c>
      <c r="M1528" t="n">
        <v>0.545</v>
      </c>
    </row>
    <row r="1529" spans="1:13">
      <c r="A1529" s="1">
        <f>HYPERLINK("http://www.twitter.com/NathanBLawrence/status/986956433680891905", "986956433680891905")</f>
        <v/>
      </c>
      <c r="B1529" s="2" t="n">
        <v>43209.55237268518</v>
      </c>
      <c r="C1529" t="n">
        <v>9</v>
      </c>
      <c r="D1529" t="n">
        <v>0</v>
      </c>
      <c r="E1529" t="s">
        <v>1540</v>
      </c>
      <c r="F1529" t="s"/>
      <c r="G1529" t="s"/>
      <c r="H1529" t="s"/>
      <c r="I1529" t="s"/>
      <c r="J1529" t="n">
        <v>0.6504</v>
      </c>
      <c r="K1529" t="n">
        <v>0.075</v>
      </c>
      <c r="L1529" t="n">
        <v>0.716</v>
      </c>
      <c r="M1529" t="n">
        <v>0.209</v>
      </c>
    </row>
    <row r="1530" spans="1:13">
      <c r="A1530" s="1">
        <f>HYPERLINK("http://www.twitter.com/NathanBLawrence/status/986953210261798912", "986953210261798912")</f>
        <v/>
      </c>
      <c r="B1530" s="2" t="n">
        <v>43209.54347222222</v>
      </c>
      <c r="C1530" t="n">
        <v>0</v>
      </c>
      <c r="D1530" t="n">
        <v>0</v>
      </c>
      <c r="E1530" t="s">
        <v>1541</v>
      </c>
      <c r="F1530" t="s"/>
      <c r="G1530" t="s"/>
      <c r="H1530" t="s"/>
      <c r="I1530" t="s"/>
      <c r="J1530" t="n">
        <v>0.507</v>
      </c>
      <c r="K1530" t="n">
        <v>0</v>
      </c>
      <c r="L1530" t="n">
        <v>0.799</v>
      </c>
      <c r="M1530" t="n">
        <v>0.201</v>
      </c>
    </row>
    <row r="1531" spans="1:13">
      <c r="A1531" s="1">
        <f>HYPERLINK("http://www.twitter.com/NathanBLawrence/status/986952980338536448", "986952980338536448")</f>
        <v/>
      </c>
      <c r="B1531" s="2" t="n">
        <v>43209.54283564815</v>
      </c>
      <c r="C1531" t="n">
        <v>1</v>
      </c>
      <c r="D1531" t="n">
        <v>1</v>
      </c>
      <c r="E1531" t="s">
        <v>1542</v>
      </c>
      <c r="F1531" t="s"/>
      <c r="G1531" t="s"/>
      <c r="H1531" t="s"/>
      <c r="I1531" t="s"/>
      <c r="J1531" t="n">
        <v>0</v>
      </c>
      <c r="K1531" t="n">
        <v>0</v>
      </c>
      <c r="L1531" t="n">
        <v>1</v>
      </c>
      <c r="M1531" t="n">
        <v>0</v>
      </c>
    </row>
    <row r="1532" spans="1:13">
      <c r="A1532" s="1">
        <f>HYPERLINK("http://www.twitter.com/NathanBLawrence/status/986952575735001088", "986952575735001088")</f>
        <v/>
      </c>
      <c r="B1532" s="2" t="n">
        <v>43209.54172453703</v>
      </c>
      <c r="C1532" t="n">
        <v>1</v>
      </c>
      <c r="D1532" t="n">
        <v>0</v>
      </c>
      <c r="E1532" t="s">
        <v>1543</v>
      </c>
      <c r="F1532" t="s"/>
      <c r="G1532" t="s"/>
      <c r="H1532" t="s"/>
      <c r="I1532" t="s"/>
      <c r="J1532" t="n">
        <v>0</v>
      </c>
      <c r="K1532" t="n">
        <v>0</v>
      </c>
      <c r="L1532" t="n">
        <v>1</v>
      </c>
      <c r="M1532" t="n">
        <v>0</v>
      </c>
    </row>
    <row r="1533" spans="1:13">
      <c r="A1533" s="1">
        <f>HYPERLINK("http://www.twitter.com/NathanBLawrence/status/986952394213912581", "986952394213912581")</f>
        <v/>
      </c>
      <c r="B1533" s="2" t="n">
        <v>43209.54122685185</v>
      </c>
      <c r="C1533" t="n">
        <v>2</v>
      </c>
      <c r="D1533" t="n">
        <v>0</v>
      </c>
      <c r="E1533" t="s">
        <v>1544</v>
      </c>
      <c r="F1533">
        <f>HYPERLINK("http://pbs.twimg.com/media/DbJb9i2U0AAN49E.jpg", "http://pbs.twimg.com/media/DbJb9i2U0AAN49E.jpg")</f>
        <v/>
      </c>
      <c r="G1533" t="s"/>
      <c r="H1533" t="s"/>
      <c r="I1533" t="s"/>
      <c r="J1533" t="n">
        <v>0</v>
      </c>
      <c r="K1533" t="n">
        <v>0</v>
      </c>
      <c r="L1533" t="n">
        <v>1</v>
      </c>
      <c r="M1533" t="n">
        <v>0</v>
      </c>
    </row>
    <row r="1534" spans="1:13">
      <c r="A1534" s="1">
        <f>HYPERLINK("http://www.twitter.com/NathanBLawrence/status/986950829394579456", "986950829394579456")</f>
        <v/>
      </c>
      <c r="B1534" s="2" t="n">
        <v>43209.53690972222</v>
      </c>
      <c r="C1534" t="n">
        <v>6</v>
      </c>
      <c r="D1534" t="n">
        <v>0</v>
      </c>
      <c r="E1534" t="s">
        <v>1545</v>
      </c>
      <c r="F1534" t="s"/>
      <c r="G1534" t="s"/>
      <c r="H1534" t="s"/>
      <c r="I1534" t="s"/>
      <c r="J1534" t="n">
        <v>-0.5719</v>
      </c>
      <c r="K1534" t="n">
        <v>0.108</v>
      </c>
      <c r="L1534" t="n">
        <v>0.892</v>
      </c>
      <c r="M1534" t="n">
        <v>0</v>
      </c>
    </row>
    <row r="1535" spans="1:13">
      <c r="A1535" s="1">
        <f>HYPERLINK("http://www.twitter.com/NathanBLawrence/status/986950502415060994", "986950502415060994")</f>
        <v/>
      </c>
      <c r="B1535" s="2" t="n">
        <v>43209.53600694444</v>
      </c>
      <c r="C1535" t="n">
        <v>3</v>
      </c>
      <c r="D1535" t="n">
        <v>0</v>
      </c>
      <c r="E1535" t="s">
        <v>1546</v>
      </c>
      <c r="F1535" t="s"/>
      <c r="G1535" t="s"/>
      <c r="H1535" t="s"/>
      <c r="I1535" t="s"/>
      <c r="J1535" t="n">
        <v>0.8217</v>
      </c>
      <c r="K1535" t="n">
        <v>0</v>
      </c>
      <c r="L1535" t="n">
        <v>0.592</v>
      </c>
      <c r="M1535" t="n">
        <v>0.408</v>
      </c>
    </row>
    <row r="1536" spans="1:13">
      <c r="A1536" s="1">
        <f>HYPERLINK("http://www.twitter.com/NathanBLawrence/status/986950095554924544", "986950095554924544")</f>
        <v/>
      </c>
      <c r="B1536" s="2" t="n">
        <v>43209.53488425926</v>
      </c>
      <c r="C1536" t="n">
        <v>0</v>
      </c>
      <c r="D1536" t="n">
        <v>0</v>
      </c>
      <c r="E1536" t="s">
        <v>1547</v>
      </c>
      <c r="F1536" t="s"/>
      <c r="G1536" t="s"/>
      <c r="H1536" t="s"/>
      <c r="I1536" t="s"/>
      <c r="J1536" t="n">
        <v>0.3642</v>
      </c>
      <c r="K1536" t="n">
        <v>0.178</v>
      </c>
      <c r="L1536" t="n">
        <v>0.534</v>
      </c>
      <c r="M1536" t="n">
        <v>0.288</v>
      </c>
    </row>
    <row r="1537" spans="1:13">
      <c r="A1537" s="1">
        <f>HYPERLINK("http://www.twitter.com/NathanBLawrence/status/986946672826765313", "986946672826765313")</f>
        <v/>
      </c>
      <c r="B1537" s="2" t="n">
        <v>43209.52543981482</v>
      </c>
      <c r="C1537" t="n">
        <v>2</v>
      </c>
      <c r="D1537" t="n">
        <v>0</v>
      </c>
      <c r="E1537" t="s">
        <v>1548</v>
      </c>
      <c r="F1537" t="s"/>
      <c r="G1537" t="s"/>
      <c r="H1537" t="s"/>
      <c r="I1537" t="s"/>
      <c r="J1537" t="n">
        <v>-0.1027</v>
      </c>
      <c r="K1537" t="n">
        <v>0.053</v>
      </c>
      <c r="L1537" t="n">
        <v>0.947</v>
      </c>
      <c r="M1537" t="n">
        <v>0</v>
      </c>
    </row>
    <row r="1538" spans="1:13">
      <c r="A1538" s="1">
        <f>HYPERLINK("http://www.twitter.com/NathanBLawrence/status/986942385006497794", "986942385006497794")</f>
        <v/>
      </c>
      <c r="B1538" s="2" t="n">
        <v>43209.51359953704</v>
      </c>
      <c r="C1538" t="n">
        <v>0</v>
      </c>
      <c r="D1538" t="n">
        <v>0</v>
      </c>
      <c r="E1538" t="s">
        <v>1549</v>
      </c>
      <c r="F1538" t="s"/>
      <c r="G1538" t="s"/>
      <c r="H1538" t="s"/>
      <c r="I1538" t="s"/>
      <c r="J1538" t="n">
        <v>0</v>
      </c>
      <c r="K1538" t="n">
        <v>0</v>
      </c>
      <c r="L1538" t="n">
        <v>1</v>
      </c>
      <c r="M1538" t="n">
        <v>0</v>
      </c>
    </row>
    <row r="1539" spans="1:13">
      <c r="A1539" s="1">
        <f>HYPERLINK("http://www.twitter.com/NathanBLawrence/status/986938775577210880", "986938775577210880")</f>
        <v/>
      </c>
      <c r="B1539" s="2" t="n">
        <v>43209.50364583333</v>
      </c>
      <c r="C1539" t="n">
        <v>1</v>
      </c>
      <c r="D1539" t="n">
        <v>0</v>
      </c>
      <c r="E1539" t="s">
        <v>1550</v>
      </c>
      <c r="F1539" t="s"/>
      <c r="G1539" t="s"/>
      <c r="H1539" t="s"/>
      <c r="I1539" t="s"/>
      <c r="J1539" t="n">
        <v>0</v>
      </c>
      <c r="K1539" t="n">
        <v>0</v>
      </c>
      <c r="L1539" t="n">
        <v>1</v>
      </c>
      <c r="M1539" t="n">
        <v>0</v>
      </c>
    </row>
    <row r="1540" spans="1:13">
      <c r="A1540" s="1">
        <f>HYPERLINK("http://www.twitter.com/NathanBLawrence/status/986938419317215232", "986938419317215232")</f>
        <v/>
      </c>
      <c r="B1540" s="2" t="n">
        <v>43209.50266203703</v>
      </c>
      <c r="C1540" t="n">
        <v>1</v>
      </c>
      <c r="D1540" t="n">
        <v>0</v>
      </c>
      <c r="E1540" t="s">
        <v>1551</v>
      </c>
      <c r="F1540" t="s"/>
      <c r="G1540" t="s"/>
      <c r="H1540" t="s"/>
      <c r="I1540" t="s"/>
      <c r="J1540" t="n">
        <v>-0.296</v>
      </c>
      <c r="K1540" t="n">
        <v>0.128</v>
      </c>
      <c r="L1540" t="n">
        <v>0.872</v>
      </c>
      <c r="M1540" t="n">
        <v>0</v>
      </c>
    </row>
    <row r="1541" spans="1:13">
      <c r="A1541" s="1">
        <f>HYPERLINK("http://www.twitter.com/NathanBLawrence/status/986937236808663041", "986937236808663041")</f>
        <v/>
      </c>
      <c r="B1541" s="2" t="n">
        <v>43209.49939814815</v>
      </c>
      <c r="C1541" t="n">
        <v>0</v>
      </c>
      <c r="D1541" t="n">
        <v>0</v>
      </c>
      <c r="E1541" t="s">
        <v>1552</v>
      </c>
      <c r="F1541" t="s"/>
      <c r="G1541" t="s"/>
      <c r="H1541" t="s"/>
      <c r="I1541" t="s"/>
      <c r="J1541" t="n">
        <v>-0.4926</v>
      </c>
      <c r="K1541" t="n">
        <v>0.099</v>
      </c>
      <c r="L1541" t="n">
        <v>0.901</v>
      </c>
      <c r="M1541" t="n">
        <v>0</v>
      </c>
    </row>
    <row r="1542" spans="1:13">
      <c r="A1542" s="1">
        <f>HYPERLINK("http://www.twitter.com/NathanBLawrence/status/986935395375112192", "986935395375112192")</f>
        <v/>
      </c>
      <c r="B1542" s="2" t="n">
        <v>43209.49431712963</v>
      </c>
      <c r="C1542" t="n">
        <v>1</v>
      </c>
      <c r="D1542" t="n">
        <v>1</v>
      </c>
      <c r="E1542" t="s">
        <v>1553</v>
      </c>
      <c r="F1542" t="s"/>
      <c r="G1542" t="s"/>
      <c r="H1542" t="s"/>
      <c r="I1542" t="s"/>
      <c r="J1542" t="n">
        <v>0.6767</v>
      </c>
      <c r="K1542" t="n">
        <v>0</v>
      </c>
      <c r="L1542" t="n">
        <v>0.882</v>
      </c>
      <c r="M1542" t="n">
        <v>0.118</v>
      </c>
    </row>
    <row r="1543" spans="1:13">
      <c r="A1543" s="1">
        <f>HYPERLINK("http://www.twitter.com/NathanBLawrence/status/986934603817668614", "986934603817668614")</f>
        <v/>
      </c>
      <c r="B1543" s="2" t="n">
        <v>43209.49212962963</v>
      </c>
      <c r="C1543" t="n">
        <v>1</v>
      </c>
      <c r="D1543" t="n">
        <v>0</v>
      </c>
      <c r="E1543" t="s">
        <v>1554</v>
      </c>
      <c r="F1543" t="s"/>
      <c r="G1543" t="s"/>
      <c r="H1543" t="s"/>
      <c r="I1543" t="s"/>
      <c r="J1543" t="n">
        <v>-0.6908</v>
      </c>
      <c r="K1543" t="n">
        <v>0.214</v>
      </c>
      <c r="L1543" t="n">
        <v>0.712</v>
      </c>
      <c r="M1543" t="n">
        <v>0.074</v>
      </c>
    </row>
    <row r="1544" spans="1:13">
      <c r="A1544" s="1">
        <f>HYPERLINK("http://www.twitter.com/NathanBLawrence/status/986934164225077248", "986934164225077248")</f>
        <v/>
      </c>
      <c r="B1544" s="2" t="n">
        <v>43209.49091435185</v>
      </c>
      <c r="C1544" t="n">
        <v>2</v>
      </c>
      <c r="D1544" t="n">
        <v>0</v>
      </c>
      <c r="E1544" t="s">
        <v>1555</v>
      </c>
      <c r="F1544" t="s"/>
      <c r="G1544" t="s"/>
      <c r="H1544" t="s"/>
      <c r="I1544" t="s"/>
      <c r="J1544" t="n">
        <v>0</v>
      </c>
      <c r="K1544" t="n">
        <v>0</v>
      </c>
      <c r="L1544" t="n">
        <v>1</v>
      </c>
      <c r="M1544" t="n">
        <v>0</v>
      </c>
    </row>
    <row r="1545" spans="1:13">
      <c r="A1545" s="1">
        <f>HYPERLINK("http://www.twitter.com/NathanBLawrence/status/986932676300103681", "986932676300103681")</f>
        <v/>
      </c>
      <c r="B1545" s="2" t="n">
        <v>43209.48681712963</v>
      </c>
      <c r="C1545" t="n">
        <v>0</v>
      </c>
      <c r="D1545" t="n">
        <v>0</v>
      </c>
      <c r="E1545" t="s">
        <v>1556</v>
      </c>
      <c r="F1545" t="s"/>
      <c r="G1545" t="s"/>
      <c r="H1545" t="s"/>
      <c r="I1545" t="s"/>
      <c r="J1545" t="n">
        <v>-0.4767</v>
      </c>
      <c r="K1545" t="n">
        <v>0.237</v>
      </c>
      <c r="L1545" t="n">
        <v>0.763</v>
      </c>
      <c r="M1545" t="n">
        <v>0</v>
      </c>
    </row>
    <row r="1546" spans="1:13">
      <c r="A1546" s="1">
        <f>HYPERLINK("http://www.twitter.com/NathanBLawrence/status/986931608262447105", "986931608262447105")</f>
        <v/>
      </c>
      <c r="B1546" s="2" t="n">
        <v>43209.48386574074</v>
      </c>
      <c r="C1546" t="n">
        <v>1</v>
      </c>
      <c r="D1546" t="n">
        <v>0</v>
      </c>
      <c r="E1546" t="s">
        <v>1557</v>
      </c>
      <c r="F1546" t="s"/>
      <c r="G1546" t="s"/>
      <c r="H1546" t="s"/>
      <c r="I1546" t="s"/>
      <c r="J1546" t="n">
        <v>-0.6486</v>
      </c>
      <c r="K1546" t="n">
        <v>0.431</v>
      </c>
      <c r="L1546" t="n">
        <v>0.569</v>
      </c>
      <c r="M1546" t="n">
        <v>0</v>
      </c>
    </row>
    <row r="1547" spans="1:13">
      <c r="A1547" s="1">
        <f>HYPERLINK("http://www.twitter.com/NathanBLawrence/status/986931334273753088", "986931334273753088")</f>
        <v/>
      </c>
      <c r="B1547" s="2" t="n">
        <v>43209.48311342593</v>
      </c>
      <c r="C1547" t="n">
        <v>1</v>
      </c>
      <c r="D1547" t="n">
        <v>0</v>
      </c>
      <c r="E1547" t="s">
        <v>1558</v>
      </c>
      <c r="F1547" t="s"/>
      <c r="G1547" t="s"/>
      <c r="H1547" t="s"/>
      <c r="I1547" t="s"/>
      <c r="J1547" t="n">
        <v>0.3818</v>
      </c>
      <c r="K1547" t="n">
        <v>0</v>
      </c>
      <c r="L1547" t="n">
        <v>0.755</v>
      </c>
      <c r="M1547" t="n">
        <v>0.245</v>
      </c>
    </row>
    <row r="1548" spans="1:13">
      <c r="A1548" s="1">
        <f>HYPERLINK("http://www.twitter.com/NathanBLawrence/status/986930928630026242", "986930928630026242")</f>
        <v/>
      </c>
      <c r="B1548" s="2" t="n">
        <v>43209.48199074074</v>
      </c>
      <c r="C1548" t="n">
        <v>2</v>
      </c>
      <c r="D1548" t="n">
        <v>1</v>
      </c>
      <c r="E1548" t="s">
        <v>1559</v>
      </c>
      <c r="F1548" t="s"/>
      <c r="G1548" t="s"/>
      <c r="H1548" t="s"/>
      <c r="I1548" t="s"/>
      <c r="J1548" t="n">
        <v>-0.1779</v>
      </c>
      <c r="K1548" t="n">
        <v>0.221</v>
      </c>
      <c r="L1548" t="n">
        <v>0.632</v>
      </c>
      <c r="M1548" t="n">
        <v>0.147</v>
      </c>
    </row>
    <row r="1549" spans="1:13">
      <c r="A1549" s="1">
        <f>HYPERLINK("http://www.twitter.com/NathanBLawrence/status/986930068139192320", "986930068139192320")</f>
        <v/>
      </c>
      <c r="B1549" s="2" t="n">
        <v>43209.47961805556</v>
      </c>
      <c r="C1549" t="n">
        <v>1</v>
      </c>
      <c r="D1549" t="n">
        <v>0</v>
      </c>
      <c r="E1549" t="s">
        <v>1560</v>
      </c>
      <c r="F1549" t="s"/>
      <c r="G1549" t="s"/>
      <c r="H1549" t="s"/>
      <c r="I1549" t="s"/>
      <c r="J1549" t="n">
        <v>0.3182</v>
      </c>
      <c r="K1549" t="n">
        <v>0</v>
      </c>
      <c r="L1549" t="n">
        <v>0.905</v>
      </c>
      <c r="M1549" t="n">
        <v>0.095</v>
      </c>
    </row>
    <row r="1550" spans="1:13">
      <c r="A1550" s="1">
        <f>HYPERLINK("http://www.twitter.com/NathanBLawrence/status/986929742602559490", "986929742602559490")</f>
        <v/>
      </c>
      <c r="B1550" s="2" t="n">
        <v>43209.47871527778</v>
      </c>
      <c r="C1550" t="n">
        <v>1</v>
      </c>
      <c r="D1550" t="n">
        <v>0</v>
      </c>
      <c r="E1550" t="s">
        <v>1561</v>
      </c>
      <c r="F1550" t="s"/>
      <c r="G1550" t="s"/>
      <c r="H1550" t="s"/>
      <c r="I1550" t="s"/>
      <c r="J1550" t="n">
        <v>0</v>
      </c>
      <c r="K1550" t="n">
        <v>0</v>
      </c>
      <c r="L1550" t="n">
        <v>1</v>
      </c>
      <c r="M1550" t="n">
        <v>0</v>
      </c>
    </row>
    <row r="1551" spans="1:13">
      <c r="A1551" s="1">
        <f>HYPERLINK("http://www.twitter.com/NathanBLawrence/status/986929009673031681", "986929009673031681")</f>
        <v/>
      </c>
      <c r="B1551" s="2" t="n">
        <v>43209.47668981482</v>
      </c>
      <c r="C1551" t="n">
        <v>0</v>
      </c>
      <c r="D1551" t="n">
        <v>0</v>
      </c>
      <c r="E1551" t="s">
        <v>1562</v>
      </c>
      <c r="F1551" t="s"/>
      <c r="G1551" t="s"/>
      <c r="H1551" t="s"/>
      <c r="I1551" t="s"/>
      <c r="J1551" t="n">
        <v>0.1511</v>
      </c>
      <c r="K1551" t="n">
        <v>0</v>
      </c>
      <c r="L1551" t="n">
        <v>0.653</v>
      </c>
      <c r="M1551" t="n">
        <v>0.347</v>
      </c>
    </row>
    <row r="1552" spans="1:13">
      <c r="A1552" s="1">
        <f>HYPERLINK("http://www.twitter.com/NathanBLawrence/status/986801935155171331", "986801935155171331")</f>
        <v/>
      </c>
      <c r="B1552" s="2" t="n">
        <v>43209.12603009259</v>
      </c>
      <c r="C1552" t="n">
        <v>0</v>
      </c>
      <c r="D1552" t="n">
        <v>0</v>
      </c>
      <c r="E1552" t="s">
        <v>1563</v>
      </c>
      <c r="F1552" t="s"/>
      <c r="G1552" t="s"/>
      <c r="H1552" t="s"/>
      <c r="I1552" t="s"/>
      <c r="J1552" t="n">
        <v>0</v>
      </c>
      <c r="K1552" t="n">
        <v>0</v>
      </c>
      <c r="L1552" t="n">
        <v>1</v>
      </c>
      <c r="M1552" t="n">
        <v>0</v>
      </c>
    </row>
    <row r="1553" spans="1:13">
      <c r="A1553" s="1">
        <f>HYPERLINK("http://www.twitter.com/NathanBLawrence/status/986801554555629568", "986801554555629568")</f>
        <v/>
      </c>
      <c r="B1553" s="2" t="n">
        <v>43209.12498842592</v>
      </c>
      <c r="C1553" t="n">
        <v>1</v>
      </c>
      <c r="D1553" t="n">
        <v>1</v>
      </c>
      <c r="E1553" t="s">
        <v>1564</v>
      </c>
      <c r="F1553" t="s"/>
      <c r="G1553" t="s"/>
      <c r="H1553" t="s"/>
      <c r="I1553" t="s"/>
      <c r="J1553" t="n">
        <v>0.7845</v>
      </c>
      <c r="K1553" t="n">
        <v>0</v>
      </c>
      <c r="L1553" t="n">
        <v>0.503</v>
      </c>
      <c r="M1553" t="n">
        <v>0.497</v>
      </c>
    </row>
    <row r="1554" spans="1:13">
      <c r="A1554" s="1">
        <f>HYPERLINK("http://www.twitter.com/NathanBLawrence/status/986801104632647680", "986801104632647680")</f>
        <v/>
      </c>
      <c r="B1554" s="2" t="n">
        <v>43209.12373842593</v>
      </c>
      <c r="C1554" t="n">
        <v>1</v>
      </c>
      <c r="D1554" t="n">
        <v>1</v>
      </c>
      <c r="E1554" t="s">
        <v>1565</v>
      </c>
      <c r="F1554" t="s"/>
      <c r="G1554" t="s"/>
      <c r="H1554" t="s"/>
      <c r="I1554" t="s"/>
      <c r="J1554" t="n">
        <v>0.3612</v>
      </c>
      <c r="K1554" t="n">
        <v>0</v>
      </c>
      <c r="L1554" t="n">
        <v>0.667</v>
      </c>
      <c r="M1554" t="n">
        <v>0.333</v>
      </c>
    </row>
    <row r="1555" spans="1:13">
      <c r="A1555" s="1">
        <f>HYPERLINK("http://www.twitter.com/NathanBLawrence/status/986800602733797377", "986800602733797377")</f>
        <v/>
      </c>
      <c r="B1555" s="2" t="n">
        <v>43209.12236111111</v>
      </c>
      <c r="C1555" t="n">
        <v>2</v>
      </c>
      <c r="D1555" t="n">
        <v>1</v>
      </c>
      <c r="E1555" t="s">
        <v>1566</v>
      </c>
      <c r="F1555" t="s"/>
      <c r="G1555" t="s"/>
      <c r="H1555" t="s"/>
      <c r="I1555" t="s"/>
      <c r="J1555" t="n">
        <v>0.3612</v>
      </c>
      <c r="K1555" t="n">
        <v>0</v>
      </c>
      <c r="L1555" t="n">
        <v>0.667</v>
      </c>
      <c r="M1555" t="n">
        <v>0.333</v>
      </c>
    </row>
    <row r="1556" spans="1:13">
      <c r="A1556" s="1">
        <f>HYPERLINK("http://www.twitter.com/NathanBLawrence/status/986800380695728128", "986800380695728128")</f>
        <v/>
      </c>
      <c r="B1556" s="2" t="n">
        <v>43209.12174768518</v>
      </c>
      <c r="C1556" t="n">
        <v>0</v>
      </c>
      <c r="D1556" t="n">
        <v>0</v>
      </c>
      <c r="E1556" t="s">
        <v>1567</v>
      </c>
      <c r="F1556" t="s"/>
      <c r="G1556" t="s"/>
      <c r="H1556" t="s"/>
      <c r="I1556" t="s"/>
      <c r="J1556" t="n">
        <v>0.4215</v>
      </c>
      <c r="K1556" t="n">
        <v>0</v>
      </c>
      <c r="L1556" t="n">
        <v>0.823</v>
      </c>
      <c r="M1556" t="n">
        <v>0.177</v>
      </c>
    </row>
    <row r="1557" spans="1:13">
      <c r="A1557" s="1">
        <f>HYPERLINK("http://www.twitter.com/NathanBLawrence/status/986799919838257154", "986799919838257154")</f>
        <v/>
      </c>
      <c r="B1557" s="2" t="n">
        <v>43209.12047453703</v>
      </c>
      <c r="C1557" t="n">
        <v>0</v>
      </c>
      <c r="D1557" t="n">
        <v>0</v>
      </c>
      <c r="E1557" t="s">
        <v>1568</v>
      </c>
      <c r="F1557" t="s"/>
      <c r="G1557" t="s"/>
      <c r="H1557" t="s"/>
      <c r="I1557" t="s"/>
      <c r="J1557" t="n">
        <v>-0.2732</v>
      </c>
      <c r="K1557" t="n">
        <v>0.139</v>
      </c>
      <c r="L1557" t="n">
        <v>0.861</v>
      </c>
      <c r="M1557" t="n">
        <v>0</v>
      </c>
    </row>
    <row r="1558" spans="1:13">
      <c r="A1558" s="1">
        <f>HYPERLINK("http://www.twitter.com/NathanBLawrence/status/986798565707132929", "986798565707132929")</f>
        <v/>
      </c>
      <c r="B1558" s="2" t="n">
        <v>43209.11673611111</v>
      </c>
      <c r="C1558" t="n">
        <v>2</v>
      </c>
      <c r="D1558" t="n">
        <v>1</v>
      </c>
      <c r="E1558" t="s">
        <v>1569</v>
      </c>
      <c r="F1558" t="s"/>
      <c r="G1558" t="s"/>
      <c r="H1558" t="s"/>
      <c r="I1558" t="s"/>
      <c r="J1558" t="n">
        <v>-0.6801</v>
      </c>
      <c r="K1558" t="n">
        <v>0.129</v>
      </c>
      <c r="L1558" t="n">
        <v>0.871</v>
      </c>
      <c r="M1558" t="n">
        <v>0</v>
      </c>
    </row>
    <row r="1559" spans="1:13">
      <c r="A1559" s="1">
        <f>HYPERLINK("http://www.twitter.com/NathanBLawrence/status/986795728537309184", "986795728537309184")</f>
        <v/>
      </c>
      <c r="B1559" s="2" t="n">
        <v>43209.10891203704</v>
      </c>
      <c r="C1559" t="n">
        <v>0</v>
      </c>
      <c r="D1559" t="n">
        <v>0</v>
      </c>
      <c r="E1559" t="s">
        <v>1570</v>
      </c>
      <c r="F1559" t="s"/>
      <c r="G1559" t="s"/>
      <c r="H1559" t="s"/>
      <c r="I1559" t="s"/>
      <c r="J1559" t="n">
        <v>0</v>
      </c>
      <c r="K1559" t="n">
        <v>0</v>
      </c>
      <c r="L1559" t="n">
        <v>1</v>
      </c>
      <c r="M1559" t="n">
        <v>0</v>
      </c>
    </row>
    <row r="1560" spans="1:13">
      <c r="A1560" s="1">
        <f>HYPERLINK("http://www.twitter.com/NathanBLawrence/status/986794751939743744", "986794751939743744")</f>
        <v/>
      </c>
      <c r="B1560" s="2" t="n">
        <v>43209.10621527778</v>
      </c>
      <c r="C1560" t="n">
        <v>0</v>
      </c>
      <c r="D1560" t="n">
        <v>23</v>
      </c>
      <c r="E1560" t="s">
        <v>1571</v>
      </c>
      <c r="F1560" t="s"/>
      <c r="G1560" t="s"/>
      <c r="H1560" t="s"/>
      <c r="I1560" t="s"/>
      <c r="J1560" t="n">
        <v>0</v>
      </c>
      <c r="K1560" t="n">
        <v>0</v>
      </c>
      <c r="L1560" t="n">
        <v>1</v>
      </c>
      <c r="M1560" t="n">
        <v>0</v>
      </c>
    </row>
    <row r="1561" spans="1:13">
      <c r="A1561" s="1">
        <f>HYPERLINK("http://www.twitter.com/NathanBLawrence/status/986793428913676288", "986793428913676288")</f>
        <v/>
      </c>
      <c r="B1561" s="2" t="n">
        <v>43209.10255787037</v>
      </c>
      <c r="C1561" t="n">
        <v>0</v>
      </c>
      <c r="D1561" t="n">
        <v>3</v>
      </c>
      <c r="E1561" t="s">
        <v>1572</v>
      </c>
      <c r="F1561" t="s"/>
      <c r="G1561" t="s"/>
      <c r="H1561" t="s"/>
      <c r="I1561" t="s"/>
      <c r="J1561" t="n">
        <v>0</v>
      </c>
      <c r="K1561" t="n">
        <v>0</v>
      </c>
      <c r="L1561" t="n">
        <v>1</v>
      </c>
      <c r="M1561" t="n">
        <v>0</v>
      </c>
    </row>
    <row r="1562" spans="1:13">
      <c r="A1562" s="1">
        <f>HYPERLINK("http://www.twitter.com/NathanBLawrence/status/986793114357719040", "986793114357719040")</f>
        <v/>
      </c>
      <c r="B1562" s="2" t="n">
        <v>43209.10168981482</v>
      </c>
      <c r="C1562" t="n">
        <v>0</v>
      </c>
      <c r="D1562" t="n">
        <v>2</v>
      </c>
      <c r="E1562" t="s">
        <v>1573</v>
      </c>
      <c r="F1562" t="s"/>
      <c r="G1562" t="s"/>
      <c r="H1562" t="s"/>
      <c r="I1562" t="s"/>
      <c r="J1562" t="n">
        <v>0</v>
      </c>
      <c r="K1562" t="n">
        <v>0</v>
      </c>
      <c r="L1562" t="n">
        <v>1</v>
      </c>
      <c r="M1562" t="n">
        <v>0</v>
      </c>
    </row>
    <row r="1563" spans="1:13">
      <c r="A1563" s="1">
        <f>HYPERLINK("http://www.twitter.com/NathanBLawrence/status/986792603827015681", "986792603827015681")</f>
        <v/>
      </c>
      <c r="B1563" s="2" t="n">
        <v>43209.10028935185</v>
      </c>
      <c r="C1563" t="n">
        <v>0</v>
      </c>
      <c r="D1563" t="n">
        <v>0</v>
      </c>
      <c r="E1563" t="s">
        <v>1574</v>
      </c>
      <c r="F1563" t="s"/>
      <c r="G1563" t="s"/>
      <c r="H1563" t="s"/>
      <c r="I1563" t="s"/>
      <c r="J1563" t="n">
        <v>0.5106000000000001</v>
      </c>
      <c r="K1563" t="n">
        <v>0.043</v>
      </c>
      <c r="L1563" t="n">
        <v>0.832</v>
      </c>
      <c r="M1563" t="n">
        <v>0.126</v>
      </c>
    </row>
    <row r="1564" spans="1:13">
      <c r="A1564" s="1">
        <f>HYPERLINK("http://www.twitter.com/NathanBLawrence/status/986789153638514688", "986789153638514688")</f>
        <v/>
      </c>
      <c r="B1564" s="2" t="n">
        <v>43209.09076388889</v>
      </c>
      <c r="C1564" t="n">
        <v>2</v>
      </c>
      <c r="D1564" t="n">
        <v>1</v>
      </c>
      <c r="E1564" t="s">
        <v>1575</v>
      </c>
      <c r="F1564" t="s"/>
      <c r="G1564" t="s"/>
      <c r="H1564" t="s"/>
      <c r="I1564" t="s"/>
      <c r="J1564" t="n">
        <v>0.5777</v>
      </c>
      <c r="K1564" t="n">
        <v>0</v>
      </c>
      <c r="L1564" t="n">
        <v>0.652</v>
      </c>
      <c r="M1564" t="n">
        <v>0.348</v>
      </c>
    </row>
    <row r="1565" spans="1:13">
      <c r="A1565" s="1">
        <f>HYPERLINK("http://www.twitter.com/NathanBLawrence/status/986788913917415424", "986788913917415424")</f>
        <v/>
      </c>
      <c r="B1565" s="2" t="n">
        <v>43209.09010416667</v>
      </c>
      <c r="C1565" t="n">
        <v>1</v>
      </c>
      <c r="D1565" t="n">
        <v>1</v>
      </c>
      <c r="E1565" t="s">
        <v>1576</v>
      </c>
      <c r="F1565" t="s"/>
      <c r="G1565" t="s"/>
      <c r="H1565" t="s"/>
      <c r="I1565" t="s"/>
      <c r="J1565" t="n">
        <v>0.5859</v>
      </c>
      <c r="K1565" t="n">
        <v>0</v>
      </c>
      <c r="L1565" t="n">
        <v>0.441</v>
      </c>
      <c r="M1565" t="n">
        <v>0.5590000000000001</v>
      </c>
    </row>
    <row r="1566" spans="1:13">
      <c r="A1566" s="1">
        <f>HYPERLINK("http://www.twitter.com/NathanBLawrence/status/986735760236793857", "986735760236793857")</f>
        <v/>
      </c>
      <c r="B1566" s="2" t="n">
        <v>43208.94342592593</v>
      </c>
      <c r="C1566" t="n">
        <v>5</v>
      </c>
      <c r="D1566" t="n">
        <v>2</v>
      </c>
      <c r="E1566" t="s">
        <v>1577</v>
      </c>
      <c r="F1566" t="s"/>
      <c r="G1566" t="s"/>
      <c r="H1566" t="s"/>
      <c r="I1566" t="s"/>
      <c r="J1566" t="n">
        <v>0</v>
      </c>
      <c r="K1566" t="n">
        <v>0</v>
      </c>
      <c r="L1566" t="n">
        <v>1</v>
      </c>
      <c r="M1566" t="n">
        <v>0</v>
      </c>
    </row>
    <row r="1567" spans="1:13">
      <c r="A1567" s="1">
        <f>HYPERLINK("http://www.twitter.com/NathanBLawrence/status/986733726548791296", "986733726548791296")</f>
        <v/>
      </c>
      <c r="B1567" s="2" t="n">
        <v>43208.9378125</v>
      </c>
      <c r="C1567" t="n">
        <v>2</v>
      </c>
      <c r="D1567" t="n">
        <v>1</v>
      </c>
      <c r="E1567" t="s">
        <v>1578</v>
      </c>
      <c r="F1567" t="s"/>
      <c r="G1567" t="s"/>
      <c r="H1567" t="s"/>
      <c r="I1567" t="s"/>
      <c r="J1567" t="n">
        <v>0.8993</v>
      </c>
      <c r="K1567" t="n">
        <v>0</v>
      </c>
      <c r="L1567" t="n">
        <v>0.614</v>
      </c>
      <c r="M1567" t="n">
        <v>0.386</v>
      </c>
    </row>
    <row r="1568" spans="1:13">
      <c r="A1568" s="1">
        <f>HYPERLINK("http://www.twitter.com/NathanBLawrence/status/986731688964317185", "986731688964317185")</f>
        <v/>
      </c>
      <c r="B1568" s="2" t="n">
        <v>43208.9321875</v>
      </c>
      <c r="C1568" t="n">
        <v>0</v>
      </c>
      <c r="D1568" t="n">
        <v>0</v>
      </c>
      <c r="E1568" t="s">
        <v>1579</v>
      </c>
      <c r="F1568" t="s"/>
      <c r="G1568" t="s"/>
      <c r="H1568" t="s"/>
      <c r="I1568" t="s"/>
      <c r="J1568" t="n">
        <v>0.3612</v>
      </c>
      <c r="K1568" t="n">
        <v>0</v>
      </c>
      <c r="L1568" t="n">
        <v>0.884</v>
      </c>
      <c r="M1568" t="n">
        <v>0.116</v>
      </c>
    </row>
    <row r="1569" spans="1:13">
      <c r="A1569" s="1">
        <f>HYPERLINK("http://www.twitter.com/NathanBLawrence/status/986730388323266562", "986730388323266562")</f>
        <v/>
      </c>
      <c r="B1569" s="2" t="n">
        <v>43208.92859953704</v>
      </c>
      <c r="C1569" t="n">
        <v>0</v>
      </c>
      <c r="D1569" t="n">
        <v>0</v>
      </c>
      <c r="E1569" t="s">
        <v>1580</v>
      </c>
      <c r="F1569" t="s"/>
      <c r="G1569" t="s"/>
      <c r="H1569" t="s"/>
      <c r="I1569" t="s"/>
      <c r="J1569" t="n">
        <v>0</v>
      </c>
      <c r="K1569" t="n">
        <v>0</v>
      </c>
      <c r="L1569" t="n">
        <v>1</v>
      </c>
      <c r="M1569" t="n">
        <v>0</v>
      </c>
    </row>
    <row r="1570" spans="1:13">
      <c r="A1570" s="1">
        <f>HYPERLINK("http://www.twitter.com/NathanBLawrence/status/986729146230374402", "986729146230374402")</f>
        <v/>
      </c>
      <c r="B1570" s="2" t="n">
        <v>43208.92517361111</v>
      </c>
      <c r="C1570" t="n">
        <v>0</v>
      </c>
      <c r="D1570" t="n">
        <v>0</v>
      </c>
      <c r="E1570" t="s">
        <v>1581</v>
      </c>
      <c r="F1570" t="s"/>
      <c r="G1570" t="s"/>
      <c r="H1570" t="s"/>
      <c r="I1570" t="s"/>
      <c r="J1570" t="n">
        <v>0</v>
      </c>
      <c r="K1570" t="n">
        <v>0</v>
      </c>
      <c r="L1570" t="n">
        <v>1</v>
      </c>
      <c r="M1570" t="n">
        <v>0</v>
      </c>
    </row>
    <row r="1571" spans="1:13">
      <c r="A1571" s="1">
        <f>HYPERLINK("http://www.twitter.com/NathanBLawrence/status/986719295525793792", "986719295525793792")</f>
        <v/>
      </c>
      <c r="B1571" s="2" t="n">
        <v>43208.89799768518</v>
      </c>
      <c r="C1571" t="n">
        <v>5</v>
      </c>
      <c r="D1571" t="n">
        <v>2</v>
      </c>
      <c r="E1571" t="s">
        <v>1582</v>
      </c>
      <c r="F1571" t="s"/>
      <c r="G1571" t="s"/>
      <c r="H1571" t="s"/>
      <c r="I1571" t="s"/>
      <c r="J1571" t="n">
        <v>-0.2732</v>
      </c>
      <c r="K1571" t="n">
        <v>0.07000000000000001</v>
      </c>
      <c r="L1571" t="n">
        <v>0.93</v>
      </c>
      <c r="M1571" t="n">
        <v>0</v>
      </c>
    </row>
    <row r="1572" spans="1:13">
      <c r="A1572" s="1">
        <f>HYPERLINK("http://www.twitter.com/NathanBLawrence/status/986718603172089857", "986718603172089857")</f>
        <v/>
      </c>
      <c r="B1572" s="2" t="n">
        <v>43208.89607638889</v>
      </c>
      <c r="C1572" t="n">
        <v>1</v>
      </c>
      <c r="D1572" t="n">
        <v>1</v>
      </c>
      <c r="E1572" t="s">
        <v>1583</v>
      </c>
      <c r="F1572" t="s"/>
      <c r="G1572" t="s"/>
      <c r="H1572" t="s"/>
      <c r="I1572" t="s"/>
      <c r="J1572" t="n">
        <v>0.2732</v>
      </c>
      <c r="K1572" t="n">
        <v>0</v>
      </c>
      <c r="L1572" t="n">
        <v>0.9350000000000001</v>
      </c>
      <c r="M1572" t="n">
        <v>0.065</v>
      </c>
    </row>
    <row r="1573" spans="1:13">
      <c r="A1573" s="1">
        <f>HYPERLINK("http://www.twitter.com/NathanBLawrence/status/986717687370993665", "986717687370993665")</f>
        <v/>
      </c>
      <c r="B1573" s="2" t="n">
        <v>43208.89355324074</v>
      </c>
      <c r="C1573" t="n">
        <v>0</v>
      </c>
      <c r="D1573" t="n">
        <v>0</v>
      </c>
      <c r="E1573" t="s">
        <v>1584</v>
      </c>
      <c r="F1573" t="s"/>
      <c r="G1573" t="s"/>
      <c r="H1573" t="s"/>
      <c r="I1573" t="s"/>
      <c r="J1573" t="n">
        <v>0</v>
      </c>
      <c r="K1573" t="n">
        <v>0</v>
      </c>
      <c r="L1573" t="n">
        <v>1</v>
      </c>
      <c r="M1573" t="n">
        <v>0</v>
      </c>
    </row>
    <row r="1574" spans="1:13">
      <c r="A1574" s="1">
        <f>HYPERLINK("http://www.twitter.com/NathanBLawrence/status/986654690975895553", "986654690975895553")</f>
        <v/>
      </c>
      <c r="B1574" s="2" t="n">
        <v>43208.71972222222</v>
      </c>
      <c r="C1574" t="n">
        <v>0</v>
      </c>
      <c r="D1574" t="n">
        <v>0</v>
      </c>
      <c r="E1574" t="s">
        <v>1585</v>
      </c>
      <c r="F1574" t="s"/>
      <c r="G1574" t="s"/>
      <c r="H1574" t="s"/>
      <c r="I1574" t="s"/>
      <c r="J1574" t="n">
        <v>0</v>
      </c>
      <c r="K1574" t="n">
        <v>0</v>
      </c>
      <c r="L1574" t="n">
        <v>1</v>
      </c>
      <c r="M1574" t="n">
        <v>0</v>
      </c>
    </row>
    <row r="1575" spans="1:13">
      <c r="A1575" s="1">
        <f>HYPERLINK("http://www.twitter.com/NathanBLawrence/status/986650358293385217", "986650358293385217")</f>
        <v/>
      </c>
      <c r="B1575" s="2" t="n">
        <v>43208.7077662037</v>
      </c>
      <c r="C1575" t="n">
        <v>1</v>
      </c>
      <c r="D1575" t="n">
        <v>1</v>
      </c>
      <c r="E1575" t="s">
        <v>1586</v>
      </c>
      <c r="F1575" t="s"/>
      <c r="G1575" t="s"/>
      <c r="H1575" t="s"/>
      <c r="I1575" t="s"/>
      <c r="J1575" t="n">
        <v>-0.8270999999999999</v>
      </c>
      <c r="K1575" t="n">
        <v>0.189</v>
      </c>
      <c r="L1575" t="n">
        <v>0.8110000000000001</v>
      </c>
      <c r="M1575" t="n">
        <v>0</v>
      </c>
    </row>
    <row r="1576" spans="1:13">
      <c r="A1576" s="1">
        <f>HYPERLINK("http://www.twitter.com/NathanBLawrence/status/986649318437326849", "986649318437326849")</f>
        <v/>
      </c>
      <c r="B1576" s="2" t="n">
        <v>43208.70489583333</v>
      </c>
      <c r="C1576" t="n">
        <v>2</v>
      </c>
      <c r="D1576" t="n">
        <v>3</v>
      </c>
      <c r="E1576" t="s">
        <v>1587</v>
      </c>
      <c r="F1576" t="s"/>
      <c r="G1576" t="s"/>
      <c r="H1576" t="s"/>
      <c r="I1576" t="s"/>
      <c r="J1576" t="n">
        <v>0</v>
      </c>
      <c r="K1576" t="n">
        <v>0</v>
      </c>
      <c r="L1576" t="n">
        <v>1</v>
      </c>
      <c r="M1576" t="n">
        <v>0</v>
      </c>
    </row>
    <row r="1577" spans="1:13">
      <c r="A1577" s="1">
        <f>HYPERLINK("http://www.twitter.com/NathanBLawrence/status/986648900089106434", "986648900089106434")</f>
        <v/>
      </c>
      <c r="B1577" s="2" t="n">
        <v>43208.70373842592</v>
      </c>
      <c r="C1577" t="n">
        <v>5</v>
      </c>
      <c r="D1577" t="n">
        <v>3</v>
      </c>
      <c r="E1577" t="s">
        <v>1588</v>
      </c>
      <c r="F1577" t="s"/>
      <c r="G1577" t="s"/>
      <c r="H1577" t="s"/>
      <c r="I1577" t="s"/>
      <c r="J1577" t="n">
        <v>-0.1027</v>
      </c>
      <c r="K1577" t="n">
        <v>0.113</v>
      </c>
      <c r="L1577" t="n">
        <v>0.887</v>
      </c>
      <c r="M1577" t="n">
        <v>0</v>
      </c>
    </row>
    <row r="1578" spans="1:13">
      <c r="A1578" s="1">
        <f>HYPERLINK("http://www.twitter.com/NathanBLawrence/status/986648397825310720", "986648397825310720")</f>
        <v/>
      </c>
      <c r="B1578" s="2" t="n">
        <v>43208.70234953704</v>
      </c>
      <c r="C1578" t="n">
        <v>0</v>
      </c>
      <c r="D1578" t="n">
        <v>0</v>
      </c>
      <c r="E1578" t="s">
        <v>1589</v>
      </c>
      <c r="F1578" t="s"/>
      <c r="G1578" t="s"/>
      <c r="H1578" t="s"/>
      <c r="I1578" t="s"/>
      <c r="J1578" t="n">
        <v>0</v>
      </c>
      <c r="K1578" t="n">
        <v>0</v>
      </c>
      <c r="L1578" t="n">
        <v>1</v>
      </c>
      <c r="M1578" t="n">
        <v>0</v>
      </c>
    </row>
    <row r="1579" spans="1:13">
      <c r="A1579" s="1">
        <f>HYPERLINK("http://www.twitter.com/NathanBLawrence/status/986647205778948096", "986647205778948096")</f>
        <v/>
      </c>
      <c r="B1579" s="2" t="n">
        <v>43208.6990625</v>
      </c>
      <c r="C1579" t="n">
        <v>1</v>
      </c>
      <c r="D1579" t="n">
        <v>1</v>
      </c>
      <c r="E1579" t="s">
        <v>1590</v>
      </c>
      <c r="F1579" t="s"/>
      <c r="G1579" t="s"/>
      <c r="H1579" t="s"/>
      <c r="I1579" t="s"/>
      <c r="J1579" t="n">
        <v>-0.7319</v>
      </c>
      <c r="K1579" t="n">
        <v>0.322</v>
      </c>
      <c r="L1579" t="n">
        <v>0.678</v>
      </c>
      <c r="M1579" t="n">
        <v>0</v>
      </c>
    </row>
    <row r="1580" spans="1:13">
      <c r="A1580" s="1">
        <f>HYPERLINK("http://www.twitter.com/NathanBLawrence/status/986621834178256897", "986621834178256897")</f>
        <v/>
      </c>
      <c r="B1580" s="2" t="n">
        <v>43208.62905092593</v>
      </c>
      <c r="C1580" t="n">
        <v>1</v>
      </c>
      <c r="D1580" t="n">
        <v>1</v>
      </c>
      <c r="E1580" t="s">
        <v>1591</v>
      </c>
      <c r="F1580" t="s"/>
      <c r="G1580" t="s"/>
      <c r="H1580" t="s"/>
      <c r="I1580" t="s"/>
      <c r="J1580" t="n">
        <v>0</v>
      </c>
      <c r="K1580" t="n">
        <v>0</v>
      </c>
      <c r="L1580" t="n">
        <v>1</v>
      </c>
      <c r="M1580" t="n">
        <v>0</v>
      </c>
    </row>
    <row r="1581" spans="1:13">
      <c r="A1581" s="1">
        <f>HYPERLINK("http://www.twitter.com/NathanBLawrence/status/986584743264309248", "986584743264309248")</f>
        <v/>
      </c>
      <c r="B1581" s="2" t="n">
        <v>43208.52670138889</v>
      </c>
      <c r="C1581" t="n">
        <v>1</v>
      </c>
      <c r="D1581" t="n">
        <v>1</v>
      </c>
      <c r="E1581" t="s">
        <v>1592</v>
      </c>
      <c r="F1581" t="s"/>
      <c r="G1581" t="s"/>
      <c r="H1581" t="s"/>
      <c r="I1581" t="s"/>
      <c r="J1581" t="n">
        <v>0</v>
      </c>
      <c r="K1581" t="n">
        <v>0</v>
      </c>
      <c r="L1581" t="n">
        <v>1</v>
      </c>
      <c r="M1581" t="n">
        <v>0</v>
      </c>
    </row>
    <row r="1582" spans="1:13">
      <c r="A1582" s="1">
        <f>HYPERLINK("http://www.twitter.com/NathanBLawrence/status/986584324253286401", "986584324253286401")</f>
        <v/>
      </c>
      <c r="B1582" s="2" t="n">
        <v>43208.52554398148</v>
      </c>
      <c r="C1582" t="n">
        <v>6</v>
      </c>
      <c r="D1582" t="n">
        <v>1</v>
      </c>
      <c r="E1582" t="s">
        <v>1593</v>
      </c>
      <c r="F1582" t="s"/>
      <c r="G1582" t="s"/>
      <c r="H1582" t="s"/>
      <c r="I1582" t="s"/>
      <c r="J1582" t="n">
        <v>-0.6408</v>
      </c>
      <c r="K1582" t="n">
        <v>0.08799999999999999</v>
      </c>
      <c r="L1582" t="n">
        <v>0.912</v>
      </c>
      <c r="M1582" t="n">
        <v>0</v>
      </c>
    </row>
    <row r="1583" spans="1:13">
      <c r="A1583" s="1">
        <f>HYPERLINK("http://www.twitter.com/NathanBLawrence/status/986583826188120064", "986583826188120064")</f>
        <v/>
      </c>
      <c r="B1583" s="2" t="n">
        <v>43208.52416666667</v>
      </c>
      <c r="C1583" t="n">
        <v>1</v>
      </c>
      <c r="D1583" t="n">
        <v>0</v>
      </c>
      <c r="E1583" t="s">
        <v>1594</v>
      </c>
      <c r="F1583" t="s"/>
      <c r="G1583" t="s"/>
      <c r="H1583" t="s"/>
      <c r="I1583" t="s"/>
      <c r="J1583" t="n">
        <v>0.7206</v>
      </c>
      <c r="K1583" t="n">
        <v>0</v>
      </c>
      <c r="L1583" t="n">
        <v>0.84</v>
      </c>
      <c r="M1583" t="n">
        <v>0.16</v>
      </c>
    </row>
    <row r="1584" spans="1:13">
      <c r="A1584" s="1">
        <f>HYPERLINK("http://www.twitter.com/NathanBLawrence/status/986582925109006337", "986582925109006337")</f>
        <v/>
      </c>
      <c r="B1584" s="2" t="n">
        <v>43208.52167824074</v>
      </c>
      <c r="C1584" t="n">
        <v>1</v>
      </c>
      <c r="D1584" t="n">
        <v>0</v>
      </c>
      <c r="E1584" t="s">
        <v>1595</v>
      </c>
      <c r="F1584" t="s"/>
      <c r="G1584" t="s"/>
      <c r="H1584" t="s"/>
      <c r="I1584" t="s"/>
      <c r="J1584" t="n">
        <v>0.6633</v>
      </c>
      <c r="K1584" t="n">
        <v>0</v>
      </c>
      <c r="L1584" t="n">
        <v>0.819</v>
      </c>
      <c r="M1584" t="n">
        <v>0.181</v>
      </c>
    </row>
    <row r="1585" spans="1:13">
      <c r="A1585" s="1">
        <f>HYPERLINK("http://www.twitter.com/NathanBLawrence/status/986571210283782144", "986571210283782144")</f>
        <v/>
      </c>
      <c r="B1585" s="2" t="n">
        <v>43208.48935185185</v>
      </c>
      <c r="C1585" t="n">
        <v>1</v>
      </c>
      <c r="D1585" t="n">
        <v>0</v>
      </c>
      <c r="E1585" t="s">
        <v>1596</v>
      </c>
      <c r="F1585" t="s"/>
      <c r="G1585" t="s"/>
      <c r="H1585" t="s"/>
      <c r="I1585" t="s"/>
      <c r="J1585" t="n">
        <v>0</v>
      </c>
      <c r="K1585" t="n">
        <v>0</v>
      </c>
      <c r="L1585" t="n">
        <v>1</v>
      </c>
      <c r="M1585" t="n">
        <v>0</v>
      </c>
    </row>
    <row r="1586" spans="1:13">
      <c r="A1586" s="1">
        <f>HYPERLINK("http://www.twitter.com/NathanBLawrence/status/986569277913419777", "986569277913419777")</f>
        <v/>
      </c>
      <c r="B1586" s="2" t="n">
        <v>43208.48402777778</v>
      </c>
      <c r="C1586" t="n">
        <v>2</v>
      </c>
      <c r="D1586" t="n">
        <v>2</v>
      </c>
      <c r="E1586" t="s">
        <v>1597</v>
      </c>
      <c r="F1586" t="s"/>
      <c r="G1586" t="s"/>
      <c r="H1586" t="s"/>
      <c r="I1586" t="s"/>
      <c r="J1586" t="n">
        <v>0</v>
      </c>
      <c r="K1586" t="n">
        <v>0</v>
      </c>
      <c r="L1586" t="n">
        <v>1</v>
      </c>
      <c r="M1586" t="n">
        <v>0</v>
      </c>
    </row>
    <row r="1587" spans="1:13">
      <c r="A1587" s="1">
        <f>HYPERLINK("http://www.twitter.com/NathanBLawrence/status/986462128059101184", "986462128059101184")</f>
        <v/>
      </c>
      <c r="B1587" s="2" t="n">
        <v>43208.18834490741</v>
      </c>
      <c r="C1587" t="n">
        <v>3</v>
      </c>
      <c r="D1587" t="n">
        <v>1</v>
      </c>
      <c r="E1587" t="s">
        <v>1598</v>
      </c>
      <c r="F1587" t="s"/>
      <c r="G1587" t="s"/>
      <c r="H1587" t="s"/>
      <c r="I1587" t="s"/>
      <c r="J1587" t="n">
        <v>0.4545</v>
      </c>
      <c r="K1587" t="n">
        <v>0</v>
      </c>
      <c r="L1587" t="n">
        <v>0.885</v>
      </c>
      <c r="M1587" t="n">
        <v>0.115</v>
      </c>
    </row>
    <row r="1588" spans="1:13">
      <c r="A1588" s="1">
        <f>HYPERLINK("http://www.twitter.com/NathanBLawrence/status/986461230591348736", "986461230591348736")</f>
        <v/>
      </c>
      <c r="B1588" s="2" t="n">
        <v>43208.18586805555</v>
      </c>
      <c r="C1588" t="n">
        <v>3</v>
      </c>
      <c r="D1588" t="n">
        <v>0</v>
      </c>
      <c r="E1588" t="s">
        <v>1599</v>
      </c>
      <c r="F1588" t="s"/>
      <c r="G1588" t="s"/>
      <c r="H1588" t="s"/>
      <c r="I1588" t="s"/>
      <c r="J1588" t="n">
        <v>0</v>
      </c>
      <c r="K1588" t="n">
        <v>0</v>
      </c>
      <c r="L1588" t="n">
        <v>1</v>
      </c>
      <c r="M1588" t="n">
        <v>0</v>
      </c>
    </row>
    <row r="1589" spans="1:13">
      <c r="A1589" s="1">
        <f>HYPERLINK("http://www.twitter.com/NathanBLawrence/status/986460406767071234", "986460406767071234")</f>
        <v/>
      </c>
      <c r="B1589" s="2" t="n">
        <v>43208.18359953703</v>
      </c>
      <c r="C1589" t="n">
        <v>2</v>
      </c>
      <c r="D1589" t="n">
        <v>1</v>
      </c>
      <c r="E1589" t="s">
        <v>1600</v>
      </c>
      <c r="F1589" t="s"/>
      <c r="G1589" t="s"/>
      <c r="H1589" t="s"/>
      <c r="I1589" t="s"/>
      <c r="J1589" t="n">
        <v>0</v>
      </c>
      <c r="K1589" t="n">
        <v>0</v>
      </c>
      <c r="L1589" t="n">
        <v>1</v>
      </c>
      <c r="M1589" t="n">
        <v>0</v>
      </c>
    </row>
    <row r="1590" spans="1:13">
      <c r="A1590" s="1">
        <f>HYPERLINK("http://www.twitter.com/NathanBLawrence/status/986445955565346816", "986445955565346816")</f>
        <v/>
      </c>
      <c r="B1590" s="2" t="n">
        <v>43208.14371527778</v>
      </c>
      <c r="C1590" t="n">
        <v>2</v>
      </c>
      <c r="D1590" t="n">
        <v>0</v>
      </c>
      <c r="E1590" t="s">
        <v>1601</v>
      </c>
      <c r="F1590" t="s"/>
      <c r="G1590" t="s"/>
      <c r="H1590" t="s"/>
      <c r="I1590" t="s"/>
      <c r="J1590" t="n">
        <v>-0.8442</v>
      </c>
      <c r="K1590" t="n">
        <v>0.324</v>
      </c>
      <c r="L1590" t="n">
        <v>0.676</v>
      </c>
      <c r="M1590" t="n">
        <v>0</v>
      </c>
    </row>
    <row r="1591" spans="1:13">
      <c r="A1591" s="1">
        <f>HYPERLINK("http://www.twitter.com/NathanBLawrence/status/986445480208068608", "986445480208068608")</f>
        <v/>
      </c>
      <c r="B1591" s="2" t="n">
        <v>43208.14240740741</v>
      </c>
      <c r="C1591" t="n">
        <v>2</v>
      </c>
      <c r="D1591" t="n">
        <v>1</v>
      </c>
      <c r="E1591" t="s">
        <v>1602</v>
      </c>
      <c r="F1591" t="s"/>
      <c r="G1591" t="s"/>
      <c r="H1591" t="s"/>
      <c r="I1591" t="s"/>
      <c r="J1591" t="n">
        <v>0</v>
      </c>
      <c r="K1591" t="n">
        <v>0</v>
      </c>
      <c r="L1591" t="n">
        <v>1</v>
      </c>
      <c r="M1591" t="n">
        <v>0</v>
      </c>
    </row>
    <row r="1592" spans="1:13">
      <c r="A1592" s="1">
        <f>HYPERLINK("http://www.twitter.com/NathanBLawrence/status/986444337394438144", "986444337394438144")</f>
        <v/>
      </c>
      <c r="B1592" s="2" t="n">
        <v>43208.13924768518</v>
      </c>
      <c r="C1592" t="n">
        <v>2</v>
      </c>
      <c r="D1592" t="n">
        <v>1</v>
      </c>
      <c r="E1592" t="s">
        <v>1603</v>
      </c>
      <c r="F1592" t="s"/>
      <c r="G1592" t="s"/>
      <c r="H1592" t="s"/>
      <c r="I1592" t="s"/>
      <c r="J1592" t="n">
        <v>0</v>
      </c>
      <c r="K1592" t="n">
        <v>0</v>
      </c>
      <c r="L1592" t="n">
        <v>1</v>
      </c>
      <c r="M1592" t="n">
        <v>0</v>
      </c>
    </row>
    <row r="1593" spans="1:13">
      <c r="A1593" s="1">
        <f>HYPERLINK("http://www.twitter.com/NathanBLawrence/status/986444042459320321", "986444042459320321")</f>
        <v/>
      </c>
      <c r="B1593" s="2" t="n">
        <v>43208.1384375</v>
      </c>
      <c r="C1593" t="n">
        <v>0</v>
      </c>
      <c r="D1593" t="n">
        <v>0</v>
      </c>
      <c r="E1593" t="s">
        <v>1604</v>
      </c>
      <c r="F1593" t="s"/>
      <c r="G1593" t="s"/>
      <c r="H1593" t="s"/>
      <c r="I1593" t="s"/>
      <c r="J1593" t="n">
        <v>0.7842</v>
      </c>
      <c r="K1593" t="n">
        <v>0.079</v>
      </c>
      <c r="L1593" t="n">
        <v>0.68</v>
      </c>
      <c r="M1593" t="n">
        <v>0.242</v>
      </c>
    </row>
    <row r="1594" spans="1:13">
      <c r="A1594" s="1">
        <f>HYPERLINK("http://www.twitter.com/NathanBLawrence/status/986443529076568066", "986443529076568066")</f>
        <v/>
      </c>
      <c r="B1594" s="2" t="n">
        <v>43208.13702546297</v>
      </c>
      <c r="C1594" t="n">
        <v>0</v>
      </c>
      <c r="D1594" t="n">
        <v>0</v>
      </c>
      <c r="E1594" t="s">
        <v>1605</v>
      </c>
      <c r="F1594" t="s"/>
      <c r="G1594" t="s"/>
      <c r="H1594" t="s"/>
      <c r="I1594" t="s"/>
      <c r="J1594" t="n">
        <v>-0.7845</v>
      </c>
      <c r="K1594" t="n">
        <v>0.128</v>
      </c>
      <c r="L1594" t="n">
        <v>0.872</v>
      </c>
      <c r="M1594" t="n">
        <v>0</v>
      </c>
    </row>
    <row r="1595" spans="1:13">
      <c r="A1595" s="1">
        <f>HYPERLINK("http://www.twitter.com/NathanBLawrence/status/986442813750562816", "986442813750562816")</f>
        <v/>
      </c>
      <c r="B1595" s="2" t="n">
        <v>43208.13504629629</v>
      </c>
      <c r="C1595" t="n">
        <v>0</v>
      </c>
      <c r="D1595" t="n">
        <v>0</v>
      </c>
      <c r="E1595" t="s">
        <v>1606</v>
      </c>
      <c r="F1595" t="s"/>
      <c r="G1595" t="s"/>
      <c r="H1595" t="s"/>
      <c r="I1595" t="s"/>
      <c r="J1595" t="n">
        <v>0</v>
      </c>
      <c r="K1595" t="n">
        <v>0</v>
      </c>
      <c r="L1595" t="n">
        <v>1</v>
      </c>
      <c r="M1595" t="n">
        <v>0</v>
      </c>
    </row>
    <row r="1596" spans="1:13">
      <c r="A1596" s="1">
        <f>HYPERLINK("http://www.twitter.com/NathanBLawrence/status/986442496308842496", "986442496308842496")</f>
        <v/>
      </c>
      <c r="B1596" s="2" t="n">
        <v>43208.13416666666</v>
      </c>
      <c r="C1596" t="n">
        <v>1</v>
      </c>
      <c r="D1596" t="n">
        <v>0</v>
      </c>
      <c r="E1596" t="s">
        <v>1607</v>
      </c>
      <c r="F1596" t="s"/>
      <c r="G1596" t="s"/>
      <c r="H1596" t="s"/>
      <c r="I1596" t="s"/>
      <c r="J1596" t="n">
        <v>0</v>
      </c>
      <c r="K1596" t="n">
        <v>0</v>
      </c>
      <c r="L1596" t="n">
        <v>1</v>
      </c>
      <c r="M1596" t="n">
        <v>0</v>
      </c>
    </row>
    <row r="1597" spans="1:13">
      <c r="A1597" s="1">
        <f>HYPERLINK("http://www.twitter.com/NathanBLawrence/status/986442241467125761", "986442241467125761")</f>
        <v/>
      </c>
      <c r="B1597" s="2" t="n">
        <v>43208.13347222222</v>
      </c>
      <c r="C1597" t="n">
        <v>1</v>
      </c>
      <c r="D1597" t="n">
        <v>0</v>
      </c>
      <c r="E1597" t="s">
        <v>1608</v>
      </c>
      <c r="F1597" t="s"/>
      <c r="G1597" t="s"/>
      <c r="H1597" t="s"/>
      <c r="I1597" t="s"/>
      <c r="J1597" t="n">
        <v>-0.7506</v>
      </c>
      <c r="K1597" t="n">
        <v>0.242</v>
      </c>
      <c r="L1597" t="n">
        <v>0.758</v>
      </c>
      <c r="M1597" t="n">
        <v>0</v>
      </c>
    </row>
    <row r="1598" spans="1:13">
      <c r="A1598" s="1">
        <f>HYPERLINK("http://www.twitter.com/NathanBLawrence/status/986441449196740608", "986441449196740608")</f>
        <v/>
      </c>
      <c r="B1598" s="2" t="n">
        <v>43208.13128472222</v>
      </c>
      <c r="C1598" t="n">
        <v>0</v>
      </c>
      <c r="D1598" t="n">
        <v>0</v>
      </c>
      <c r="E1598" t="s">
        <v>1609</v>
      </c>
      <c r="F1598" t="s"/>
      <c r="G1598" t="s"/>
      <c r="H1598" t="s"/>
      <c r="I1598" t="s"/>
      <c r="J1598" t="n">
        <v>-0.4682</v>
      </c>
      <c r="K1598" t="n">
        <v>0.074</v>
      </c>
      <c r="L1598" t="n">
        <v>0.883</v>
      </c>
      <c r="M1598" t="n">
        <v>0.043</v>
      </c>
    </row>
    <row r="1599" spans="1:13">
      <c r="A1599" s="1">
        <f>HYPERLINK("http://www.twitter.com/NathanBLawrence/status/986440676828176384", "986440676828176384")</f>
        <v/>
      </c>
      <c r="B1599" s="2" t="n">
        <v>43208.1291550926</v>
      </c>
      <c r="C1599" t="n">
        <v>1</v>
      </c>
      <c r="D1599" t="n">
        <v>1</v>
      </c>
      <c r="E1599" t="s">
        <v>1610</v>
      </c>
      <c r="F1599" t="s"/>
      <c r="G1599" t="s"/>
      <c r="H1599" t="s"/>
      <c r="I1599" t="s"/>
      <c r="J1599" t="n">
        <v>0.4005</v>
      </c>
      <c r="K1599" t="n">
        <v>0.08500000000000001</v>
      </c>
      <c r="L1599" t="n">
        <v>0.782</v>
      </c>
      <c r="M1599" t="n">
        <v>0.133</v>
      </c>
    </row>
    <row r="1600" spans="1:13">
      <c r="A1600" s="1">
        <f>HYPERLINK("http://www.twitter.com/NathanBLawrence/status/986439774134243328", "986439774134243328")</f>
        <v/>
      </c>
      <c r="B1600" s="2" t="n">
        <v>43208.12665509259</v>
      </c>
      <c r="C1600" t="n">
        <v>2</v>
      </c>
      <c r="D1600" t="n">
        <v>0</v>
      </c>
      <c r="E1600" t="s">
        <v>1611</v>
      </c>
      <c r="F1600" t="s"/>
      <c r="G1600" t="s"/>
      <c r="H1600" t="s"/>
      <c r="I1600" t="s"/>
      <c r="J1600" t="n">
        <v>0.4404</v>
      </c>
      <c r="K1600" t="n">
        <v>0</v>
      </c>
      <c r="L1600" t="n">
        <v>0.828</v>
      </c>
      <c r="M1600" t="n">
        <v>0.172</v>
      </c>
    </row>
    <row r="1601" spans="1:13">
      <c r="A1601" s="1">
        <f>HYPERLINK("http://www.twitter.com/NathanBLawrence/status/986439504235024385", "986439504235024385")</f>
        <v/>
      </c>
      <c r="B1601" s="2" t="n">
        <v>43208.12591435185</v>
      </c>
      <c r="C1601" t="n">
        <v>8</v>
      </c>
      <c r="D1601" t="n">
        <v>0</v>
      </c>
      <c r="E1601" t="s">
        <v>1612</v>
      </c>
      <c r="F1601" t="s"/>
      <c r="G1601" t="s"/>
      <c r="H1601" t="s"/>
      <c r="I1601" t="s"/>
      <c r="J1601" t="n">
        <v>0.9286</v>
      </c>
      <c r="K1601" t="n">
        <v>0.035</v>
      </c>
      <c r="L1601" t="n">
        <v>0.701</v>
      </c>
      <c r="M1601" t="n">
        <v>0.264</v>
      </c>
    </row>
    <row r="1602" spans="1:13">
      <c r="A1602" s="1">
        <f>HYPERLINK("http://www.twitter.com/NathanBLawrence/status/986437373520154624", "986437373520154624")</f>
        <v/>
      </c>
      <c r="B1602" s="2" t="n">
        <v>43208.12003472223</v>
      </c>
      <c r="C1602" t="n">
        <v>1</v>
      </c>
      <c r="D1602" t="n">
        <v>1</v>
      </c>
      <c r="E1602" t="s">
        <v>1613</v>
      </c>
      <c r="F1602" t="s"/>
      <c r="G1602" t="s"/>
      <c r="H1602" t="s"/>
      <c r="I1602" t="s"/>
      <c r="J1602" t="n">
        <v>0.3757</v>
      </c>
      <c r="K1602" t="n">
        <v>0.035</v>
      </c>
      <c r="L1602" t="n">
        <v>0.885</v>
      </c>
      <c r="M1602" t="n">
        <v>0.08</v>
      </c>
    </row>
    <row r="1603" spans="1:13">
      <c r="A1603" s="1">
        <f>HYPERLINK("http://www.twitter.com/NathanBLawrence/status/986437086134841344", "986437086134841344")</f>
        <v/>
      </c>
      <c r="B1603" s="2" t="n">
        <v>43208.11924768519</v>
      </c>
      <c r="C1603" t="n">
        <v>3</v>
      </c>
      <c r="D1603" t="n">
        <v>1</v>
      </c>
      <c r="E1603" t="s">
        <v>1614</v>
      </c>
      <c r="F1603" t="s"/>
      <c r="G1603" t="s"/>
      <c r="H1603" t="s"/>
      <c r="I1603" t="s"/>
      <c r="J1603" t="n">
        <v>-0.926</v>
      </c>
      <c r="K1603" t="n">
        <v>0.37</v>
      </c>
      <c r="L1603" t="n">
        <v>0.467</v>
      </c>
      <c r="M1603" t="n">
        <v>0.163</v>
      </c>
    </row>
    <row r="1604" spans="1:13">
      <c r="A1604" s="1">
        <f>HYPERLINK("http://www.twitter.com/NathanBLawrence/status/986436574043951104", "986436574043951104")</f>
        <v/>
      </c>
      <c r="B1604" s="2" t="n">
        <v>43208.11783564815</v>
      </c>
      <c r="C1604" t="n">
        <v>0</v>
      </c>
      <c r="D1604" t="n">
        <v>0</v>
      </c>
      <c r="E1604" t="s">
        <v>1615</v>
      </c>
      <c r="F1604" t="s"/>
      <c r="G1604" t="s"/>
      <c r="H1604" t="s"/>
      <c r="I1604" t="s"/>
      <c r="J1604" t="n">
        <v>-0.3612</v>
      </c>
      <c r="K1604" t="n">
        <v>0.11</v>
      </c>
      <c r="L1604" t="n">
        <v>0.832</v>
      </c>
      <c r="M1604" t="n">
        <v>0.059</v>
      </c>
    </row>
    <row r="1605" spans="1:13">
      <c r="A1605" s="1">
        <f>HYPERLINK("http://www.twitter.com/NathanBLawrence/status/986435737393532929", "986435737393532929")</f>
        <v/>
      </c>
      <c r="B1605" s="2" t="n">
        <v>43208.11552083334</v>
      </c>
      <c r="C1605" t="n">
        <v>1</v>
      </c>
      <c r="D1605" t="n">
        <v>0</v>
      </c>
      <c r="E1605" t="s">
        <v>1616</v>
      </c>
      <c r="F1605" t="s"/>
      <c r="G1605" t="s"/>
      <c r="H1605" t="s"/>
      <c r="I1605" t="s"/>
      <c r="J1605" t="n">
        <v>-0.7926</v>
      </c>
      <c r="K1605" t="n">
        <v>0.165</v>
      </c>
      <c r="L1605" t="n">
        <v>0.787</v>
      </c>
      <c r="M1605" t="n">
        <v>0.048</v>
      </c>
    </row>
    <row r="1606" spans="1:13">
      <c r="A1606" s="1">
        <f>HYPERLINK("http://www.twitter.com/NathanBLawrence/status/986434864986710017", "986434864986710017")</f>
        <v/>
      </c>
      <c r="B1606" s="2" t="n">
        <v>43208.11311342593</v>
      </c>
      <c r="C1606" t="n">
        <v>3</v>
      </c>
      <c r="D1606" t="n">
        <v>2</v>
      </c>
      <c r="E1606" t="s">
        <v>1617</v>
      </c>
      <c r="F1606" t="s"/>
      <c r="G1606" t="s"/>
      <c r="H1606" t="s"/>
      <c r="I1606" t="s"/>
      <c r="J1606" t="n">
        <v>-0.3802</v>
      </c>
      <c r="K1606" t="n">
        <v>0.11</v>
      </c>
      <c r="L1606" t="n">
        <v>0.89</v>
      </c>
      <c r="M1606" t="n">
        <v>0</v>
      </c>
    </row>
    <row r="1607" spans="1:13">
      <c r="A1607" s="1">
        <f>HYPERLINK("http://www.twitter.com/NathanBLawrence/status/986433809599139840", "986433809599139840")</f>
        <v/>
      </c>
      <c r="B1607" s="2" t="n">
        <v>43208.11019675926</v>
      </c>
      <c r="C1607" t="n">
        <v>1</v>
      </c>
      <c r="D1607" t="n">
        <v>0</v>
      </c>
      <c r="E1607" t="s">
        <v>1618</v>
      </c>
      <c r="F1607" t="s"/>
      <c r="G1607" t="s"/>
      <c r="H1607" t="s"/>
      <c r="I1607" t="s"/>
      <c r="J1607" t="n">
        <v>-0.8012</v>
      </c>
      <c r="K1607" t="n">
        <v>0.251</v>
      </c>
      <c r="L1607" t="n">
        <v>0.6919999999999999</v>
      </c>
      <c r="M1607" t="n">
        <v>0.057</v>
      </c>
    </row>
    <row r="1608" spans="1:13">
      <c r="A1608" s="1">
        <f>HYPERLINK("http://www.twitter.com/NathanBLawrence/status/986433170815049728", "986433170815049728")</f>
        <v/>
      </c>
      <c r="B1608" s="2" t="n">
        <v>43208.1084375</v>
      </c>
      <c r="C1608" t="n">
        <v>1</v>
      </c>
      <c r="D1608" t="n">
        <v>1</v>
      </c>
      <c r="E1608" t="s">
        <v>1619</v>
      </c>
      <c r="F1608" t="s"/>
      <c r="G1608" t="s"/>
      <c r="H1608" t="s"/>
      <c r="I1608" t="s"/>
      <c r="J1608" t="n">
        <v>0.1154</v>
      </c>
      <c r="K1608" t="n">
        <v>0.07000000000000001</v>
      </c>
      <c r="L1608" t="n">
        <v>0.831</v>
      </c>
      <c r="M1608" t="n">
        <v>0.099</v>
      </c>
    </row>
    <row r="1609" spans="1:13">
      <c r="A1609" s="1">
        <f>HYPERLINK("http://www.twitter.com/NathanBLawrence/status/986432292905193474", "986432292905193474")</f>
        <v/>
      </c>
      <c r="B1609" s="2" t="n">
        <v>43208.10601851852</v>
      </c>
      <c r="C1609" t="n">
        <v>2</v>
      </c>
      <c r="D1609" t="n">
        <v>1</v>
      </c>
      <c r="E1609" t="s">
        <v>1620</v>
      </c>
      <c r="F1609" t="s"/>
      <c r="G1609" t="s"/>
      <c r="H1609" t="s"/>
      <c r="I1609" t="s"/>
      <c r="J1609" t="n">
        <v>0.7207</v>
      </c>
      <c r="K1609" t="n">
        <v>0.037</v>
      </c>
      <c r="L1609" t="n">
        <v>0.796</v>
      </c>
      <c r="M1609" t="n">
        <v>0.167</v>
      </c>
    </row>
    <row r="1610" spans="1:13">
      <c r="A1610" s="1">
        <f>HYPERLINK("http://www.twitter.com/NathanBLawrence/status/986431737688461313", "986431737688461313")</f>
        <v/>
      </c>
      <c r="B1610" s="2" t="n">
        <v>43208.10447916666</v>
      </c>
      <c r="C1610" t="n">
        <v>0</v>
      </c>
      <c r="D1610" t="n">
        <v>0</v>
      </c>
      <c r="E1610" t="s">
        <v>1621</v>
      </c>
      <c r="F1610" t="s"/>
      <c r="G1610" t="s"/>
      <c r="H1610" t="s"/>
      <c r="I1610" t="s"/>
      <c r="J1610" t="n">
        <v>0.7717000000000001</v>
      </c>
      <c r="K1610" t="n">
        <v>0</v>
      </c>
      <c r="L1610" t="n">
        <v>0.784</v>
      </c>
      <c r="M1610" t="n">
        <v>0.216</v>
      </c>
    </row>
    <row r="1611" spans="1:13">
      <c r="A1611" s="1">
        <f>HYPERLINK("http://www.twitter.com/NathanBLawrence/status/986431164482244608", "986431164482244608")</f>
        <v/>
      </c>
      <c r="B1611" s="2" t="n">
        <v>43208.10290509259</v>
      </c>
      <c r="C1611" t="n">
        <v>2</v>
      </c>
      <c r="D1611" t="n">
        <v>0</v>
      </c>
      <c r="E1611" t="s">
        <v>1622</v>
      </c>
      <c r="F1611" t="s"/>
      <c r="G1611" t="s"/>
      <c r="H1611" t="s"/>
      <c r="I1611" t="s"/>
      <c r="J1611" t="n">
        <v>0.7208</v>
      </c>
      <c r="K1611" t="n">
        <v>0.037</v>
      </c>
      <c r="L1611" t="n">
        <v>0.787</v>
      </c>
      <c r="M1611" t="n">
        <v>0.176</v>
      </c>
    </row>
    <row r="1612" spans="1:13">
      <c r="A1612" s="1">
        <f>HYPERLINK("http://www.twitter.com/NathanBLawrence/status/986429235869908992", "986429235869908992")</f>
        <v/>
      </c>
      <c r="B1612" s="2" t="n">
        <v>43208.09758101852</v>
      </c>
      <c r="C1612" t="n">
        <v>3</v>
      </c>
      <c r="D1612" t="n">
        <v>0</v>
      </c>
      <c r="E1612" t="s">
        <v>1623</v>
      </c>
      <c r="F1612" t="s"/>
      <c r="G1612" t="s"/>
      <c r="H1612" t="s"/>
      <c r="I1612" t="s"/>
      <c r="J1612" t="n">
        <v>0.6249</v>
      </c>
      <c r="K1612" t="n">
        <v>0</v>
      </c>
      <c r="L1612" t="n">
        <v>0.893</v>
      </c>
      <c r="M1612" t="n">
        <v>0.107</v>
      </c>
    </row>
    <row r="1613" spans="1:13">
      <c r="A1613" s="1">
        <f>HYPERLINK("http://www.twitter.com/NathanBLawrence/status/986408693595033600", "986408693595033600")</f>
        <v/>
      </c>
      <c r="B1613" s="2" t="n">
        <v>43208.0408912037</v>
      </c>
      <c r="C1613" t="n">
        <v>9</v>
      </c>
      <c r="D1613" t="n">
        <v>3</v>
      </c>
      <c r="E1613" t="s">
        <v>1624</v>
      </c>
      <c r="F1613" t="s"/>
      <c r="G1613" t="s"/>
      <c r="H1613" t="s"/>
      <c r="I1613" t="s"/>
      <c r="J1613" t="n">
        <v>0.3612</v>
      </c>
      <c r="K1613" t="n">
        <v>0</v>
      </c>
      <c r="L1613" t="n">
        <v>0.545</v>
      </c>
      <c r="M1613" t="n">
        <v>0.455</v>
      </c>
    </row>
    <row r="1614" spans="1:13">
      <c r="A1614" s="1">
        <f>HYPERLINK("http://www.twitter.com/NathanBLawrence/status/986408052801916928", "986408052801916928")</f>
        <v/>
      </c>
      <c r="B1614" s="2" t="n">
        <v>43208.03913194445</v>
      </c>
      <c r="C1614" t="n">
        <v>2</v>
      </c>
      <c r="D1614" t="n">
        <v>0</v>
      </c>
      <c r="E1614" t="s">
        <v>1625</v>
      </c>
      <c r="F1614" t="s"/>
      <c r="G1614" t="s"/>
      <c r="H1614" t="s"/>
      <c r="I1614" t="s"/>
      <c r="J1614" t="n">
        <v>0</v>
      </c>
      <c r="K1614" t="n">
        <v>0</v>
      </c>
      <c r="L1614" t="n">
        <v>1</v>
      </c>
      <c r="M1614" t="n">
        <v>0</v>
      </c>
    </row>
    <row r="1615" spans="1:13">
      <c r="A1615" s="1">
        <f>HYPERLINK("http://www.twitter.com/NathanBLawrence/status/986406801884229632", "986406801884229632")</f>
        <v/>
      </c>
      <c r="B1615" s="2" t="n">
        <v>43208.0356712963</v>
      </c>
      <c r="C1615" t="n">
        <v>2</v>
      </c>
      <c r="D1615" t="n">
        <v>0</v>
      </c>
      <c r="E1615" t="s">
        <v>1626</v>
      </c>
      <c r="F1615" t="s"/>
      <c r="G1615" t="s"/>
      <c r="H1615" t="s"/>
      <c r="I1615" t="s"/>
      <c r="J1615" t="n">
        <v>0</v>
      </c>
      <c r="K1615" t="n">
        <v>0</v>
      </c>
      <c r="L1615" t="n">
        <v>1</v>
      </c>
      <c r="M1615" t="n">
        <v>0</v>
      </c>
    </row>
    <row r="1616" spans="1:13">
      <c r="A1616" s="1">
        <f>HYPERLINK("http://www.twitter.com/NathanBLawrence/status/986371020956295168", "986371020956295168")</f>
        <v/>
      </c>
      <c r="B1616" s="2" t="n">
        <v>43207.93693287037</v>
      </c>
      <c r="C1616" t="n">
        <v>3</v>
      </c>
      <c r="D1616" t="n">
        <v>0</v>
      </c>
      <c r="E1616" t="s">
        <v>1627</v>
      </c>
      <c r="F1616" t="s"/>
      <c r="G1616" t="s"/>
      <c r="H1616" t="s"/>
      <c r="I1616" t="s"/>
      <c r="J1616" t="n">
        <v>0</v>
      </c>
      <c r="K1616" t="n">
        <v>0</v>
      </c>
      <c r="L1616" t="n">
        <v>1</v>
      </c>
      <c r="M1616" t="n">
        <v>0</v>
      </c>
    </row>
    <row r="1617" spans="1:13">
      <c r="A1617" s="1">
        <f>HYPERLINK("http://www.twitter.com/NathanBLawrence/status/986362732315365377", "986362732315365377")</f>
        <v/>
      </c>
      <c r="B1617" s="2" t="n">
        <v>43207.9140625</v>
      </c>
      <c r="C1617" t="n">
        <v>0</v>
      </c>
      <c r="D1617" t="n">
        <v>6</v>
      </c>
      <c r="E1617" t="s">
        <v>1628</v>
      </c>
      <c r="F1617" t="s"/>
      <c r="G1617" t="s"/>
      <c r="H1617" t="s"/>
      <c r="I1617" t="s"/>
      <c r="J1617" t="n">
        <v>0</v>
      </c>
      <c r="K1617" t="n">
        <v>0</v>
      </c>
      <c r="L1617" t="n">
        <v>1</v>
      </c>
      <c r="M1617" t="n">
        <v>0</v>
      </c>
    </row>
    <row r="1618" spans="1:13">
      <c r="A1618" s="1">
        <f>HYPERLINK("http://www.twitter.com/NathanBLawrence/status/986362543965900800", "986362543965900800")</f>
        <v/>
      </c>
      <c r="B1618" s="2" t="n">
        <v>43207.91354166667</v>
      </c>
      <c r="C1618" t="n">
        <v>0</v>
      </c>
      <c r="D1618" t="n">
        <v>0</v>
      </c>
      <c r="E1618" t="s">
        <v>1629</v>
      </c>
      <c r="F1618" t="s"/>
      <c r="G1618" t="s"/>
      <c r="H1618" t="s"/>
      <c r="I1618" t="s"/>
      <c r="J1618" t="n">
        <v>-0.6808</v>
      </c>
      <c r="K1618" t="n">
        <v>0.365</v>
      </c>
      <c r="L1618" t="n">
        <v>0.635</v>
      </c>
      <c r="M1618" t="n">
        <v>0</v>
      </c>
    </row>
    <row r="1619" spans="1:13">
      <c r="A1619" s="1">
        <f>HYPERLINK("http://www.twitter.com/NathanBLawrence/status/986362077190160384", "986362077190160384")</f>
        <v/>
      </c>
      <c r="B1619" s="2" t="n">
        <v>43207.91225694444</v>
      </c>
      <c r="C1619" t="n">
        <v>2</v>
      </c>
      <c r="D1619" t="n">
        <v>1</v>
      </c>
      <c r="E1619" t="s">
        <v>1630</v>
      </c>
      <c r="F1619" t="s"/>
      <c r="G1619" t="s"/>
      <c r="H1619" t="s"/>
      <c r="I1619" t="s"/>
      <c r="J1619" t="n">
        <v>0</v>
      </c>
      <c r="K1619" t="n">
        <v>0</v>
      </c>
      <c r="L1619" t="n">
        <v>1</v>
      </c>
      <c r="M1619" t="n">
        <v>0</v>
      </c>
    </row>
    <row r="1620" spans="1:13">
      <c r="A1620" s="1">
        <f>HYPERLINK("http://www.twitter.com/NathanBLawrence/status/986361534896136193", "986361534896136193")</f>
        <v/>
      </c>
      <c r="B1620" s="2" t="n">
        <v>43207.91076388889</v>
      </c>
      <c r="C1620" t="n">
        <v>4</v>
      </c>
      <c r="D1620" t="n">
        <v>0</v>
      </c>
      <c r="E1620" t="s">
        <v>1631</v>
      </c>
      <c r="F1620" t="s"/>
      <c r="G1620" t="s"/>
      <c r="H1620" t="s"/>
      <c r="I1620" t="s"/>
      <c r="J1620" t="n">
        <v>0</v>
      </c>
      <c r="K1620" t="n">
        <v>0</v>
      </c>
      <c r="L1620" t="n">
        <v>1</v>
      </c>
      <c r="M1620" t="n">
        <v>0</v>
      </c>
    </row>
    <row r="1621" spans="1:13">
      <c r="A1621" s="1">
        <f>HYPERLINK("http://www.twitter.com/NathanBLawrence/status/986361321334681600", "986361321334681600")</f>
        <v/>
      </c>
      <c r="B1621" s="2" t="n">
        <v>43207.91017361111</v>
      </c>
      <c r="C1621" t="n">
        <v>2</v>
      </c>
      <c r="D1621" t="n">
        <v>1</v>
      </c>
      <c r="E1621" t="s">
        <v>1632</v>
      </c>
      <c r="F1621" t="s"/>
      <c r="G1621" t="s"/>
      <c r="H1621" t="s"/>
      <c r="I1621" t="s"/>
      <c r="J1621" t="n">
        <v>-0.25</v>
      </c>
      <c r="K1621" t="n">
        <v>0.074</v>
      </c>
      <c r="L1621" t="n">
        <v>0.926</v>
      </c>
      <c r="M1621" t="n">
        <v>0</v>
      </c>
    </row>
    <row r="1622" spans="1:13">
      <c r="A1622" s="1">
        <f>HYPERLINK("http://www.twitter.com/NathanBLawrence/status/986355512521392128", "986355512521392128")</f>
        <v/>
      </c>
      <c r="B1622" s="2" t="n">
        <v>43207.89414351852</v>
      </c>
      <c r="C1622" t="n">
        <v>1</v>
      </c>
      <c r="D1622" t="n">
        <v>1</v>
      </c>
      <c r="E1622" t="s">
        <v>1633</v>
      </c>
      <c r="F1622" t="s"/>
      <c r="G1622" t="s"/>
      <c r="H1622" t="s"/>
      <c r="I1622" t="s"/>
      <c r="J1622" t="n">
        <v>0</v>
      </c>
      <c r="K1622" t="n">
        <v>0</v>
      </c>
      <c r="L1622" t="n">
        <v>1</v>
      </c>
      <c r="M1622" t="n">
        <v>0</v>
      </c>
    </row>
    <row r="1623" spans="1:13">
      <c r="A1623" s="1">
        <f>HYPERLINK("http://www.twitter.com/NathanBLawrence/status/986334105754357762", "986334105754357762")</f>
        <v/>
      </c>
      <c r="B1623" s="2" t="n">
        <v>43207.83506944445</v>
      </c>
      <c r="C1623" t="n">
        <v>0</v>
      </c>
      <c r="D1623" t="n">
        <v>0</v>
      </c>
      <c r="E1623" t="s">
        <v>1634</v>
      </c>
      <c r="F1623" t="s"/>
      <c r="G1623" t="s"/>
      <c r="H1623" t="s"/>
      <c r="I1623" t="s"/>
      <c r="J1623" t="n">
        <v>0</v>
      </c>
      <c r="K1623" t="n">
        <v>0</v>
      </c>
      <c r="L1623" t="n">
        <v>1</v>
      </c>
      <c r="M1623" t="n">
        <v>0</v>
      </c>
    </row>
    <row r="1624" spans="1:13">
      <c r="A1624" s="1">
        <f>HYPERLINK("http://www.twitter.com/NathanBLawrence/status/986332360819068939", "986332360819068939")</f>
        <v/>
      </c>
      <c r="B1624" s="2" t="n">
        <v>43207.83025462963</v>
      </c>
      <c r="C1624" t="n">
        <v>1</v>
      </c>
      <c r="D1624" t="n">
        <v>0</v>
      </c>
      <c r="E1624" t="s">
        <v>1635</v>
      </c>
      <c r="F1624" t="s"/>
      <c r="G1624" t="s"/>
      <c r="H1624" t="s"/>
      <c r="I1624" t="s"/>
      <c r="J1624" t="n">
        <v>-0.6369</v>
      </c>
      <c r="K1624" t="n">
        <v>0.193</v>
      </c>
      <c r="L1624" t="n">
        <v>0.738</v>
      </c>
      <c r="M1624" t="n">
        <v>0.06900000000000001</v>
      </c>
    </row>
    <row r="1625" spans="1:13">
      <c r="A1625" s="1">
        <f>HYPERLINK("http://www.twitter.com/NathanBLawrence/status/986326059149873154", "986326059149873154")</f>
        <v/>
      </c>
      <c r="B1625" s="2" t="n">
        <v>43207.81287037037</v>
      </c>
      <c r="C1625" t="n">
        <v>0</v>
      </c>
      <c r="D1625" t="n">
        <v>0</v>
      </c>
      <c r="E1625" t="s">
        <v>1636</v>
      </c>
      <c r="F1625" t="s"/>
      <c r="G1625" t="s"/>
      <c r="H1625" t="s"/>
      <c r="I1625" t="s"/>
      <c r="J1625" t="n">
        <v>-0.0258</v>
      </c>
      <c r="K1625" t="n">
        <v>0.055</v>
      </c>
      <c r="L1625" t="n">
        <v>0.893</v>
      </c>
      <c r="M1625" t="n">
        <v>0.052</v>
      </c>
    </row>
    <row r="1626" spans="1:13">
      <c r="A1626" s="1">
        <f>HYPERLINK("http://www.twitter.com/NathanBLawrence/status/986324837055565824", "986324837055565824")</f>
        <v/>
      </c>
      <c r="B1626" s="2" t="n">
        <v>43207.80949074074</v>
      </c>
      <c r="C1626" t="n">
        <v>7</v>
      </c>
      <c r="D1626" t="n">
        <v>3</v>
      </c>
      <c r="E1626" t="s">
        <v>1637</v>
      </c>
      <c r="F1626" t="s"/>
      <c r="G1626" t="s"/>
      <c r="H1626" t="s"/>
      <c r="I1626" t="s"/>
      <c r="J1626" t="n">
        <v>0.6696</v>
      </c>
      <c r="K1626" t="n">
        <v>0</v>
      </c>
      <c r="L1626" t="n">
        <v>0.756</v>
      </c>
      <c r="M1626" t="n">
        <v>0.244</v>
      </c>
    </row>
    <row r="1627" spans="1:13">
      <c r="A1627" s="1">
        <f>HYPERLINK("http://www.twitter.com/NathanBLawrence/status/986324014418268160", "986324014418268160")</f>
        <v/>
      </c>
      <c r="B1627" s="2" t="n">
        <v>43207.80722222223</v>
      </c>
      <c r="C1627" t="n">
        <v>0</v>
      </c>
      <c r="D1627" t="n">
        <v>0</v>
      </c>
      <c r="E1627" t="s">
        <v>1638</v>
      </c>
      <c r="F1627" t="s"/>
      <c r="G1627" t="s"/>
      <c r="H1627" t="s"/>
      <c r="I1627" t="s"/>
      <c r="J1627" t="n">
        <v>-0.4019</v>
      </c>
      <c r="K1627" t="n">
        <v>0.162</v>
      </c>
      <c r="L1627" t="n">
        <v>0.838</v>
      </c>
      <c r="M1627" t="n">
        <v>0</v>
      </c>
    </row>
    <row r="1628" spans="1:13">
      <c r="A1628" s="1">
        <f>HYPERLINK("http://www.twitter.com/NathanBLawrence/status/986323551128031232", "986323551128031232")</f>
        <v/>
      </c>
      <c r="B1628" s="2" t="n">
        <v>43207.80594907407</v>
      </c>
      <c r="C1628" t="n">
        <v>0</v>
      </c>
      <c r="D1628" t="n">
        <v>0</v>
      </c>
      <c r="E1628" t="s">
        <v>1639</v>
      </c>
      <c r="F1628" t="s"/>
      <c r="G1628" t="s"/>
      <c r="H1628" t="s"/>
      <c r="I1628" t="s"/>
      <c r="J1628" t="n">
        <v>-0.2185</v>
      </c>
      <c r="K1628" t="n">
        <v>0.114</v>
      </c>
      <c r="L1628" t="n">
        <v>0.768</v>
      </c>
      <c r="M1628" t="n">
        <v>0.118</v>
      </c>
    </row>
    <row r="1629" spans="1:13">
      <c r="A1629" s="1">
        <f>HYPERLINK("http://www.twitter.com/NathanBLawrence/status/986305049574985728", "986305049574985728")</f>
        <v/>
      </c>
      <c r="B1629" s="2" t="n">
        <v>43207.75489583334</v>
      </c>
      <c r="C1629" t="n">
        <v>5</v>
      </c>
      <c r="D1629" t="n">
        <v>3</v>
      </c>
      <c r="E1629" t="s">
        <v>1640</v>
      </c>
      <c r="F1629" t="s"/>
      <c r="G1629" t="s"/>
      <c r="H1629" t="s"/>
      <c r="I1629" t="s"/>
      <c r="J1629" t="n">
        <v>-0.5610000000000001</v>
      </c>
      <c r="K1629" t="n">
        <v>0.111</v>
      </c>
      <c r="L1629" t="n">
        <v>0.889</v>
      </c>
      <c r="M1629" t="n">
        <v>0</v>
      </c>
    </row>
    <row r="1630" spans="1:13">
      <c r="A1630" s="1">
        <f>HYPERLINK("http://www.twitter.com/NathanBLawrence/status/986269944773046274", "986269944773046274")</f>
        <v/>
      </c>
      <c r="B1630" s="2" t="n">
        <v>43207.65802083333</v>
      </c>
      <c r="C1630" t="n">
        <v>0</v>
      </c>
      <c r="D1630" t="n">
        <v>0</v>
      </c>
      <c r="E1630" t="s">
        <v>1641</v>
      </c>
      <c r="F1630" t="s"/>
      <c r="G1630" t="s"/>
      <c r="H1630" t="s"/>
      <c r="I1630" t="s"/>
      <c r="J1630" t="n">
        <v>0</v>
      </c>
      <c r="K1630" t="n">
        <v>0</v>
      </c>
      <c r="L1630" t="n">
        <v>1</v>
      </c>
      <c r="M1630" t="n">
        <v>0</v>
      </c>
    </row>
    <row r="1631" spans="1:13">
      <c r="A1631" s="1">
        <f>HYPERLINK("http://www.twitter.com/NathanBLawrence/status/986269099616624640", "986269099616624640")</f>
        <v/>
      </c>
      <c r="B1631" s="2" t="n">
        <v>43207.65568287037</v>
      </c>
      <c r="C1631" t="n">
        <v>0</v>
      </c>
      <c r="D1631" t="n">
        <v>4</v>
      </c>
      <c r="E1631" t="s">
        <v>1642</v>
      </c>
      <c r="F1631" t="s"/>
      <c r="G1631" t="s"/>
      <c r="H1631" t="s"/>
      <c r="I1631" t="s"/>
      <c r="J1631" t="n">
        <v>0.7003</v>
      </c>
      <c r="K1631" t="n">
        <v>0</v>
      </c>
      <c r="L1631" t="n">
        <v>0.638</v>
      </c>
      <c r="M1631" t="n">
        <v>0.362</v>
      </c>
    </row>
    <row r="1632" spans="1:13">
      <c r="A1632" s="1">
        <f>HYPERLINK("http://www.twitter.com/NathanBLawrence/status/986268947589804032", "986268947589804032")</f>
        <v/>
      </c>
      <c r="B1632" s="2" t="n">
        <v>43207.65526620371</v>
      </c>
      <c r="C1632" t="n">
        <v>3</v>
      </c>
      <c r="D1632" t="n">
        <v>0</v>
      </c>
      <c r="E1632" t="s">
        <v>1643</v>
      </c>
      <c r="F1632" t="s"/>
      <c r="G1632" t="s"/>
      <c r="H1632" t="s"/>
      <c r="I1632" t="s"/>
      <c r="J1632" t="n">
        <v>0</v>
      </c>
      <c r="K1632" t="n">
        <v>0</v>
      </c>
      <c r="L1632" t="n">
        <v>1</v>
      </c>
      <c r="M1632" t="n">
        <v>0</v>
      </c>
    </row>
    <row r="1633" spans="1:13">
      <c r="A1633" s="1">
        <f>HYPERLINK("http://www.twitter.com/NathanBLawrence/status/986268779528314881", "986268779528314881")</f>
        <v/>
      </c>
      <c r="B1633" s="2" t="n">
        <v>43207.65480324074</v>
      </c>
      <c r="C1633" t="n">
        <v>1</v>
      </c>
      <c r="D1633" t="n">
        <v>0</v>
      </c>
      <c r="E1633" t="s">
        <v>1644</v>
      </c>
      <c r="F1633" t="s"/>
      <c r="G1633" t="s"/>
      <c r="H1633" t="s"/>
      <c r="I1633" t="s"/>
      <c r="J1633" t="n">
        <v>-0.7074</v>
      </c>
      <c r="K1633" t="n">
        <v>0.83</v>
      </c>
      <c r="L1633" t="n">
        <v>0.17</v>
      </c>
      <c r="M1633" t="n">
        <v>0</v>
      </c>
    </row>
    <row r="1634" spans="1:13">
      <c r="A1634" s="1">
        <f>HYPERLINK("http://www.twitter.com/NathanBLawrence/status/986268562888298496", "986268562888298496")</f>
        <v/>
      </c>
      <c r="B1634" s="2" t="n">
        <v>43207.65421296296</v>
      </c>
      <c r="C1634" t="n">
        <v>1</v>
      </c>
      <c r="D1634" t="n">
        <v>0</v>
      </c>
      <c r="E1634" t="s">
        <v>1645</v>
      </c>
      <c r="F1634" t="s"/>
      <c r="G1634" t="s"/>
      <c r="H1634" t="s"/>
      <c r="I1634" t="s"/>
      <c r="J1634" t="n">
        <v>0.5266999999999999</v>
      </c>
      <c r="K1634" t="n">
        <v>0</v>
      </c>
      <c r="L1634" t="n">
        <v>0.773</v>
      </c>
      <c r="M1634" t="n">
        <v>0.227</v>
      </c>
    </row>
    <row r="1635" spans="1:13">
      <c r="A1635" s="1">
        <f>HYPERLINK("http://www.twitter.com/NathanBLawrence/status/986267044101443584", "986267044101443584")</f>
        <v/>
      </c>
      <c r="B1635" s="2" t="n">
        <v>43207.65001157407</v>
      </c>
      <c r="C1635" t="n">
        <v>2</v>
      </c>
      <c r="D1635" t="n">
        <v>0</v>
      </c>
      <c r="E1635" t="s">
        <v>1646</v>
      </c>
      <c r="F1635" t="s"/>
      <c r="G1635" t="s"/>
      <c r="H1635" t="s"/>
      <c r="I1635" t="s"/>
      <c r="J1635" t="n">
        <v>0.4724</v>
      </c>
      <c r="K1635" t="n">
        <v>0</v>
      </c>
      <c r="L1635" t="n">
        <v>0.882</v>
      </c>
      <c r="M1635" t="n">
        <v>0.118</v>
      </c>
    </row>
    <row r="1636" spans="1:13">
      <c r="A1636" s="1">
        <f>HYPERLINK("http://www.twitter.com/NathanBLawrence/status/986266505414311937", "986266505414311937")</f>
        <v/>
      </c>
      <c r="B1636" s="2" t="n">
        <v>43207.64853009259</v>
      </c>
      <c r="C1636" t="n">
        <v>1</v>
      </c>
      <c r="D1636" t="n">
        <v>0</v>
      </c>
      <c r="E1636" t="s">
        <v>1647</v>
      </c>
      <c r="F1636" t="s"/>
      <c r="G1636" t="s"/>
      <c r="H1636" t="s"/>
      <c r="I1636" t="s"/>
      <c r="J1636" t="n">
        <v>0.7177</v>
      </c>
      <c r="K1636" t="n">
        <v>0</v>
      </c>
      <c r="L1636" t="n">
        <v>0.616</v>
      </c>
      <c r="M1636" t="n">
        <v>0.384</v>
      </c>
    </row>
    <row r="1637" spans="1:13">
      <c r="A1637" s="1">
        <f>HYPERLINK("http://www.twitter.com/NathanBLawrence/status/986266191504211968", "986266191504211968")</f>
        <v/>
      </c>
      <c r="B1637" s="2" t="n">
        <v>43207.64766203704</v>
      </c>
      <c r="C1637" t="n">
        <v>2</v>
      </c>
      <c r="D1637" t="n">
        <v>0</v>
      </c>
      <c r="E1637" t="s">
        <v>1648</v>
      </c>
      <c r="F1637" t="s"/>
      <c r="G1637" t="s"/>
      <c r="H1637" t="s"/>
      <c r="I1637" t="s"/>
      <c r="J1637" t="n">
        <v>0.3802</v>
      </c>
      <c r="K1637" t="n">
        <v>0</v>
      </c>
      <c r="L1637" t="n">
        <v>0.868</v>
      </c>
      <c r="M1637" t="n">
        <v>0.132</v>
      </c>
    </row>
    <row r="1638" spans="1:13">
      <c r="A1638" s="1">
        <f>HYPERLINK("http://www.twitter.com/NathanBLawrence/status/986265930136260608", "986265930136260608")</f>
        <v/>
      </c>
      <c r="B1638" s="2" t="n">
        <v>43207.64694444444</v>
      </c>
      <c r="C1638" t="n">
        <v>2</v>
      </c>
      <c r="D1638" t="n">
        <v>0</v>
      </c>
      <c r="E1638" t="s">
        <v>1649</v>
      </c>
      <c r="F1638">
        <f>HYPERLINK("http://pbs.twimg.com/media/Da_roXSUQAA6iPu.jpg", "http://pbs.twimg.com/media/Da_roXSUQAA6iPu.jpg")</f>
        <v/>
      </c>
      <c r="G1638" t="s"/>
      <c r="H1638" t="s"/>
      <c r="I1638" t="s"/>
      <c r="J1638" t="n">
        <v>0.7034</v>
      </c>
      <c r="K1638" t="n">
        <v>0</v>
      </c>
      <c r="L1638" t="n">
        <v>0.774</v>
      </c>
      <c r="M1638" t="n">
        <v>0.226</v>
      </c>
    </row>
    <row r="1639" spans="1:13">
      <c r="A1639" s="1">
        <f>HYPERLINK("http://www.twitter.com/NathanBLawrence/status/986264575816404993", "986264575816404993")</f>
        <v/>
      </c>
      <c r="B1639" s="2" t="n">
        <v>43207.64320601852</v>
      </c>
      <c r="C1639" t="n">
        <v>1</v>
      </c>
      <c r="D1639" t="n">
        <v>0</v>
      </c>
      <c r="E1639" t="s">
        <v>1650</v>
      </c>
      <c r="F1639" t="s"/>
      <c r="G1639" t="s"/>
      <c r="H1639" t="s"/>
      <c r="I1639" t="s"/>
      <c r="J1639" t="n">
        <v>0.5423</v>
      </c>
      <c r="K1639" t="n">
        <v>0</v>
      </c>
      <c r="L1639" t="n">
        <v>0.87</v>
      </c>
      <c r="M1639" t="n">
        <v>0.13</v>
      </c>
    </row>
    <row r="1640" spans="1:13">
      <c r="A1640" s="1">
        <f>HYPERLINK("http://www.twitter.com/NathanBLawrence/status/986263532462313473", "986263532462313473")</f>
        <v/>
      </c>
      <c r="B1640" s="2" t="n">
        <v>43207.64032407408</v>
      </c>
      <c r="C1640" t="n">
        <v>1</v>
      </c>
      <c r="D1640" t="n">
        <v>1</v>
      </c>
      <c r="E1640" t="s">
        <v>1651</v>
      </c>
      <c r="F1640" t="s"/>
      <c r="G1640" t="s"/>
      <c r="H1640" t="s"/>
      <c r="I1640" t="s"/>
      <c r="J1640" t="n">
        <v>0</v>
      </c>
      <c r="K1640" t="n">
        <v>0</v>
      </c>
      <c r="L1640" t="n">
        <v>1</v>
      </c>
      <c r="M1640" t="n">
        <v>0</v>
      </c>
    </row>
    <row r="1641" spans="1:13">
      <c r="A1641" s="1">
        <f>HYPERLINK("http://www.twitter.com/NathanBLawrence/status/986262898245865472", "986262898245865472")</f>
        <v/>
      </c>
      <c r="B1641" s="2" t="n">
        <v>43207.63857638889</v>
      </c>
      <c r="C1641" t="n">
        <v>1</v>
      </c>
      <c r="D1641" t="n">
        <v>0</v>
      </c>
      <c r="E1641" t="s">
        <v>1652</v>
      </c>
      <c r="F1641" t="s"/>
      <c r="G1641" t="s"/>
      <c r="H1641" t="s"/>
      <c r="I1641" t="s"/>
      <c r="J1641" t="n">
        <v>0.8905999999999999</v>
      </c>
      <c r="K1641" t="n">
        <v>0</v>
      </c>
      <c r="L1641" t="n">
        <v>0.633</v>
      </c>
      <c r="M1641" t="n">
        <v>0.367</v>
      </c>
    </row>
    <row r="1642" spans="1:13">
      <c r="A1642" s="1">
        <f>HYPERLINK("http://www.twitter.com/NathanBLawrence/status/986262408548241409", "986262408548241409")</f>
        <v/>
      </c>
      <c r="B1642" s="2" t="n">
        <v>43207.63722222222</v>
      </c>
      <c r="C1642" t="n">
        <v>1</v>
      </c>
      <c r="D1642" t="n">
        <v>0</v>
      </c>
      <c r="E1642" t="s">
        <v>1653</v>
      </c>
      <c r="F1642" t="s"/>
      <c r="G1642" t="s"/>
      <c r="H1642" t="s"/>
      <c r="I1642" t="s"/>
      <c r="J1642" t="n">
        <v>0.4019</v>
      </c>
      <c r="K1642" t="n">
        <v>0</v>
      </c>
      <c r="L1642" t="n">
        <v>0.6899999999999999</v>
      </c>
      <c r="M1642" t="n">
        <v>0.31</v>
      </c>
    </row>
    <row r="1643" spans="1:13">
      <c r="A1643" s="1">
        <f>HYPERLINK("http://www.twitter.com/NathanBLawrence/status/986262097205059585", "986262097205059585")</f>
        <v/>
      </c>
      <c r="B1643" s="2" t="n">
        <v>43207.63636574074</v>
      </c>
      <c r="C1643" t="n">
        <v>0</v>
      </c>
      <c r="D1643" t="n">
        <v>0</v>
      </c>
      <c r="E1643" t="s">
        <v>1654</v>
      </c>
      <c r="F1643" t="s"/>
      <c r="G1643" t="s"/>
      <c r="H1643" t="s"/>
      <c r="I1643" t="s"/>
      <c r="J1643" t="n">
        <v>0</v>
      </c>
      <c r="K1643" t="n">
        <v>0</v>
      </c>
      <c r="L1643" t="n">
        <v>1</v>
      </c>
      <c r="M1643" t="n">
        <v>0</v>
      </c>
    </row>
    <row r="1644" spans="1:13">
      <c r="A1644" s="1">
        <f>HYPERLINK("http://www.twitter.com/NathanBLawrence/status/986261553874980865", "986261553874980865")</f>
        <v/>
      </c>
      <c r="B1644" s="2" t="n">
        <v>43207.63486111111</v>
      </c>
      <c r="C1644" t="n">
        <v>0</v>
      </c>
      <c r="D1644" t="n">
        <v>19</v>
      </c>
      <c r="E1644" t="s">
        <v>1655</v>
      </c>
      <c r="F1644">
        <f>HYPERLINK("http://pbs.twimg.com/media/Da5W86aWAAM9G8i.jpg", "http://pbs.twimg.com/media/Da5W86aWAAM9G8i.jpg")</f>
        <v/>
      </c>
      <c r="G1644" t="s"/>
      <c r="H1644" t="s"/>
      <c r="I1644" t="s"/>
      <c r="J1644" t="n">
        <v>0</v>
      </c>
      <c r="K1644" t="n">
        <v>0</v>
      </c>
      <c r="L1644" t="n">
        <v>1</v>
      </c>
      <c r="M1644" t="n">
        <v>0</v>
      </c>
    </row>
    <row r="1645" spans="1:13">
      <c r="A1645" s="1">
        <f>HYPERLINK("http://www.twitter.com/NathanBLawrence/status/986261105768099840", "986261105768099840")</f>
        <v/>
      </c>
      <c r="B1645" s="2" t="n">
        <v>43207.63363425926</v>
      </c>
      <c r="C1645" t="n">
        <v>1</v>
      </c>
      <c r="D1645" t="n">
        <v>0</v>
      </c>
      <c r="E1645" t="s">
        <v>1656</v>
      </c>
      <c r="F1645" t="s"/>
      <c r="G1645" t="s"/>
      <c r="H1645" t="s"/>
      <c r="I1645" t="s"/>
      <c r="J1645" t="n">
        <v>-0.7579</v>
      </c>
      <c r="K1645" t="n">
        <v>0.351</v>
      </c>
      <c r="L1645" t="n">
        <v>0.649</v>
      </c>
      <c r="M1645" t="n">
        <v>0</v>
      </c>
    </row>
    <row r="1646" spans="1:13">
      <c r="A1646" s="1">
        <f>HYPERLINK("http://www.twitter.com/NathanBLawrence/status/986259599807348738", "986259599807348738")</f>
        <v/>
      </c>
      <c r="B1646" s="2" t="n">
        <v>43207.62947916667</v>
      </c>
      <c r="C1646" t="n">
        <v>1</v>
      </c>
      <c r="D1646" t="n">
        <v>0</v>
      </c>
      <c r="E1646" t="s">
        <v>1657</v>
      </c>
      <c r="F1646" t="s"/>
      <c r="G1646" t="s"/>
      <c r="H1646" t="s"/>
      <c r="I1646" t="s"/>
      <c r="J1646" t="n">
        <v>0</v>
      </c>
      <c r="K1646" t="n">
        <v>0</v>
      </c>
      <c r="L1646" t="n">
        <v>1</v>
      </c>
      <c r="M1646" t="n">
        <v>0</v>
      </c>
    </row>
    <row r="1647" spans="1:13">
      <c r="A1647" s="1">
        <f>HYPERLINK("http://www.twitter.com/NathanBLawrence/status/986259471675592704", "986259471675592704")</f>
        <v/>
      </c>
      <c r="B1647" s="2" t="n">
        <v>43207.62912037037</v>
      </c>
      <c r="C1647" t="n">
        <v>0</v>
      </c>
      <c r="D1647" t="n">
        <v>11</v>
      </c>
      <c r="E1647" t="s">
        <v>1658</v>
      </c>
      <c r="F1647" t="s"/>
      <c r="G1647" t="s"/>
      <c r="H1647" t="s"/>
      <c r="I1647" t="s"/>
      <c r="J1647" t="n">
        <v>0.8070000000000001</v>
      </c>
      <c r="K1647" t="n">
        <v>0</v>
      </c>
      <c r="L1647" t="n">
        <v>0.7</v>
      </c>
      <c r="M1647" t="n">
        <v>0.3</v>
      </c>
    </row>
    <row r="1648" spans="1:13">
      <c r="A1648" s="1">
        <f>HYPERLINK("http://www.twitter.com/NathanBLawrence/status/986259286937530369", "986259286937530369")</f>
        <v/>
      </c>
      <c r="B1648" s="2" t="n">
        <v>43207.62861111111</v>
      </c>
      <c r="C1648" t="n">
        <v>1</v>
      </c>
      <c r="D1648" t="n">
        <v>0</v>
      </c>
      <c r="E1648" t="s">
        <v>1659</v>
      </c>
      <c r="F1648" t="s"/>
      <c r="G1648" t="s"/>
      <c r="H1648" t="s"/>
      <c r="I1648" t="s"/>
      <c r="J1648" t="n">
        <v>0</v>
      </c>
      <c r="K1648" t="n">
        <v>0</v>
      </c>
      <c r="L1648" t="n">
        <v>1</v>
      </c>
      <c r="M1648" t="n">
        <v>0</v>
      </c>
    </row>
    <row r="1649" spans="1:13">
      <c r="A1649" s="1">
        <f>HYPERLINK("http://www.twitter.com/NathanBLawrence/status/986258995131371520", "986258995131371520")</f>
        <v/>
      </c>
      <c r="B1649" s="2" t="n">
        <v>43207.62780092593</v>
      </c>
      <c r="C1649" t="n">
        <v>2</v>
      </c>
      <c r="D1649" t="n">
        <v>0</v>
      </c>
      <c r="E1649" t="s">
        <v>1660</v>
      </c>
      <c r="F1649" t="s"/>
      <c r="G1649" t="s"/>
      <c r="H1649" t="s"/>
      <c r="I1649" t="s"/>
      <c r="J1649" t="n">
        <v>0.3595</v>
      </c>
      <c r="K1649" t="n">
        <v>0</v>
      </c>
      <c r="L1649" t="n">
        <v>0.884</v>
      </c>
      <c r="M1649" t="n">
        <v>0.116</v>
      </c>
    </row>
    <row r="1650" spans="1:13">
      <c r="A1650" s="1">
        <f>HYPERLINK("http://www.twitter.com/NathanBLawrence/status/986258749915631617", "986258749915631617")</f>
        <v/>
      </c>
      <c r="B1650" s="2" t="n">
        <v>43207.62712962963</v>
      </c>
      <c r="C1650" t="n">
        <v>3</v>
      </c>
      <c r="D1650" t="n">
        <v>3</v>
      </c>
      <c r="E1650" t="s">
        <v>1661</v>
      </c>
      <c r="F1650" t="s"/>
      <c r="G1650" t="s"/>
      <c r="H1650" t="s"/>
      <c r="I1650" t="s"/>
      <c r="J1650" t="n">
        <v>0.8668</v>
      </c>
      <c r="K1650" t="n">
        <v>0</v>
      </c>
      <c r="L1650" t="n">
        <v>0.6909999999999999</v>
      </c>
      <c r="M1650" t="n">
        <v>0.309</v>
      </c>
    </row>
    <row r="1651" spans="1:13">
      <c r="A1651" s="1">
        <f>HYPERLINK("http://www.twitter.com/NathanBLawrence/status/986252996332974080", "986252996332974080")</f>
        <v/>
      </c>
      <c r="B1651" s="2" t="n">
        <v>43207.61125</v>
      </c>
      <c r="C1651" t="n">
        <v>0</v>
      </c>
      <c r="D1651" t="n">
        <v>0</v>
      </c>
      <c r="E1651" t="s">
        <v>1662</v>
      </c>
      <c r="F1651" t="s"/>
      <c r="G1651" t="s"/>
      <c r="H1651" t="s"/>
      <c r="I1651" t="s"/>
      <c r="J1651" t="n">
        <v>0.8468</v>
      </c>
      <c r="K1651" t="n">
        <v>0.06900000000000001</v>
      </c>
      <c r="L1651" t="n">
        <v>0.699</v>
      </c>
      <c r="M1651" t="n">
        <v>0.233</v>
      </c>
    </row>
    <row r="1652" spans="1:13">
      <c r="A1652" s="1">
        <f>HYPERLINK("http://www.twitter.com/NathanBLawrence/status/986251779087241216", "986251779087241216")</f>
        <v/>
      </c>
      <c r="B1652" s="2" t="n">
        <v>43207.60789351852</v>
      </c>
      <c r="C1652" t="n">
        <v>0</v>
      </c>
      <c r="D1652" t="n">
        <v>0</v>
      </c>
      <c r="E1652" t="s">
        <v>1663</v>
      </c>
      <c r="F1652" t="s"/>
      <c r="G1652" t="s"/>
      <c r="H1652" t="s"/>
      <c r="I1652" t="s"/>
      <c r="J1652" t="n">
        <v>0</v>
      </c>
      <c r="K1652" t="n">
        <v>0</v>
      </c>
      <c r="L1652" t="n">
        <v>1</v>
      </c>
      <c r="M1652" t="n">
        <v>0</v>
      </c>
    </row>
    <row r="1653" spans="1:13">
      <c r="A1653" s="1">
        <f>HYPERLINK("http://www.twitter.com/NathanBLawrence/status/986251462668881920", "986251462668881920")</f>
        <v/>
      </c>
      <c r="B1653" s="2" t="n">
        <v>43207.60702546296</v>
      </c>
      <c r="C1653" t="n">
        <v>1</v>
      </c>
      <c r="D1653" t="n">
        <v>0</v>
      </c>
      <c r="E1653" t="s">
        <v>1664</v>
      </c>
      <c r="F1653" t="s"/>
      <c r="G1653" t="s"/>
      <c r="H1653" t="s"/>
      <c r="I1653" t="s"/>
      <c r="J1653" t="n">
        <v>-0.3802</v>
      </c>
      <c r="K1653" t="n">
        <v>0.191</v>
      </c>
      <c r="L1653" t="n">
        <v>0.646</v>
      </c>
      <c r="M1653" t="n">
        <v>0.164</v>
      </c>
    </row>
    <row r="1654" spans="1:13">
      <c r="A1654" s="1">
        <f>HYPERLINK("http://www.twitter.com/NathanBLawrence/status/986250794797273088", "986250794797273088")</f>
        <v/>
      </c>
      <c r="B1654" s="2" t="n">
        <v>43207.60517361111</v>
      </c>
      <c r="C1654" t="n">
        <v>0</v>
      </c>
      <c r="D1654" t="n">
        <v>0</v>
      </c>
      <c r="E1654" t="s">
        <v>1665</v>
      </c>
      <c r="F1654" t="s"/>
      <c r="G1654" t="s"/>
      <c r="H1654" t="s"/>
      <c r="I1654" t="s"/>
      <c r="J1654" t="n">
        <v>0</v>
      </c>
      <c r="K1654" t="n">
        <v>0</v>
      </c>
      <c r="L1654" t="n">
        <v>1</v>
      </c>
      <c r="M1654" t="n">
        <v>0</v>
      </c>
    </row>
    <row r="1655" spans="1:13">
      <c r="A1655" s="1">
        <f>HYPERLINK("http://www.twitter.com/NathanBLawrence/status/986250139655426051", "986250139655426051")</f>
        <v/>
      </c>
      <c r="B1655" s="2" t="n">
        <v>43207.60336805556</v>
      </c>
      <c r="C1655" t="n">
        <v>1</v>
      </c>
      <c r="D1655" t="n">
        <v>0</v>
      </c>
      <c r="E1655" t="s">
        <v>1666</v>
      </c>
      <c r="F1655" t="s"/>
      <c r="G1655" t="s"/>
      <c r="H1655" t="s"/>
      <c r="I1655" t="s"/>
      <c r="J1655" t="n">
        <v>0.4926</v>
      </c>
      <c r="K1655" t="n">
        <v>0</v>
      </c>
      <c r="L1655" t="n">
        <v>0.738</v>
      </c>
      <c r="M1655" t="n">
        <v>0.262</v>
      </c>
    </row>
    <row r="1656" spans="1:13">
      <c r="A1656" s="1">
        <f>HYPERLINK("http://www.twitter.com/NathanBLawrence/status/986249641917329409", "986249641917329409")</f>
        <v/>
      </c>
      <c r="B1656" s="2" t="n">
        <v>43207.60199074074</v>
      </c>
      <c r="C1656" t="n">
        <v>1</v>
      </c>
      <c r="D1656" t="n">
        <v>0</v>
      </c>
      <c r="E1656" t="s">
        <v>1667</v>
      </c>
      <c r="F1656" t="s"/>
      <c r="G1656" t="s"/>
      <c r="H1656" t="s"/>
      <c r="I1656" t="s"/>
      <c r="J1656" t="n">
        <v>0.6369</v>
      </c>
      <c r="K1656" t="n">
        <v>0</v>
      </c>
      <c r="L1656" t="n">
        <v>0.903</v>
      </c>
      <c r="M1656" t="n">
        <v>0.097</v>
      </c>
    </row>
    <row r="1657" spans="1:13">
      <c r="A1657" s="1">
        <f>HYPERLINK("http://www.twitter.com/NathanBLawrence/status/986238778304942080", "986238778304942080")</f>
        <v/>
      </c>
      <c r="B1657" s="2" t="n">
        <v>43207.57201388889</v>
      </c>
      <c r="C1657" t="n">
        <v>3</v>
      </c>
      <c r="D1657" t="n">
        <v>1</v>
      </c>
      <c r="E1657" t="s">
        <v>1668</v>
      </c>
      <c r="F1657" t="s"/>
      <c r="G1657" t="s"/>
      <c r="H1657" t="s"/>
      <c r="I1657" t="s"/>
      <c r="J1657" t="n">
        <v>0</v>
      </c>
      <c r="K1657" t="n">
        <v>0</v>
      </c>
      <c r="L1657" t="n">
        <v>1</v>
      </c>
      <c r="M1657" t="n">
        <v>0</v>
      </c>
    </row>
    <row r="1658" spans="1:13">
      <c r="A1658" s="1">
        <f>HYPERLINK("http://www.twitter.com/NathanBLawrence/status/986237332901761024", "986237332901761024")</f>
        <v/>
      </c>
      <c r="B1658" s="2" t="n">
        <v>43207.56803240741</v>
      </c>
      <c r="C1658" t="n">
        <v>4</v>
      </c>
      <c r="D1658" t="n">
        <v>0</v>
      </c>
      <c r="E1658" t="s">
        <v>1669</v>
      </c>
      <c r="F1658" t="s"/>
      <c r="G1658" t="s"/>
      <c r="H1658" t="s"/>
      <c r="I1658" t="s"/>
      <c r="J1658" t="n">
        <v>-0.3595</v>
      </c>
      <c r="K1658" t="n">
        <v>0.167</v>
      </c>
      <c r="L1658" t="n">
        <v>0.722</v>
      </c>
      <c r="M1658" t="n">
        <v>0.111</v>
      </c>
    </row>
    <row r="1659" spans="1:13">
      <c r="A1659" s="1">
        <f>HYPERLINK("http://www.twitter.com/NathanBLawrence/status/986236308463988736", "986236308463988736")</f>
        <v/>
      </c>
      <c r="B1659" s="2" t="n">
        <v>43207.56519675926</v>
      </c>
      <c r="C1659" t="n">
        <v>2</v>
      </c>
      <c r="D1659" t="n">
        <v>0</v>
      </c>
      <c r="E1659" t="s">
        <v>1670</v>
      </c>
      <c r="F1659" t="s"/>
      <c r="G1659" t="s"/>
      <c r="H1659" t="s"/>
      <c r="I1659" t="s"/>
      <c r="J1659" t="n">
        <v>0.7241</v>
      </c>
      <c r="K1659" t="n">
        <v>0</v>
      </c>
      <c r="L1659" t="n">
        <v>0.712</v>
      </c>
      <c r="M1659" t="n">
        <v>0.288</v>
      </c>
    </row>
    <row r="1660" spans="1:13">
      <c r="A1660" s="1">
        <f>HYPERLINK("http://www.twitter.com/NathanBLawrence/status/986235420227899392", "986235420227899392")</f>
        <v/>
      </c>
      <c r="B1660" s="2" t="n">
        <v>43207.56275462963</v>
      </c>
      <c r="C1660" t="n">
        <v>2</v>
      </c>
      <c r="D1660" t="n">
        <v>0</v>
      </c>
      <c r="E1660" t="s">
        <v>1671</v>
      </c>
      <c r="F1660" t="s"/>
      <c r="G1660" t="s"/>
      <c r="H1660" t="s"/>
      <c r="I1660" t="s"/>
      <c r="J1660" t="n">
        <v>0.8733</v>
      </c>
      <c r="K1660" t="n">
        <v>0</v>
      </c>
      <c r="L1660" t="n">
        <v>0.738</v>
      </c>
      <c r="M1660" t="n">
        <v>0.262</v>
      </c>
    </row>
    <row r="1661" spans="1:13">
      <c r="A1661" s="1">
        <f>HYPERLINK("http://www.twitter.com/NathanBLawrence/status/986234097172340736", "986234097172340736")</f>
        <v/>
      </c>
      <c r="B1661" s="2" t="n">
        <v>43207.55909722222</v>
      </c>
      <c r="C1661" t="n">
        <v>0</v>
      </c>
      <c r="D1661" t="n">
        <v>0</v>
      </c>
      <c r="E1661" t="s">
        <v>1672</v>
      </c>
      <c r="F1661" t="s"/>
      <c r="G1661" t="s"/>
      <c r="H1661" t="s"/>
      <c r="I1661" t="s"/>
      <c r="J1661" t="n">
        <v>-0.2755</v>
      </c>
      <c r="K1661" t="n">
        <v>0.091</v>
      </c>
      <c r="L1661" t="n">
        <v>0.909</v>
      </c>
      <c r="M1661" t="n">
        <v>0</v>
      </c>
    </row>
    <row r="1662" spans="1:13">
      <c r="A1662" s="1">
        <f>HYPERLINK("http://www.twitter.com/NathanBLawrence/status/986229139626700801", "986229139626700801")</f>
        <v/>
      </c>
      <c r="B1662" s="2" t="n">
        <v>43207.54541666667</v>
      </c>
      <c r="C1662" t="n">
        <v>0</v>
      </c>
      <c r="D1662" t="n">
        <v>0</v>
      </c>
      <c r="E1662" t="s">
        <v>1673</v>
      </c>
      <c r="F1662" t="s"/>
      <c r="G1662" t="s"/>
      <c r="H1662" t="s"/>
      <c r="I1662" t="s"/>
      <c r="J1662" t="n">
        <v>-0.4981</v>
      </c>
      <c r="K1662" t="n">
        <v>0.315</v>
      </c>
      <c r="L1662" t="n">
        <v>0.6850000000000001</v>
      </c>
      <c r="M1662" t="n">
        <v>0</v>
      </c>
    </row>
    <row r="1663" spans="1:13">
      <c r="A1663" s="1">
        <f>HYPERLINK("http://www.twitter.com/NathanBLawrence/status/986227456372887553", "986227456372887553")</f>
        <v/>
      </c>
      <c r="B1663" s="2" t="n">
        <v>43207.54077546296</v>
      </c>
      <c r="C1663" t="n">
        <v>3</v>
      </c>
      <c r="D1663" t="n">
        <v>0</v>
      </c>
      <c r="E1663" t="s">
        <v>1674</v>
      </c>
      <c r="F1663" t="s"/>
      <c r="G1663" t="s"/>
      <c r="H1663" t="s"/>
      <c r="I1663" t="s"/>
      <c r="J1663" t="n">
        <v>-0.5574</v>
      </c>
      <c r="K1663" t="n">
        <v>0.166</v>
      </c>
      <c r="L1663" t="n">
        <v>0.771</v>
      </c>
      <c r="M1663" t="n">
        <v>0.063</v>
      </c>
    </row>
    <row r="1664" spans="1:13">
      <c r="A1664" s="1">
        <f>HYPERLINK("http://www.twitter.com/NathanBLawrence/status/986223880644775936", "986223880644775936")</f>
        <v/>
      </c>
      <c r="B1664" s="2" t="n">
        <v>43207.53090277778</v>
      </c>
      <c r="C1664" t="n">
        <v>0</v>
      </c>
      <c r="D1664" t="n">
        <v>0</v>
      </c>
      <c r="E1664" t="s">
        <v>1675</v>
      </c>
      <c r="F1664" t="s"/>
      <c r="G1664" t="s"/>
      <c r="H1664" t="s"/>
      <c r="I1664" t="s"/>
      <c r="J1664" t="n">
        <v>0.0772</v>
      </c>
      <c r="K1664" t="n">
        <v>0</v>
      </c>
      <c r="L1664" t="n">
        <v>0.843</v>
      </c>
      <c r="M1664" t="n">
        <v>0.157</v>
      </c>
    </row>
    <row r="1665" spans="1:13">
      <c r="A1665" s="1">
        <f>HYPERLINK("http://www.twitter.com/NathanBLawrence/status/986220528607420416", "986220528607420416")</f>
        <v/>
      </c>
      <c r="B1665" s="2" t="n">
        <v>43207.52165509259</v>
      </c>
      <c r="C1665" t="n">
        <v>1</v>
      </c>
      <c r="D1665" t="n">
        <v>0</v>
      </c>
      <c r="E1665" t="s">
        <v>1676</v>
      </c>
      <c r="F1665" t="s"/>
      <c r="G1665" t="s"/>
      <c r="H1665" t="s"/>
      <c r="I1665" t="s"/>
      <c r="J1665" t="n">
        <v>0</v>
      </c>
      <c r="K1665" t="n">
        <v>0</v>
      </c>
      <c r="L1665" t="n">
        <v>1</v>
      </c>
      <c r="M1665" t="n">
        <v>0</v>
      </c>
    </row>
    <row r="1666" spans="1:13">
      <c r="A1666" s="1">
        <f>HYPERLINK("http://www.twitter.com/NathanBLawrence/status/986220212948275200", "986220212948275200")</f>
        <v/>
      </c>
      <c r="B1666" s="2" t="n">
        <v>43207.52078703704</v>
      </c>
      <c r="C1666" t="n">
        <v>2</v>
      </c>
      <c r="D1666" t="n">
        <v>0</v>
      </c>
      <c r="E1666" t="s">
        <v>1677</v>
      </c>
      <c r="F1666" t="s"/>
      <c r="G1666" t="s"/>
      <c r="H1666" t="s"/>
      <c r="I1666" t="s"/>
      <c r="J1666" t="n">
        <v>0.2732</v>
      </c>
      <c r="K1666" t="n">
        <v>0</v>
      </c>
      <c r="L1666" t="n">
        <v>0.769</v>
      </c>
      <c r="M1666" t="n">
        <v>0.231</v>
      </c>
    </row>
    <row r="1667" spans="1:13">
      <c r="A1667" s="1">
        <f>HYPERLINK("http://www.twitter.com/NathanBLawrence/status/986212338075238406", "986212338075238406")</f>
        <v/>
      </c>
      <c r="B1667" s="2" t="n">
        <v>43207.49905092592</v>
      </c>
      <c r="C1667" t="n">
        <v>0</v>
      </c>
      <c r="D1667" t="n">
        <v>0</v>
      </c>
      <c r="E1667" t="s">
        <v>1678</v>
      </c>
      <c r="F1667" t="s"/>
      <c r="G1667" t="s"/>
      <c r="H1667" t="s"/>
      <c r="I1667" t="s"/>
      <c r="J1667" t="n">
        <v>0</v>
      </c>
      <c r="K1667" t="n">
        <v>0</v>
      </c>
      <c r="L1667" t="n">
        <v>1</v>
      </c>
      <c r="M1667" t="n">
        <v>0</v>
      </c>
    </row>
    <row r="1668" spans="1:13">
      <c r="A1668" s="1">
        <f>HYPERLINK("http://www.twitter.com/NathanBLawrence/status/986111154740187136", "986111154740187136")</f>
        <v/>
      </c>
      <c r="B1668" s="2" t="n">
        <v>43207.21984953704</v>
      </c>
      <c r="C1668" t="n">
        <v>1</v>
      </c>
      <c r="D1668" t="n">
        <v>0</v>
      </c>
      <c r="E1668" t="s">
        <v>1679</v>
      </c>
      <c r="F1668" t="s"/>
      <c r="G1668" t="s"/>
      <c r="H1668" t="s"/>
      <c r="I1668" t="s"/>
      <c r="J1668" t="n">
        <v>0.417</v>
      </c>
      <c r="K1668" t="n">
        <v>0</v>
      </c>
      <c r="L1668" t="n">
        <v>0.892</v>
      </c>
      <c r="M1668" t="n">
        <v>0.108</v>
      </c>
    </row>
    <row r="1669" spans="1:13">
      <c r="A1669" s="1">
        <f>HYPERLINK("http://www.twitter.com/NathanBLawrence/status/986110152188231681", "986110152188231681")</f>
        <v/>
      </c>
      <c r="B1669" s="2" t="n">
        <v>43207.21707175926</v>
      </c>
      <c r="C1669" t="n">
        <v>2</v>
      </c>
      <c r="D1669" t="n">
        <v>0</v>
      </c>
      <c r="E1669" t="s">
        <v>1680</v>
      </c>
      <c r="F1669" t="s"/>
      <c r="G1669" t="s"/>
      <c r="H1669" t="s"/>
      <c r="I1669" t="s"/>
      <c r="J1669" t="n">
        <v>-0.3595</v>
      </c>
      <c r="K1669" t="n">
        <v>0.102</v>
      </c>
      <c r="L1669" t="n">
        <v>0.898</v>
      </c>
      <c r="M1669" t="n">
        <v>0</v>
      </c>
    </row>
    <row r="1670" spans="1:13">
      <c r="A1670" s="1">
        <f>HYPERLINK("http://www.twitter.com/NathanBLawrence/status/986109501454651392", "986109501454651392")</f>
        <v/>
      </c>
      <c r="B1670" s="2" t="n">
        <v>43207.21527777778</v>
      </c>
      <c r="C1670" t="n">
        <v>2</v>
      </c>
      <c r="D1670" t="n">
        <v>0</v>
      </c>
      <c r="E1670" t="s">
        <v>1681</v>
      </c>
      <c r="F1670" t="s"/>
      <c r="G1670" t="s"/>
      <c r="H1670" t="s"/>
      <c r="I1670" t="s"/>
      <c r="J1670" t="n">
        <v>-0.4003</v>
      </c>
      <c r="K1670" t="n">
        <v>0.091</v>
      </c>
      <c r="L1670" t="n">
        <v>0.909</v>
      </c>
      <c r="M1670" t="n">
        <v>0</v>
      </c>
    </row>
    <row r="1671" spans="1:13">
      <c r="A1671" s="1">
        <f>HYPERLINK("http://www.twitter.com/NathanBLawrence/status/986094281638150144", "986094281638150144")</f>
        <v/>
      </c>
      <c r="B1671" s="2" t="n">
        <v>43207.17328703704</v>
      </c>
      <c r="C1671" t="n">
        <v>1</v>
      </c>
      <c r="D1671" t="n">
        <v>0</v>
      </c>
      <c r="E1671" t="s">
        <v>1682</v>
      </c>
      <c r="F1671" t="s"/>
      <c r="G1671" t="s"/>
      <c r="H1671" t="s"/>
      <c r="I1671" t="s"/>
      <c r="J1671" t="n">
        <v>0</v>
      </c>
      <c r="K1671" t="n">
        <v>0</v>
      </c>
      <c r="L1671" t="n">
        <v>1</v>
      </c>
      <c r="M1671" t="n">
        <v>0</v>
      </c>
    </row>
    <row r="1672" spans="1:13">
      <c r="A1672" s="1">
        <f>HYPERLINK("http://www.twitter.com/NathanBLawrence/status/986089971772788737", "986089971772788737")</f>
        <v/>
      </c>
      <c r="B1672" s="2" t="n">
        <v>43207.16138888889</v>
      </c>
      <c r="C1672" t="n">
        <v>3</v>
      </c>
      <c r="D1672" t="n">
        <v>0</v>
      </c>
      <c r="E1672" t="s">
        <v>1683</v>
      </c>
      <c r="F1672" t="s"/>
      <c r="G1672" t="s"/>
      <c r="H1672" t="s"/>
      <c r="I1672" t="s"/>
      <c r="J1672" t="n">
        <v>-0.8172</v>
      </c>
      <c r="K1672" t="n">
        <v>0.211</v>
      </c>
      <c r="L1672" t="n">
        <v>0.789</v>
      </c>
      <c r="M1672" t="n">
        <v>0</v>
      </c>
    </row>
    <row r="1673" spans="1:13">
      <c r="A1673" s="1">
        <f>HYPERLINK("http://www.twitter.com/NathanBLawrence/status/986089088502718465", "986089088502718465")</f>
        <v/>
      </c>
      <c r="B1673" s="2" t="n">
        <v>43207.15895833333</v>
      </c>
      <c r="C1673" t="n">
        <v>1</v>
      </c>
      <c r="D1673" t="n">
        <v>0</v>
      </c>
      <c r="E1673" t="s">
        <v>1684</v>
      </c>
      <c r="F1673" t="s"/>
      <c r="G1673" t="s"/>
      <c r="H1673" t="s"/>
      <c r="I1673" t="s"/>
      <c r="J1673" t="n">
        <v>0</v>
      </c>
      <c r="K1673" t="n">
        <v>0</v>
      </c>
      <c r="L1673" t="n">
        <v>1</v>
      </c>
      <c r="M1673" t="n">
        <v>0</v>
      </c>
    </row>
    <row r="1674" spans="1:13">
      <c r="A1674" s="1">
        <f>HYPERLINK("http://www.twitter.com/NathanBLawrence/status/986088780699488256", "986088780699488256")</f>
        <v/>
      </c>
      <c r="B1674" s="2" t="n">
        <v>43207.15810185186</v>
      </c>
      <c r="C1674" t="n">
        <v>0</v>
      </c>
      <c r="D1674" t="n">
        <v>0</v>
      </c>
      <c r="E1674" t="s">
        <v>1685</v>
      </c>
      <c r="F1674" t="s"/>
      <c r="G1674" t="s"/>
      <c r="H1674" t="s"/>
      <c r="I1674" t="s"/>
      <c r="J1674" t="n">
        <v>0</v>
      </c>
      <c r="K1674" t="n">
        <v>0</v>
      </c>
      <c r="L1674" t="n">
        <v>1</v>
      </c>
      <c r="M1674" t="n">
        <v>0</v>
      </c>
    </row>
    <row r="1675" spans="1:13">
      <c r="A1675" s="1">
        <f>HYPERLINK("http://www.twitter.com/NathanBLawrence/status/986087681569337344", "986087681569337344")</f>
        <v/>
      </c>
      <c r="B1675" s="2" t="n">
        <v>43207.15506944444</v>
      </c>
      <c r="C1675" t="n">
        <v>0</v>
      </c>
      <c r="D1675" t="n">
        <v>0</v>
      </c>
      <c r="E1675" t="s">
        <v>1686</v>
      </c>
      <c r="F1675" t="s"/>
      <c r="G1675" t="s"/>
      <c r="H1675" t="s"/>
      <c r="I1675" t="s"/>
      <c r="J1675" t="n">
        <v>0.296</v>
      </c>
      <c r="K1675" t="n">
        <v>0</v>
      </c>
      <c r="L1675" t="n">
        <v>0.855</v>
      </c>
      <c r="M1675" t="n">
        <v>0.145</v>
      </c>
    </row>
    <row r="1676" spans="1:13">
      <c r="A1676" s="1">
        <f>HYPERLINK("http://www.twitter.com/NathanBLawrence/status/986087120740737029", "986087120740737029")</f>
        <v/>
      </c>
      <c r="B1676" s="2" t="n">
        <v>43207.15351851852</v>
      </c>
      <c r="C1676" t="n">
        <v>2</v>
      </c>
      <c r="D1676" t="n">
        <v>0</v>
      </c>
      <c r="E1676" t="s">
        <v>1687</v>
      </c>
      <c r="F1676" t="s"/>
      <c r="G1676" t="s"/>
      <c r="H1676" t="s"/>
      <c r="I1676" t="s"/>
      <c r="J1676" t="n">
        <v>0.2263</v>
      </c>
      <c r="K1676" t="n">
        <v>0</v>
      </c>
      <c r="L1676" t="n">
        <v>0.678</v>
      </c>
      <c r="M1676" t="n">
        <v>0.322</v>
      </c>
    </row>
    <row r="1677" spans="1:13">
      <c r="A1677" s="1">
        <f>HYPERLINK("http://www.twitter.com/NathanBLawrence/status/986084088942678017", "986084088942678017")</f>
        <v/>
      </c>
      <c r="B1677" s="2" t="n">
        <v>43207.14516203704</v>
      </c>
      <c r="C1677" t="n">
        <v>2</v>
      </c>
      <c r="D1677" t="n">
        <v>1</v>
      </c>
      <c r="E1677" t="s">
        <v>1688</v>
      </c>
      <c r="F1677" t="s"/>
      <c r="G1677" t="s"/>
      <c r="H1677" t="s"/>
      <c r="I1677" t="s"/>
      <c r="J1677" t="n">
        <v>0</v>
      </c>
      <c r="K1677" t="n">
        <v>0</v>
      </c>
      <c r="L1677" t="n">
        <v>1</v>
      </c>
      <c r="M1677" t="n">
        <v>0</v>
      </c>
    </row>
    <row r="1678" spans="1:13">
      <c r="A1678" s="1">
        <f>HYPERLINK("http://www.twitter.com/NathanBLawrence/status/986081008075329536", "986081008075329536")</f>
        <v/>
      </c>
      <c r="B1678" s="2" t="n">
        <v>43207.1366550926</v>
      </c>
      <c r="C1678" t="n">
        <v>2</v>
      </c>
      <c r="D1678" t="n">
        <v>1</v>
      </c>
      <c r="E1678" t="s">
        <v>1689</v>
      </c>
      <c r="F1678" t="s"/>
      <c r="G1678" t="s"/>
      <c r="H1678" t="s"/>
      <c r="I1678" t="s"/>
      <c r="J1678" t="n">
        <v>0.4796</v>
      </c>
      <c r="K1678" t="n">
        <v>0.051</v>
      </c>
      <c r="L1678" t="n">
        <v>0.844</v>
      </c>
      <c r="M1678" t="n">
        <v>0.105</v>
      </c>
    </row>
    <row r="1679" spans="1:13">
      <c r="A1679" s="1">
        <f>HYPERLINK("http://www.twitter.com/NathanBLawrence/status/986080037735751686", "986080037735751686")</f>
        <v/>
      </c>
      <c r="B1679" s="2" t="n">
        <v>43207.13398148148</v>
      </c>
      <c r="C1679" t="n">
        <v>6</v>
      </c>
      <c r="D1679" t="n">
        <v>2</v>
      </c>
      <c r="E1679" t="s">
        <v>1690</v>
      </c>
      <c r="F1679" t="s"/>
      <c r="G1679" t="s"/>
      <c r="H1679" t="s"/>
      <c r="I1679" t="s"/>
      <c r="J1679" t="n">
        <v>-0.1633</v>
      </c>
      <c r="K1679" t="n">
        <v>0.154</v>
      </c>
      <c r="L1679" t="n">
        <v>0.736</v>
      </c>
      <c r="M1679" t="n">
        <v>0.11</v>
      </c>
    </row>
    <row r="1680" spans="1:13">
      <c r="A1680" s="1">
        <f>HYPERLINK("http://www.twitter.com/NathanBLawrence/status/986075601885978625", "986075601885978625")</f>
        <v/>
      </c>
      <c r="B1680" s="2" t="n">
        <v>43207.12173611111</v>
      </c>
      <c r="C1680" t="n">
        <v>0</v>
      </c>
      <c r="D1680" t="n">
        <v>0</v>
      </c>
      <c r="E1680" t="s">
        <v>1691</v>
      </c>
      <c r="F1680" t="s"/>
      <c r="G1680" t="s"/>
      <c r="H1680" t="s"/>
      <c r="I1680" t="s"/>
      <c r="J1680" t="n">
        <v>0.0772</v>
      </c>
      <c r="K1680" t="n">
        <v>0.096</v>
      </c>
      <c r="L1680" t="n">
        <v>0.827</v>
      </c>
      <c r="M1680" t="n">
        <v>0.077</v>
      </c>
    </row>
    <row r="1681" spans="1:13">
      <c r="A1681" s="1">
        <f>HYPERLINK("http://www.twitter.com/NathanBLawrence/status/986073602842820609", "986073602842820609")</f>
        <v/>
      </c>
      <c r="B1681" s="2" t="n">
        <v>43207.11621527778</v>
      </c>
      <c r="C1681" t="n">
        <v>2</v>
      </c>
      <c r="D1681" t="n">
        <v>0</v>
      </c>
      <c r="E1681" t="s">
        <v>1692</v>
      </c>
      <c r="F1681" t="s"/>
      <c r="G1681" t="s"/>
      <c r="H1681" t="s"/>
      <c r="I1681" t="s"/>
      <c r="J1681" t="n">
        <v>0.3818</v>
      </c>
      <c r="K1681" t="n">
        <v>0.055</v>
      </c>
      <c r="L1681" t="n">
        <v>0.85</v>
      </c>
      <c r="M1681" t="n">
        <v>0.095</v>
      </c>
    </row>
    <row r="1682" spans="1:13">
      <c r="A1682" s="1">
        <f>HYPERLINK("http://www.twitter.com/NathanBLawrence/status/986071198013493248", "986071198013493248")</f>
        <v/>
      </c>
      <c r="B1682" s="2" t="n">
        <v>43207.10958333333</v>
      </c>
      <c r="C1682" t="n">
        <v>1</v>
      </c>
      <c r="D1682" t="n">
        <v>1</v>
      </c>
      <c r="E1682" t="s">
        <v>1693</v>
      </c>
      <c r="F1682" t="s"/>
      <c r="G1682" t="s"/>
      <c r="H1682" t="s"/>
      <c r="I1682" t="s"/>
      <c r="J1682" t="n">
        <v>0</v>
      </c>
      <c r="K1682" t="n">
        <v>0</v>
      </c>
      <c r="L1682" t="n">
        <v>1</v>
      </c>
      <c r="M1682" t="n">
        <v>0</v>
      </c>
    </row>
    <row r="1683" spans="1:13">
      <c r="A1683" s="1">
        <f>HYPERLINK("http://www.twitter.com/NathanBLawrence/status/986069177835376640", "986069177835376640")</f>
        <v/>
      </c>
      <c r="B1683" s="2" t="n">
        <v>43207.10400462963</v>
      </c>
      <c r="C1683" t="n">
        <v>1</v>
      </c>
      <c r="D1683" t="n">
        <v>0</v>
      </c>
      <c r="E1683" t="s">
        <v>1694</v>
      </c>
      <c r="F1683" t="s"/>
      <c r="G1683" t="s"/>
      <c r="H1683" t="s"/>
      <c r="I1683" t="s"/>
      <c r="J1683" t="n">
        <v>-0.5894</v>
      </c>
      <c r="K1683" t="n">
        <v>0.227</v>
      </c>
      <c r="L1683" t="n">
        <v>0.651</v>
      </c>
      <c r="M1683" t="n">
        <v>0.122</v>
      </c>
    </row>
    <row r="1684" spans="1:13">
      <c r="A1684" s="1">
        <f>HYPERLINK("http://www.twitter.com/NathanBLawrence/status/986067493428002816", "986067493428002816")</f>
        <v/>
      </c>
      <c r="B1684" s="2" t="n">
        <v>43207.09936342593</v>
      </c>
      <c r="C1684" t="n">
        <v>2</v>
      </c>
      <c r="D1684" t="n">
        <v>1</v>
      </c>
      <c r="E1684" t="s">
        <v>1695</v>
      </c>
      <c r="F1684" t="s"/>
      <c r="G1684" t="s"/>
      <c r="H1684" t="s"/>
      <c r="I1684" t="s"/>
      <c r="J1684" t="n">
        <v>0.8458</v>
      </c>
      <c r="K1684" t="n">
        <v>0</v>
      </c>
      <c r="L1684" t="n">
        <v>0.778</v>
      </c>
      <c r="M1684" t="n">
        <v>0.222</v>
      </c>
    </row>
    <row r="1685" spans="1:13">
      <c r="A1685" s="1">
        <f>HYPERLINK("http://www.twitter.com/NathanBLawrence/status/986066333623377921", "986066333623377921")</f>
        <v/>
      </c>
      <c r="B1685" s="2" t="n">
        <v>43207.09615740741</v>
      </c>
      <c r="C1685" t="n">
        <v>3</v>
      </c>
      <c r="D1685" t="n">
        <v>1</v>
      </c>
      <c r="E1685" t="s">
        <v>1696</v>
      </c>
      <c r="F1685" t="s"/>
      <c r="G1685" t="s"/>
      <c r="H1685" t="s"/>
      <c r="I1685" t="s"/>
      <c r="J1685" t="n">
        <v>0.9473</v>
      </c>
      <c r="K1685" t="n">
        <v>0</v>
      </c>
      <c r="L1685" t="n">
        <v>0.694</v>
      </c>
      <c r="M1685" t="n">
        <v>0.306</v>
      </c>
    </row>
    <row r="1686" spans="1:13">
      <c r="A1686" s="1">
        <f>HYPERLINK("http://www.twitter.com/NathanBLawrence/status/986065334141706243", "986065334141706243")</f>
        <v/>
      </c>
      <c r="B1686" s="2" t="n">
        <v>43207.09340277778</v>
      </c>
      <c r="C1686" t="n">
        <v>2</v>
      </c>
      <c r="D1686" t="n">
        <v>2</v>
      </c>
      <c r="E1686" t="s">
        <v>1697</v>
      </c>
      <c r="F1686" t="s"/>
      <c r="G1686" t="s"/>
      <c r="H1686" t="s"/>
      <c r="I1686" t="s"/>
      <c r="J1686" t="n">
        <v>0.75</v>
      </c>
      <c r="K1686" t="n">
        <v>0.08500000000000001</v>
      </c>
      <c r="L1686" t="n">
        <v>0.719</v>
      </c>
      <c r="M1686" t="n">
        <v>0.196</v>
      </c>
    </row>
    <row r="1687" spans="1:13">
      <c r="A1687" s="1">
        <f>HYPERLINK("http://www.twitter.com/NathanBLawrence/status/986064100005380097", "986064100005380097")</f>
        <v/>
      </c>
      <c r="B1687" s="2" t="n">
        <v>43207.09</v>
      </c>
      <c r="C1687" t="n">
        <v>2</v>
      </c>
      <c r="D1687" t="n">
        <v>1</v>
      </c>
      <c r="E1687" t="s">
        <v>1698</v>
      </c>
      <c r="F1687" t="s"/>
      <c r="G1687" t="s"/>
      <c r="H1687" t="s"/>
      <c r="I1687" t="s"/>
      <c r="J1687" t="n">
        <v>0.3365</v>
      </c>
      <c r="K1687" t="n">
        <v>0</v>
      </c>
      <c r="L1687" t="n">
        <v>0.9389999999999999</v>
      </c>
      <c r="M1687" t="n">
        <v>0.061</v>
      </c>
    </row>
    <row r="1688" spans="1:13">
      <c r="A1688" s="1">
        <f>HYPERLINK("http://www.twitter.com/NathanBLawrence/status/986061141649575937", "986061141649575937")</f>
        <v/>
      </c>
      <c r="B1688" s="2" t="n">
        <v>43207.0818287037</v>
      </c>
      <c r="C1688" t="n">
        <v>0</v>
      </c>
      <c r="D1688" t="n">
        <v>0</v>
      </c>
      <c r="E1688" t="s">
        <v>1699</v>
      </c>
      <c r="F1688" t="s"/>
      <c r="G1688" t="s"/>
      <c r="H1688" t="s"/>
      <c r="I1688" t="s"/>
      <c r="J1688" t="n">
        <v>0.4927</v>
      </c>
      <c r="K1688" t="n">
        <v>0</v>
      </c>
      <c r="L1688" t="n">
        <v>0.61</v>
      </c>
      <c r="M1688" t="n">
        <v>0.39</v>
      </c>
    </row>
    <row r="1689" spans="1:13">
      <c r="A1689" s="1">
        <f>HYPERLINK("http://www.twitter.com/NathanBLawrence/status/986060532707979264", "986060532707979264")</f>
        <v/>
      </c>
      <c r="B1689" s="2" t="n">
        <v>43207.08015046296</v>
      </c>
      <c r="C1689" t="n">
        <v>1</v>
      </c>
      <c r="D1689" t="n">
        <v>0</v>
      </c>
      <c r="E1689" t="s">
        <v>1700</v>
      </c>
      <c r="F1689" t="s"/>
      <c r="G1689" t="s"/>
      <c r="H1689" t="s"/>
      <c r="I1689" t="s"/>
      <c r="J1689" t="n">
        <v>0.869</v>
      </c>
      <c r="K1689" t="n">
        <v>0</v>
      </c>
      <c r="L1689" t="n">
        <v>0.405</v>
      </c>
      <c r="M1689" t="n">
        <v>0.595</v>
      </c>
    </row>
    <row r="1690" spans="1:13">
      <c r="A1690" s="1">
        <f>HYPERLINK("http://www.twitter.com/NathanBLawrence/status/986060308342026241", "986060308342026241")</f>
        <v/>
      </c>
      <c r="B1690" s="2" t="n">
        <v>43207.07953703704</v>
      </c>
      <c r="C1690" t="n">
        <v>1</v>
      </c>
      <c r="D1690" t="n">
        <v>1</v>
      </c>
      <c r="E1690" t="s">
        <v>1701</v>
      </c>
      <c r="F1690" t="s"/>
      <c r="G1690" t="s"/>
      <c r="H1690" t="s"/>
      <c r="I1690" t="s"/>
      <c r="J1690" t="n">
        <v>0</v>
      </c>
      <c r="K1690" t="n">
        <v>0</v>
      </c>
      <c r="L1690" t="n">
        <v>1</v>
      </c>
      <c r="M1690" t="n">
        <v>0</v>
      </c>
    </row>
    <row r="1691" spans="1:13">
      <c r="A1691" s="1">
        <f>HYPERLINK("http://www.twitter.com/NathanBLawrence/status/986059064533749760", "986059064533749760")</f>
        <v/>
      </c>
      <c r="B1691" s="2" t="n">
        <v>43207.07609953704</v>
      </c>
      <c r="C1691" t="n">
        <v>2</v>
      </c>
      <c r="D1691" t="n">
        <v>0</v>
      </c>
      <c r="E1691" t="s">
        <v>1702</v>
      </c>
      <c r="F1691" t="s"/>
      <c r="G1691" t="s"/>
      <c r="H1691" t="s"/>
      <c r="I1691" t="s"/>
      <c r="J1691" t="n">
        <v>0.0857</v>
      </c>
      <c r="K1691" t="n">
        <v>0.108</v>
      </c>
      <c r="L1691" t="n">
        <v>0.774</v>
      </c>
      <c r="M1691" t="n">
        <v>0.119</v>
      </c>
    </row>
    <row r="1692" spans="1:13">
      <c r="A1692" s="1">
        <f>HYPERLINK("http://www.twitter.com/NathanBLawrence/status/986058242685067265", "986058242685067265")</f>
        <v/>
      </c>
      <c r="B1692" s="2" t="n">
        <v>43207.07383101852</v>
      </c>
      <c r="C1692" t="n">
        <v>0</v>
      </c>
      <c r="D1692" t="n">
        <v>0</v>
      </c>
      <c r="E1692" t="s">
        <v>1703</v>
      </c>
      <c r="F1692" t="s"/>
      <c r="G1692" t="s"/>
      <c r="H1692" t="s"/>
      <c r="I1692" t="s"/>
      <c r="J1692" t="n">
        <v>0.4019</v>
      </c>
      <c r="K1692" t="n">
        <v>0</v>
      </c>
      <c r="L1692" t="n">
        <v>0.909</v>
      </c>
      <c r="M1692" t="n">
        <v>0.091</v>
      </c>
    </row>
    <row r="1693" spans="1:13">
      <c r="A1693" s="1">
        <f>HYPERLINK("http://www.twitter.com/NathanBLawrence/status/986057439664660480", "986057439664660480")</f>
        <v/>
      </c>
      <c r="B1693" s="2" t="n">
        <v>43207.07162037037</v>
      </c>
      <c r="C1693" t="n">
        <v>1</v>
      </c>
      <c r="D1693" t="n">
        <v>1</v>
      </c>
      <c r="E1693" t="s">
        <v>1704</v>
      </c>
      <c r="F1693" t="s"/>
      <c r="G1693" t="s"/>
      <c r="H1693" t="s"/>
      <c r="I1693" t="s"/>
      <c r="J1693" t="n">
        <v>-0.2244</v>
      </c>
      <c r="K1693" t="n">
        <v>0.1</v>
      </c>
      <c r="L1693" t="n">
        <v>0.9</v>
      </c>
      <c r="M1693" t="n">
        <v>0</v>
      </c>
    </row>
    <row r="1694" spans="1:13">
      <c r="A1694" s="1">
        <f>HYPERLINK("http://www.twitter.com/NathanBLawrence/status/986056896862965760", "986056896862965760")</f>
        <v/>
      </c>
      <c r="B1694" s="2" t="n">
        <v>43207.07011574074</v>
      </c>
      <c r="C1694" t="n">
        <v>1</v>
      </c>
      <c r="D1694" t="n">
        <v>1</v>
      </c>
      <c r="E1694" t="s">
        <v>1705</v>
      </c>
      <c r="F1694" t="s"/>
      <c r="G1694" t="s"/>
      <c r="H1694" t="s"/>
      <c r="I1694" t="s"/>
      <c r="J1694" t="n">
        <v>0</v>
      </c>
      <c r="K1694" t="n">
        <v>0</v>
      </c>
      <c r="L1694" t="n">
        <v>1</v>
      </c>
      <c r="M1694" t="n">
        <v>0</v>
      </c>
    </row>
    <row r="1695" spans="1:13">
      <c r="A1695" s="1">
        <f>HYPERLINK("http://www.twitter.com/NathanBLawrence/status/986055635669307392", "986055635669307392")</f>
        <v/>
      </c>
      <c r="B1695" s="2" t="n">
        <v>43207.06664351852</v>
      </c>
      <c r="C1695" t="n">
        <v>1</v>
      </c>
      <c r="D1695" t="n">
        <v>1</v>
      </c>
      <c r="E1695" t="s">
        <v>1706</v>
      </c>
      <c r="F1695" t="s"/>
      <c r="G1695" t="s"/>
      <c r="H1695" t="s"/>
      <c r="I1695" t="s"/>
      <c r="J1695" t="n">
        <v>0.2247</v>
      </c>
      <c r="K1695" t="n">
        <v>0</v>
      </c>
      <c r="L1695" t="n">
        <v>0.947</v>
      </c>
      <c r="M1695" t="n">
        <v>0.053</v>
      </c>
    </row>
    <row r="1696" spans="1:13">
      <c r="A1696" s="1">
        <f>HYPERLINK("http://www.twitter.com/NathanBLawrence/status/986054155163897856", "986054155163897856")</f>
        <v/>
      </c>
      <c r="B1696" s="2" t="n">
        <v>43207.06255787037</v>
      </c>
      <c r="C1696" t="n">
        <v>0</v>
      </c>
      <c r="D1696" t="n">
        <v>0</v>
      </c>
      <c r="E1696" t="s">
        <v>1707</v>
      </c>
      <c r="F1696" t="s"/>
      <c r="G1696" t="s"/>
      <c r="H1696" t="s"/>
      <c r="I1696" t="s"/>
      <c r="J1696" t="n">
        <v>0.3182</v>
      </c>
      <c r="K1696" t="n">
        <v>0</v>
      </c>
      <c r="L1696" t="n">
        <v>0.905</v>
      </c>
      <c r="M1696" t="n">
        <v>0.095</v>
      </c>
    </row>
    <row r="1697" spans="1:13">
      <c r="A1697" s="1">
        <f>HYPERLINK("http://www.twitter.com/NathanBLawrence/status/986053425027866624", "986053425027866624")</f>
        <v/>
      </c>
      <c r="B1697" s="2" t="n">
        <v>43207.06054398148</v>
      </c>
      <c r="C1697" t="n">
        <v>2</v>
      </c>
      <c r="D1697" t="n">
        <v>1</v>
      </c>
      <c r="E1697" t="s">
        <v>1708</v>
      </c>
      <c r="F1697" t="s"/>
      <c r="G1697" t="s"/>
      <c r="H1697" t="s"/>
      <c r="I1697" t="s"/>
      <c r="J1697" t="n">
        <v>-0.25</v>
      </c>
      <c r="K1697" t="n">
        <v>0.083</v>
      </c>
      <c r="L1697" t="n">
        <v>0.857</v>
      </c>
      <c r="M1697" t="n">
        <v>0.06</v>
      </c>
    </row>
    <row r="1698" spans="1:13">
      <c r="A1698" s="1">
        <f>HYPERLINK("http://www.twitter.com/NathanBLawrence/status/986052484127916032", "986052484127916032")</f>
        <v/>
      </c>
      <c r="B1698" s="2" t="n">
        <v>43207.05793981482</v>
      </c>
      <c r="C1698" t="n">
        <v>1</v>
      </c>
      <c r="D1698" t="n">
        <v>1</v>
      </c>
      <c r="E1698" t="s">
        <v>1709</v>
      </c>
      <c r="F1698" t="s"/>
      <c r="G1698" t="s"/>
      <c r="H1698" t="s"/>
      <c r="I1698" t="s"/>
      <c r="J1698" t="n">
        <v>-0.8176</v>
      </c>
      <c r="K1698" t="n">
        <v>0.21</v>
      </c>
      <c r="L1698" t="n">
        <v>0.744</v>
      </c>
      <c r="M1698" t="n">
        <v>0.046</v>
      </c>
    </row>
    <row r="1699" spans="1:13">
      <c r="A1699" s="1">
        <f>HYPERLINK("http://www.twitter.com/NathanBLawrence/status/986051100502568961", "986051100502568961")</f>
        <v/>
      </c>
      <c r="B1699" s="2" t="n">
        <v>43207.05412037037</v>
      </c>
      <c r="C1699" t="n">
        <v>1</v>
      </c>
      <c r="D1699" t="n">
        <v>1</v>
      </c>
      <c r="E1699" t="s">
        <v>1710</v>
      </c>
      <c r="F1699" t="s"/>
      <c r="G1699" t="s"/>
      <c r="H1699" t="s"/>
      <c r="I1699" t="s"/>
      <c r="J1699" t="n">
        <v>0.5574</v>
      </c>
      <c r="K1699" t="n">
        <v>0</v>
      </c>
      <c r="L1699" t="n">
        <v>0.893</v>
      </c>
      <c r="M1699" t="n">
        <v>0.107</v>
      </c>
    </row>
    <row r="1700" spans="1:13">
      <c r="A1700" s="1">
        <f>HYPERLINK("http://www.twitter.com/NathanBLawrence/status/986048506472423424", "986048506472423424")</f>
        <v/>
      </c>
      <c r="B1700" s="2" t="n">
        <v>43207.04696759259</v>
      </c>
      <c r="C1700" t="n">
        <v>1</v>
      </c>
      <c r="D1700" t="n">
        <v>1</v>
      </c>
      <c r="E1700" t="s">
        <v>1711</v>
      </c>
      <c r="F1700" t="s"/>
      <c r="G1700" t="s"/>
      <c r="H1700" t="s"/>
      <c r="I1700" t="s"/>
      <c r="J1700" t="n">
        <v>0</v>
      </c>
      <c r="K1700" t="n">
        <v>0</v>
      </c>
      <c r="L1700" t="n">
        <v>1</v>
      </c>
      <c r="M1700" t="n">
        <v>0</v>
      </c>
    </row>
    <row r="1701" spans="1:13">
      <c r="A1701" s="1">
        <f>HYPERLINK("http://www.twitter.com/NathanBLawrence/status/986042917214150662", "986042917214150662")</f>
        <v/>
      </c>
      <c r="B1701" s="2" t="n">
        <v>43207.03153935185</v>
      </c>
      <c r="C1701" t="n">
        <v>1</v>
      </c>
      <c r="D1701" t="n">
        <v>0</v>
      </c>
      <c r="E1701" t="s">
        <v>1712</v>
      </c>
      <c r="F1701" t="s"/>
      <c r="G1701" t="s"/>
      <c r="H1701" t="s"/>
      <c r="I1701" t="s"/>
      <c r="J1701" t="n">
        <v>0.4302</v>
      </c>
      <c r="K1701" t="n">
        <v>0.067</v>
      </c>
      <c r="L1701" t="n">
        <v>0.8129999999999999</v>
      </c>
      <c r="M1701" t="n">
        <v>0.12</v>
      </c>
    </row>
    <row r="1702" spans="1:13">
      <c r="A1702" s="1">
        <f>HYPERLINK("http://www.twitter.com/NathanBLawrence/status/986038871627653120", "986038871627653120")</f>
        <v/>
      </c>
      <c r="B1702" s="2" t="n">
        <v>43207.02038194444</v>
      </c>
      <c r="C1702" t="n">
        <v>1</v>
      </c>
      <c r="D1702" t="n">
        <v>0</v>
      </c>
      <c r="E1702" t="s">
        <v>1713</v>
      </c>
      <c r="F1702" t="s"/>
      <c r="G1702" t="s"/>
      <c r="H1702" t="s"/>
      <c r="I1702" t="s"/>
      <c r="J1702" t="n">
        <v>0.0018</v>
      </c>
      <c r="K1702" t="n">
        <v>0</v>
      </c>
      <c r="L1702" t="n">
        <v>0.972</v>
      </c>
      <c r="M1702" t="n">
        <v>0.028</v>
      </c>
    </row>
    <row r="1703" spans="1:13">
      <c r="A1703" s="1">
        <f>HYPERLINK("http://www.twitter.com/NathanBLawrence/status/986037365507534848", "986037365507534848")</f>
        <v/>
      </c>
      <c r="B1703" s="2" t="n">
        <v>43207.01622685185</v>
      </c>
      <c r="C1703" t="n">
        <v>1</v>
      </c>
      <c r="D1703" t="n">
        <v>0</v>
      </c>
      <c r="E1703" t="s">
        <v>1714</v>
      </c>
      <c r="F1703" t="s"/>
      <c r="G1703" t="s"/>
      <c r="H1703" t="s"/>
      <c r="I1703" t="s"/>
      <c r="J1703" t="n">
        <v>0.4404</v>
      </c>
      <c r="K1703" t="n">
        <v>0</v>
      </c>
      <c r="L1703" t="n">
        <v>0.925</v>
      </c>
      <c r="M1703" t="n">
        <v>0.075</v>
      </c>
    </row>
    <row r="1704" spans="1:13">
      <c r="A1704" s="1">
        <f>HYPERLINK("http://www.twitter.com/NathanBLawrence/status/986034640573091840", "986034640573091840")</f>
        <v/>
      </c>
      <c r="B1704" s="2" t="n">
        <v>43207.0087037037</v>
      </c>
      <c r="C1704" t="n">
        <v>1</v>
      </c>
      <c r="D1704" t="n">
        <v>0</v>
      </c>
      <c r="E1704" t="s">
        <v>1715</v>
      </c>
      <c r="F1704" t="s"/>
      <c r="G1704" t="s"/>
      <c r="H1704" t="s"/>
      <c r="I1704" t="s"/>
      <c r="J1704" t="n">
        <v>-0.25</v>
      </c>
      <c r="K1704" t="n">
        <v>0.104</v>
      </c>
      <c r="L1704" t="n">
        <v>0.823</v>
      </c>
      <c r="M1704" t="n">
        <v>0.073</v>
      </c>
    </row>
    <row r="1705" spans="1:13">
      <c r="A1705" s="1">
        <f>HYPERLINK("http://www.twitter.com/NathanBLawrence/status/986029255619416065", "986029255619416065")</f>
        <v/>
      </c>
      <c r="B1705" s="2" t="n">
        <v>43206.99384259259</v>
      </c>
      <c r="C1705" t="n">
        <v>0</v>
      </c>
      <c r="D1705" t="n">
        <v>0</v>
      </c>
      <c r="E1705" t="s">
        <v>1716</v>
      </c>
      <c r="F1705" t="s"/>
      <c r="G1705" t="s"/>
      <c r="H1705" t="s"/>
      <c r="I1705" t="s"/>
      <c r="J1705" t="n">
        <v>0</v>
      </c>
      <c r="K1705" t="n">
        <v>0</v>
      </c>
      <c r="L1705" t="n">
        <v>1</v>
      </c>
      <c r="M1705" t="n">
        <v>0</v>
      </c>
    </row>
    <row r="1706" spans="1:13">
      <c r="A1706" s="1">
        <f>HYPERLINK("http://www.twitter.com/NathanBLawrence/status/986028713631518720", "986028713631518720")</f>
        <v/>
      </c>
      <c r="B1706" s="2" t="n">
        <v>43206.99234953704</v>
      </c>
      <c r="C1706" t="n">
        <v>0</v>
      </c>
      <c r="D1706" t="n">
        <v>0</v>
      </c>
      <c r="E1706" t="s">
        <v>1717</v>
      </c>
      <c r="F1706" t="s"/>
      <c r="G1706" t="s"/>
      <c r="H1706" t="s"/>
      <c r="I1706" t="s"/>
      <c r="J1706" t="n">
        <v>0</v>
      </c>
      <c r="K1706" t="n">
        <v>0</v>
      </c>
      <c r="L1706" t="n">
        <v>1</v>
      </c>
      <c r="M1706" t="n">
        <v>0</v>
      </c>
    </row>
    <row r="1707" spans="1:13">
      <c r="A1707" s="1">
        <f>HYPERLINK("http://www.twitter.com/NathanBLawrence/status/986026786235527169", "986026786235527169")</f>
        <v/>
      </c>
      <c r="B1707" s="2" t="n">
        <v>43206.98702546296</v>
      </c>
      <c r="C1707" t="n">
        <v>0</v>
      </c>
      <c r="D1707" t="n">
        <v>0</v>
      </c>
      <c r="E1707" t="s">
        <v>1718</v>
      </c>
      <c r="F1707" t="s"/>
      <c r="G1707" t="s"/>
      <c r="H1707" t="s"/>
      <c r="I1707" t="s"/>
      <c r="J1707" t="n">
        <v>0.128</v>
      </c>
      <c r="K1707" t="n">
        <v>0.119</v>
      </c>
      <c r="L1707" t="n">
        <v>0.7</v>
      </c>
      <c r="M1707" t="n">
        <v>0.181</v>
      </c>
    </row>
    <row r="1708" spans="1:13">
      <c r="A1708" s="1">
        <f>HYPERLINK("http://www.twitter.com/NathanBLawrence/status/986024527653109760", "986024527653109760")</f>
        <v/>
      </c>
      <c r="B1708" s="2" t="n">
        <v>43206.98079861111</v>
      </c>
      <c r="C1708" t="n">
        <v>0</v>
      </c>
      <c r="D1708" t="n">
        <v>0</v>
      </c>
      <c r="E1708" t="s">
        <v>1719</v>
      </c>
      <c r="F1708" t="s"/>
      <c r="G1708" t="s"/>
      <c r="H1708" t="s"/>
      <c r="I1708" t="s"/>
      <c r="J1708" t="n">
        <v>-0.8091</v>
      </c>
      <c r="K1708" t="n">
        <v>0.217</v>
      </c>
      <c r="L1708" t="n">
        <v>0.735</v>
      </c>
      <c r="M1708" t="n">
        <v>0.048</v>
      </c>
    </row>
    <row r="1709" spans="1:13">
      <c r="A1709" s="1">
        <f>HYPERLINK("http://www.twitter.com/NathanBLawrence/status/986020513741930501", "986020513741930501")</f>
        <v/>
      </c>
      <c r="B1709" s="2" t="n">
        <v>43206.96972222222</v>
      </c>
      <c r="C1709" t="n">
        <v>2</v>
      </c>
      <c r="D1709" t="n">
        <v>2</v>
      </c>
      <c r="E1709" t="s">
        <v>1720</v>
      </c>
      <c r="F1709" t="s"/>
      <c r="G1709" t="s"/>
      <c r="H1709" t="s"/>
      <c r="I1709" t="s"/>
      <c r="J1709" t="n">
        <v>0.2263</v>
      </c>
      <c r="K1709" t="n">
        <v>0.093</v>
      </c>
      <c r="L1709" t="n">
        <v>0.795</v>
      </c>
      <c r="M1709" t="n">
        <v>0.113</v>
      </c>
    </row>
    <row r="1710" spans="1:13">
      <c r="A1710" s="1">
        <f>HYPERLINK("http://www.twitter.com/NathanBLawrence/status/986012226283823105", "986012226283823105")</f>
        <v/>
      </c>
      <c r="B1710" s="2" t="n">
        <v>43206.94685185186</v>
      </c>
      <c r="C1710" t="n">
        <v>0</v>
      </c>
      <c r="D1710" t="n">
        <v>0</v>
      </c>
      <c r="E1710" t="s">
        <v>1721</v>
      </c>
      <c r="F1710" t="s"/>
      <c r="G1710" t="s"/>
      <c r="H1710" t="s"/>
      <c r="I1710" t="s"/>
      <c r="J1710" t="n">
        <v>0</v>
      </c>
      <c r="K1710" t="n">
        <v>0</v>
      </c>
      <c r="L1710" t="n">
        <v>1</v>
      </c>
      <c r="M1710" t="n">
        <v>0</v>
      </c>
    </row>
    <row r="1711" spans="1:13">
      <c r="A1711" s="1">
        <f>HYPERLINK("http://www.twitter.com/NathanBLawrence/status/986010725398253570", "986010725398253570")</f>
        <v/>
      </c>
      <c r="B1711" s="2" t="n">
        <v>43206.94270833334</v>
      </c>
      <c r="C1711" t="n">
        <v>1</v>
      </c>
      <c r="D1711" t="n">
        <v>0</v>
      </c>
      <c r="E1711" t="s">
        <v>1722</v>
      </c>
      <c r="F1711" t="s"/>
      <c r="G1711" t="s"/>
      <c r="H1711" t="s"/>
      <c r="I1711" t="s"/>
      <c r="J1711" t="n">
        <v>0.2732</v>
      </c>
      <c r="K1711" t="n">
        <v>0</v>
      </c>
      <c r="L1711" t="n">
        <v>0.92</v>
      </c>
      <c r="M1711" t="n">
        <v>0.08</v>
      </c>
    </row>
    <row r="1712" spans="1:13">
      <c r="A1712" s="1">
        <f>HYPERLINK("http://www.twitter.com/NathanBLawrence/status/986009787727933442", "986009787727933442")</f>
        <v/>
      </c>
      <c r="B1712" s="2" t="n">
        <v>43206.94012731482</v>
      </c>
      <c r="C1712" t="n">
        <v>0</v>
      </c>
      <c r="D1712" t="n">
        <v>0</v>
      </c>
      <c r="E1712" t="s">
        <v>1723</v>
      </c>
      <c r="F1712" t="s"/>
      <c r="G1712" t="s"/>
      <c r="H1712" t="s"/>
      <c r="I1712" t="s"/>
      <c r="J1712" t="n">
        <v>-0.8221000000000001</v>
      </c>
      <c r="K1712" t="n">
        <v>0.252</v>
      </c>
      <c r="L1712" t="n">
        <v>0.6889999999999999</v>
      </c>
      <c r="M1712" t="n">
        <v>0.059</v>
      </c>
    </row>
    <row r="1713" spans="1:13">
      <c r="A1713" s="1">
        <f>HYPERLINK("http://www.twitter.com/NathanBLawrence/status/986008013961158657", "986008013961158657")</f>
        <v/>
      </c>
      <c r="B1713" s="2" t="n">
        <v>43206.93523148148</v>
      </c>
      <c r="C1713" t="n">
        <v>3</v>
      </c>
      <c r="D1713" t="n">
        <v>1</v>
      </c>
      <c r="E1713" t="s">
        <v>1724</v>
      </c>
      <c r="F1713" t="s"/>
      <c r="G1713" t="s"/>
      <c r="H1713" t="s"/>
      <c r="I1713" t="s"/>
      <c r="J1713" t="n">
        <v>0</v>
      </c>
      <c r="K1713" t="n">
        <v>0</v>
      </c>
      <c r="L1713" t="n">
        <v>1</v>
      </c>
      <c r="M1713" t="n">
        <v>0</v>
      </c>
    </row>
    <row r="1714" spans="1:13">
      <c r="A1714" s="1">
        <f>HYPERLINK("http://www.twitter.com/NathanBLawrence/status/986000983498084352", "986000983498084352")</f>
        <v/>
      </c>
      <c r="B1714" s="2" t="n">
        <v>43206.91583333333</v>
      </c>
      <c r="C1714" t="n">
        <v>1</v>
      </c>
      <c r="D1714" t="n">
        <v>0</v>
      </c>
      <c r="E1714" t="s">
        <v>1725</v>
      </c>
      <c r="F1714" t="s"/>
      <c r="G1714" t="s"/>
      <c r="H1714" t="s"/>
      <c r="I1714" t="s"/>
      <c r="J1714" t="n">
        <v>0.3818</v>
      </c>
      <c r="K1714" t="n">
        <v>0</v>
      </c>
      <c r="L1714" t="n">
        <v>0.89</v>
      </c>
      <c r="M1714" t="n">
        <v>0.11</v>
      </c>
    </row>
    <row r="1715" spans="1:13">
      <c r="A1715" s="1">
        <f>HYPERLINK("http://www.twitter.com/NathanBLawrence/status/985979562382196736", "985979562382196736")</f>
        <v/>
      </c>
      <c r="B1715" s="2" t="n">
        <v>43206.85671296297</v>
      </c>
      <c r="C1715" t="n">
        <v>2</v>
      </c>
      <c r="D1715" t="n">
        <v>0</v>
      </c>
      <c r="E1715" t="s">
        <v>1726</v>
      </c>
      <c r="F1715" t="s"/>
      <c r="G1715" t="s"/>
      <c r="H1715" t="s"/>
      <c r="I1715" t="s"/>
      <c r="J1715" t="n">
        <v>-0.5266999999999999</v>
      </c>
      <c r="K1715" t="n">
        <v>0.183</v>
      </c>
      <c r="L1715" t="n">
        <v>0.758</v>
      </c>
      <c r="M1715" t="n">
        <v>0.059</v>
      </c>
    </row>
    <row r="1716" spans="1:13">
      <c r="A1716" s="1">
        <f>HYPERLINK("http://www.twitter.com/NathanBLawrence/status/985972974950998016", "985972974950998016")</f>
        <v/>
      </c>
      <c r="B1716" s="2" t="n">
        <v>43206.83854166666</v>
      </c>
      <c r="C1716" t="n">
        <v>0</v>
      </c>
      <c r="D1716" t="n">
        <v>0</v>
      </c>
      <c r="E1716" t="s">
        <v>1727</v>
      </c>
      <c r="F1716" t="s"/>
      <c r="G1716" t="s"/>
      <c r="H1716" t="s"/>
      <c r="I1716" t="s"/>
      <c r="J1716" t="n">
        <v>0</v>
      </c>
      <c r="K1716" t="n">
        <v>0</v>
      </c>
      <c r="L1716" t="n">
        <v>1</v>
      </c>
      <c r="M1716" t="n">
        <v>0</v>
      </c>
    </row>
    <row r="1717" spans="1:13">
      <c r="A1717" s="1">
        <f>HYPERLINK("http://www.twitter.com/NathanBLawrence/status/985959265792876544", "985959265792876544")</f>
        <v/>
      </c>
      <c r="B1717" s="2" t="n">
        <v>43206.80070601852</v>
      </c>
      <c r="C1717" t="n">
        <v>0</v>
      </c>
      <c r="D1717" t="n">
        <v>0</v>
      </c>
      <c r="E1717" t="s">
        <v>1728</v>
      </c>
      <c r="F1717" t="s"/>
      <c r="G1717" t="s"/>
      <c r="H1717" t="s"/>
      <c r="I1717" t="s"/>
      <c r="J1717" t="n">
        <v>-0.0516</v>
      </c>
      <c r="K1717" t="n">
        <v>0.062</v>
      </c>
      <c r="L1717" t="n">
        <v>0.881</v>
      </c>
      <c r="M1717" t="n">
        <v>0.057</v>
      </c>
    </row>
    <row r="1718" spans="1:13">
      <c r="A1718" s="1">
        <f>HYPERLINK("http://www.twitter.com/NathanBLawrence/status/985952523902160898", "985952523902160898")</f>
        <v/>
      </c>
      <c r="B1718" s="2" t="n">
        <v>43206.78210648148</v>
      </c>
      <c r="C1718" t="n">
        <v>0</v>
      </c>
      <c r="D1718" t="n">
        <v>0</v>
      </c>
      <c r="E1718" t="s">
        <v>1729</v>
      </c>
      <c r="F1718" t="s"/>
      <c r="G1718" t="s"/>
      <c r="H1718" t="s"/>
      <c r="I1718" t="s"/>
      <c r="J1718" t="n">
        <v>0</v>
      </c>
      <c r="K1718" t="n">
        <v>0</v>
      </c>
      <c r="L1718" t="n">
        <v>1</v>
      </c>
      <c r="M1718" t="n">
        <v>0</v>
      </c>
    </row>
    <row r="1719" spans="1:13">
      <c r="A1719" s="1">
        <f>HYPERLINK("http://www.twitter.com/NathanBLawrence/status/985946776325804033", "985946776325804033")</f>
        <v/>
      </c>
      <c r="B1719" s="2" t="n">
        <v>43206.76625</v>
      </c>
      <c r="C1719" t="n">
        <v>1</v>
      </c>
      <c r="D1719" t="n">
        <v>0</v>
      </c>
      <c r="E1719" t="s">
        <v>1730</v>
      </c>
      <c r="F1719" t="s"/>
      <c r="G1719" t="s"/>
      <c r="H1719" t="s"/>
      <c r="I1719" t="s"/>
      <c r="J1719" t="n">
        <v>0</v>
      </c>
      <c r="K1719" t="n">
        <v>0</v>
      </c>
      <c r="L1719" t="n">
        <v>1</v>
      </c>
      <c r="M1719" t="n">
        <v>0</v>
      </c>
    </row>
    <row r="1720" spans="1:13">
      <c r="A1720" s="1">
        <f>HYPERLINK("http://www.twitter.com/NathanBLawrence/status/985946514072702977", "985946514072702977")</f>
        <v/>
      </c>
      <c r="B1720" s="2" t="n">
        <v>43206.76552083333</v>
      </c>
      <c r="C1720" t="n">
        <v>2</v>
      </c>
      <c r="D1720" t="n">
        <v>0</v>
      </c>
      <c r="E1720" t="s">
        <v>1731</v>
      </c>
      <c r="F1720" t="s"/>
      <c r="G1720" t="s"/>
      <c r="H1720" t="s"/>
      <c r="I1720" t="s"/>
      <c r="J1720" t="n">
        <v>0.6369</v>
      </c>
      <c r="K1720" t="n">
        <v>0</v>
      </c>
      <c r="L1720" t="n">
        <v>0.323</v>
      </c>
      <c r="M1720" t="n">
        <v>0.677</v>
      </c>
    </row>
    <row r="1721" spans="1:13">
      <c r="A1721" s="1">
        <f>HYPERLINK("http://www.twitter.com/NathanBLawrence/status/985946110060621824", "985946110060621824")</f>
        <v/>
      </c>
      <c r="B1721" s="2" t="n">
        <v>43206.76440972222</v>
      </c>
      <c r="C1721" t="n">
        <v>5</v>
      </c>
      <c r="D1721" t="n">
        <v>2</v>
      </c>
      <c r="E1721" t="s">
        <v>1732</v>
      </c>
      <c r="F1721" t="s"/>
      <c r="G1721" t="s"/>
      <c r="H1721" t="s"/>
      <c r="I1721" t="s"/>
      <c r="J1721" t="n">
        <v>-0.5610000000000001</v>
      </c>
      <c r="K1721" t="n">
        <v>0.089</v>
      </c>
      <c r="L1721" t="n">
        <v>0.911</v>
      </c>
      <c r="M1721" t="n">
        <v>0</v>
      </c>
    </row>
    <row r="1722" spans="1:13">
      <c r="A1722" s="1">
        <f>HYPERLINK("http://www.twitter.com/NathanBLawrence/status/985945087577395200", "985945087577395200")</f>
        <v/>
      </c>
      <c r="B1722" s="2" t="n">
        <v>43206.76158564815</v>
      </c>
      <c r="C1722" t="n">
        <v>3</v>
      </c>
      <c r="D1722" t="n">
        <v>1</v>
      </c>
      <c r="E1722" t="s">
        <v>1733</v>
      </c>
      <c r="F1722" t="s"/>
      <c r="G1722" t="s"/>
      <c r="H1722" t="s"/>
      <c r="I1722" t="s"/>
      <c r="J1722" t="n">
        <v>0</v>
      </c>
      <c r="K1722" t="n">
        <v>0</v>
      </c>
      <c r="L1722" t="n">
        <v>1</v>
      </c>
      <c r="M1722" t="n">
        <v>0</v>
      </c>
    </row>
    <row r="1723" spans="1:13">
      <c r="A1723" s="1">
        <f>HYPERLINK("http://www.twitter.com/NathanBLawrence/status/985942195441152001", "985942195441152001")</f>
        <v/>
      </c>
      <c r="B1723" s="2" t="n">
        <v>43206.75359953703</v>
      </c>
      <c r="C1723" t="n">
        <v>3</v>
      </c>
      <c r="D1723" t="n">
        <v>1</v>
      </c>
      <c r="E1723" t="s">
        <v>1734</v>
      </c>
      <c r="F1723" t="s"/>
      <c r="G1723" t="s"/>
      <c r="H1723" t="s"/>
      <c r="I1723" t="s"/>
      <c r="J1723" t="n">
        <v>-0.7156</v>
      </c>
      <c r="K1723" t="n">
        <v>0.26</v>
      </c>
      <c r="L1723" t="n">
        <v>0.74</v>
      </c>
      <c r="M1723" t="n">
        <v>0</v>
      </c>
    </row>
    <row r="1724" spans="1:13">
      <c r="A1724" s="1">
        <f>HYPERLINK("http://www.twitter.com/NathanBLawrence/status/985941379049230338", "985941379049230338")</f>
        <v/>
      </c>
      <c r="B1724" s="2" t="n">
        <v>43206.75135416666</v>
      </c>
      <c r="C1724" t="n">
        <v>4</v>
      </c>
      <c r="D1724" t="n">
        <v>1</v>
      </c>
      <c r="E1724" t="s">
        <v>1735</v>
      </c>
      <c r="F1724" t="s"/>
      <c r="G1724" t="s"/>
      <c r="H1724" t="s"/>
      <c r="I1724" t="s"/>
      <c r="J1724" t="n">
        <v>0.1877</v>
      </c>
      <c r="K1724" t="n">
        <v>0</v>
      </c>
      <c r="L1724" t="n">
        <v>0.916</v>
      </c>
      <c r="M1724" t="n">
        <v>0.08400000000000001</v>
      </c>
    </row>
    <row r="1725" spans="1:13">
      <c r="A1725" s="1">
        <f>HYPERLINK("http://www.twitter.com/NathanBLawrence/status/985940587760291840", "985940587760291840")</f>
        <v/>
      </c>
      <c r="B1725" s="2" t="n">
        <v>43206.74916666667</v>
      </c>
      <c r="C1725" t="n">
        <v>2</v>
      </c>
      <c r="D1725" t="n">
        <v>1</v>
      </c>
      <c r="E1725" t="s">
        <v>1736</v>
      </c>
      <c r="F1725" t="s"/>
      <c r="G1725" t="s"/>
      <c r="H1725" t="s"/>
      <c r="I1725" t="s"/>
      <c r="J1725" t="n">
        <v>0</v>
      </c>
      <c r="K1725" t="n">
        <v>0</v>
      </c>
      <c r="L1725" t="n">
        <v>1</v>
      </c>
      <c r="M1725" t="n">
        <v>0</v>
      </c>
    </row>
    <row r="1726" spans="1:13">
      <c r="A1726" s="1">
        <f>HYPERLINK("http://www.twitter.com/NathanBLawrence/status/985940377558568967", "985940377558568967")</f>
        <v/>
      </c>
      <c r="B1726" s="2" t="n">
        <v>43206.74858796296</v>
      </c>
      <c r="C1726" t="n">
        <v>2</v>
      </c>
      <c r="D1726" t="n">
        <v>1</v>
      </c>
      <c r="E1726" t="s">
        <v>1737</v>
      </c>
      <c r="F1726" t="s"/>
      <c r="G1726" t="s"/>
      <c r="H1726" t="s"/>
      <c r="I1726" t="s"/>
      <c r="J1726" t="n">
        <v>0</v>
      </c>
      <c r="K1726" t="n">
        <v>0</v>
      </c>
      <c r="L1726" t="n">
        <v>1</v>
      </c>
      <c r="M1726" t="n">
        <v>0</v>
      </c>
    </row>
    <row r="1727" spans="1:13">
      <c r="A1727" s="1">
        <f>HYPERLINK("http://www.twitter.com/NathanBLawrence/status/985940079859388416", "985940079859388416")</f>
        <v/>
      </c>
      <c r="B1727" s="2" t="n">
        <v>43206.74776620371</v>
      </c>
      <c r="C1727" t="n">
        <v>1</v>
      </c>
      <c r="D1727" t="n">
        <v>1</v>
      </c>
      <c r="E1727" t="s">
        <v>1738</v>
      </c>
      <c r="F1727" t="s"/>
      <c r="G1727" t="s"/>
      <c r="H1727" t="s"/>
      <c r="I1727" t="s"/>
      <c r="J1727" t="n">
        <v>-0.2869</v>
      </c>
      <c r="K1727" t="n">
        <v>0.128</v>
      </c>
      <c r="L1727" t="n">
        <v>0.772</v>
      </c>
      <c r="M1727" t="n">
        <v>0.101</v>
      </c>
    </row>
    <row r="1728" spans="1:13">
      <c r="A1728" s="1">
        <f>HYPERLINK("http://www.twitter.com/NathanBLawrence/status/985938976904306692", "985938976904306692")</f>
        <v/>
      </c>
      <c r="B1728" s="2" t="n">
        <v>43206.74472222223</v>
      </c>
      <c r="C1728" t="n">
        <v>0</v>
      </c>
      <c r="D1728" t="n">
        <v>0</v>
      </c>
      <c r="E1728" t="s">
        <v>1739</v>
      </c>
      <c r="F1728" t="s"/>
      <c r="G1728" t="s"/>
      <c r="H1728" t="s"/>
      <c r="I1728" t="s"/>
      <c r="J1728" t="n">
        <v>-0.7088</v>
      </c>
      <c r="K1728" t="n">
        <v>0.411</v>
      </c>
      <c r="L1728" t="n">
        <v>0.589</v>
      </c>
      <c r="M1728" t="n">
        <v>0</v>
      </c>
    </row>
    <row r="1729" spans="1:13">
      <c r="A1729" s="1">
        <f>HYPERLINK("http://www.twitter.com/NathanBLawrence/status/985938889268449281", "985938889268449281")</f>
        <v/>
      </c>
      <c r="B1729" s="2" t="n">
        <v>43206.74447916666</v>
      </c>
      <c r="C1729" t="n">
        <v>0</v>
      </c>
      <c r="D1729" t="n">
        <v>0</v>
      </c>
      <c r="E1729" t="s">
        <v>1740</v>
      </c>
      <c r="F1729" t="s"/>
      <c r="G1729" t="s"/>
      <c r="H1729" t="s"/>
      <c r="I1729" t="s"/>
      <c r="J1729" t="n">
        <v>0</v>
      </c>
      <c r="K1729" t="n">
        <v>0</v>
      </c>
      <c r="L1729" t="n">
        <v>1</v>
      </c>
      <c r="M1729" t="n">
        <v>0</v>
      </c>
    </row>
    <row r="1730" spans="1:13">
      <c r="A1730" s="1">
        <f>HYPERLINK("http://www.twitter.com/NathanBLawrence/status/985931495838769153", "985931495838769153")</f>
        <v/>
      </c>
      <c r="B1730" s="2" t="n">
        <v>43206.72407407407</v>
      </c>
      <c r="C1730" t="n">
        <v>2</v>
      </c>
      <c r="D1730" t="n">
        <v>0</v>
      </c>
      <c r="E1730" t="s">
        <v>1741</v>
      </c>
      <c r="F1730" t="s"/>
      <c r="G1730" t="s"/>
      <c r="H1730" t="s"/>
      <c r="I1730" t="s"/>
      <c r="J1730" t="n">
        <v>0</v>
      </c>
      <c r="K1730" t="n">
        <v>0</v>
      </c>
      <c r="L1730" t="n">
        <v>1</v>
      </c>
      <c r="M1730" t="n">
        <v>0</v>
      </c>
    </row>
    <row r="1731" spans="1:13">
      <c r="A1731" s="1">
        <f>HYPERLINK("http://www.twitter.com/NathanBLawrence/status/985930654784344065", "985930654784344065")</f>
        <v/>
      </c>
      <c r="B1731" s="2" t="n">
        <v>43206.72175925926</v>
      </c>
      <c r="C1731" t="n">
        <v>2</v>
      </c>
      <c r="D1731" t="n">
        <v>0</v>
      </c>
      <c r="E1731" t="s">
        <v>1742</v>
      </c>
      <c r="F1731" t="s"/>
      <c r="G1731" t="s"/>
      <c r="H1731" t="s"/>
      <c r="I1731" t="s"/>
      <c r="J1731" t="n">
        <v>-0.2263</v>
      </c>
      <c r="K1731" t="n">
        <v>0.142</v>
      </c>
      <c r="L1731" t="n">
        <v>0.756</v>
      </c>
      <c r="M1731" t="n">
        <v>0.102</v>
      </c>
    </row>
    <row r="1732" spans="1:13">
      <c r="A1732" s="1">
        <f>HYPERLINK("http://www.twitter.com/NathanBLawrence/status/985930288814489606", "985930288814489606")</f>
        <v/>
      </c>
      <c r="B1732" s="2" t="n">
        <v>43206.72075231482</v>
      </c>
      <c r="C1732" t="n">
        <v>1</v>
      </c>
      <c r="D1732" t="n">
        <v>0</v>
      </c>
      <c r="E1732" t="s">
        <v>1743</v>
      </c>
      <c r="F1732" t="s"/>
      <c r="G1732" t="s"/>
      <c r="H1732" t="s"/>
      <c r="I1732" t="s"/>
      <c r="J1732" t="n">
        <v>0</v>
      </c>
      <c r="K1732" t="n">
        <v>0</v>
      </c>
      <c r="L1732" t="n">
        <v>1</v>
      </c>
      <c r="M1732" t="n">
        <v>0</v>
      </c>
    </row>
    <row r="1733" spans="1:13">
      <c r="A1733" s="1">
        <f>HYPERLINK("http://www.twitter.com/NathanBLawrence/status/985909998210437120", "985909998210437120")</f>
        <v/>
      </c>
      <c r="B1733" s="2" t="n">
        <v>43206.66475694445</v>
      </c>
      <c r="C1733" t="n">
        <v>3</v>
      </c>
      <c r="D1733" t="n">
        <v>0</v>
      </c>
      <c r="E1733" t="s">
        <v>1744</v>
      </c>
      <c r="F1733" t="s"/>
      <c r="G1733" t="s"/>
      <c r="H1733" t="s"/>
      <c r="I1733" t="s"/>
      <c r="J1733" t="n">
        <v>0.6369</v>
      </c>
      <c r="K1733" t="n">
        <v>0</v>
      </c>
      <c r="L1733" t="n">
        <v>0.741</v>
      </c>
      <c r="M1733" t="n">
        <v>0.259</v>
      </c>
    </row>
    <row r="1734" spans="1:13">
      <c r="A1734" s="1">
        <f>HYPERLINK("http://www.twitter.com/NathanBLawrence/status/985909395421913088", "985909395421913088")</f>
        <v/>
      </c>
      <c r="B1734" s="2" t="n">
        <v>43206.66309027778</v>
      </c>
      <c r="C1734" t="n">
        <v>0</v>
      </c>
      <c r="D1734" t="n">
        <v>0</v>
      </c>
      <c r="E1734" t="s">
        <v>1745</v>
      </c>
      <c r="F1734" t="s"/>
      <c r="G1734" t="s"/>
      <c r="H1734" t="s"/>
      <c r="I1734" t="s"/>
      <c r="J1734" t="n">
        <v>-0.9062</v>
      </c>
      <c r="K1734" t="n">
        <v>0.272</v>
      </c>
      <c r="L1734" t="n">
        <v>0.728</v>
      </c>
      <c r="M1734" t="n">
        <v>0</v>
      </c>
    </row>
    <row r="1735" spans="1:13">
      <c r="A1735" s="1">
        <f>HYPERLINK("http://www.twitter.com/NathanBLawrence/status/985908021778841600", "985908021778841600")</f>
        <v/>
      </c>
      <c r="B1735" s="2" t="n">
        <v>43206.65930555556</v>
      </c>
      <c r="C1735" t="n">
        <v>0</v>
      </c>
      <c r="D1735" t="n">
        <v>0</v>
      </c>
      <c r="E1735" t="s">
        <v>1746</v>
      </c>
      <c r="F1735" t="s"/>
      <c r="G1735" t="s"/>
      <c r="H1735" t="s"/>
      <c r="I1735" t="s"/>
      <c r="J1735" t="n">
        <v>-0.3818</v>
      </c>
      <c r="K1735" t="n">
        <v>0.091</v>
      </c>
      <c r="L1735" t="n">
        <v>0.86</v>
      </c>
      <c r="M1735" t="n">
        <v>0.048</v>
      </c>
    </row>
    <row r="1736" spans="1:13">
      <c r="A1736" s="1">
        <f>HYPERLINK("http://www.twitter.com/NathanBLawrence/status/985906173659484160", "985906173659484160")</f>
        <v/>
      </c>
      <c r="B1736" s="2" t="n">
        <v>43206.65420138889</v>
      </c>
      <c r="C1736" t="n">
        <v>0</v>
      </c>
      <c r="D1736" t="n">
        <v>0</v>
      </c>
      <c r="E1736" t="s">
        <v>1747</v>
      </c>
      <c r="F1736" t="s"/>
      <c r="G1736" t="s"/>
      <c r="H1736" t="s"/>
      <c r="I1736" t="s"/>
      <c r="J1736" t="n">
        <v>-0.5147</v>
      </c>
      <c r="K1736" t="n">
        <v>0.137</v>
      </c>
      <c r="L1736" t="n">
        <v>0.787</v>
      </c>
      <c r="M1736" t="n">
        <v>0.076</v>
      </c>
    </row>
    <row r="1737" spans="1:13">
      <c r="A1737" s="1">
        <f>HYPERLINK("http://www.twitter.com/NathanBLawrence/status/985904437163151360", "985904437163151360")</f>
        <v/>
      </c>
      <c r="B1737" s="2" t="n">
        <v>43206.64940972222</v>
      </c>
      <c r="C1737" t="n">
        <v>0</v>
      </c>
      <c r="D1737" t="n">
        <v>0</v>
      </c>
      <c r="E1737" t="s">
        <v>1748</v>
      </c>
      <c r="F1737" t="s"/>
      <c r="G1737" t="s"/>
      <c r="H1737" t="s"/>
      <c r="I1737" t="s"/>
      <c r="J1737" t="n">
        <v>-0.7506</v>
      </c>
      <c r="K1737" t="n">
        <v>0.195</v>
      </c>
      <c r="L1737" t="n">
        <v>0.752</v>
      </c>
      <c r="M1737" t="n">
        <v>0.053</v>
      </c>
    </row>
    <row r="1738" spans="1:13">
      <c r="A1738" s="1">
        <f>HYPERLINK("http://www.twitter.com/NathanBLawrence/status/985903814740934656", "985903814740934656")</f>
        <v/>
      </c>
      <c r="B1738" s="2" t="n">
        <v>43206.64769675926</v>
      </c>
      <c r="C1738" t="n">
        <v>0</v>
      </c>
      <c r="D1738" t="n">
        <v>0</v>
      </c>
      <c r="E1738" t="s">
        <v>1749</v>
      </c>
      <c r="F1738" t="s"/>
      <c r="G1738" t="s"/>
      <c r="H1738" t="s"/>
      <c r="I1738" t="s"/>
      <c r="J1738" t="n">
        <v>0.6776</v>
      </c>
      <c r="K1738" t="n">
        <v>0</v>
      </c>
      <c r="L1738" t="n">
        <v>0.863</v>
      </c>
      <c r="M1738" t="n">
        <v>0.137</v>
      </c>
    </row>
    <row r="1739" spans="1:13">
      <c r="A1739" s="1">
        <f>HYPERLINK("http://www.twitter.com/NathanBLawrence/status/985903140376596480", "985903140376596480")</f>
        <v/>
      </c>
      <c r="B1739" s="2" t="n">
        <v>43206.64583333334</v>
      </c>
      <c r="C1739" t="n">
        <v>0</v>
      </c>
      <c r="D1739" t="n">
        <v>0</v>
      </c>
      <c r="E1739" t="s">
        <v>1750</v>
      </c>
      <c r="F1739" t="s"/>
      <c r="G1739" t="s"/>
      <c r="H1739" t="s"/>
      <c r="I1739" t="s"/>
      <c r="J1739" t="n">
        <v>-0.8286</v>
      </c>
      <c r="K1739" t="n">
        <v>0.169</v>
      </c>
      <c r="L1739" t="n">
        <v>0.831</v>
      </c>
      <c r="M1739" t="n">
        <v>0</v>
      </c>
    </row>
    <row r="1740" spans="1:13">
      <c r="A1740" s="1">
        <f>HYPERLINK("http://www.twitter.com/NathanBLawrence/status/985882494191964160", "985882494191964160")</f>
        <v/>
      </c>
      <c r="B1740" s="2" t="n">
        <v>43206.58886574074</v>
      </c>
      <c r="C1740" t="n">
        <v>0</v>
      </c>
      <c r="D1740" t="n">
        <v>0</v>
      </c>
      <c r="E1740" t="s">
        <v>1751</v>
      </c>
      <c r="F1740" t="s"/>
      <c r="G1740" t="s"/>
      <c r="H1740" t="s"/>
      <c r="I1740" t="s"/>
      <c r="J1740" t="n">
        <v>0.5266999999999999</v>
      </c>
      <c r="K1740" t="n">
        <v>0.126</v>
      </c>
      <c r="L1740" t="n">
        <v>0.667</v>
      </c>
      <c r="M1740" t="n">
        <v>0.207</v>
      </c>
    </row>
    <row r="1741" spans="1:13">
      <c r="A1741" s="1">
        <f>HYPERLINK("http://www.twitter.com/NathanBLawrence/status/985881363558621185", "985881363558621185")</f>
        <v/>
      </c>
      <c r="B1741" s="2" t="n">
        <v>43206.58574074074</v>
      </c>
      <c r="C1741" t="n">
        <v>0</v>
      </c>
      <c r="D1741" t="n">
        <v>0</v>
      </c>
      <c r="E1741" t="s">
        <v>1752</v>
      </c>
      <c r="F1741" t="s"/>
      <c r="G1741" t="s"/>
      <c r="H1741" t="s"/>
      <c r="I1741" t="s"/>
      <c r="J1741" t="n">
        <v>0.3612</v>
      </c>
      <c r="K1741" t="n">
        <v>0.05</v>
      </c>
      <c r="L1741" t="n">
        <v>0.855</v>
      </c>
      <c r="M1741" t="n">
        <v>0.094</v>
      </c>
    </row>
    <row r="1742" spans="1:13">
      <c r="A1742" s="1">
        <f>HYPERLINK("http://www.twitter.com/NathanBLawrence/status/985876416771354624", "985876416771354624")</f>
        <v/>
      </c>
      <c r="B1742" s="2" t="n">
        <v>43206.57209490741</v>
      </c>
      <c r="C1742" t="n">
        <v>11</v>
      </c>
      <c r="D1742" t="n">
        <v>0</v>
      </c>
      <c r="E1742" t="s">
        <v>1753</v>
      </c>
      <c r="F1742" t="s"/>
      <c r="G1742" t="s"/>
      <c r="H1742" t="s"/>
      <c r="I1742" t="s"/>
      <c r="J1742" t="n">
        <v>0.2755</v>
      </c>
      <c r="K1742" t="n">
        <v>0</v>
      </c>
      <c r="L1742" t="n">
        <v>0.655</v>
      </c>
      <c r="M1742" t="n">
        <v>0.345</v>
      </c>
    </row>
    <row r="1743" spans="1:13">
      <c r="A1743" s="1">
        <f>HYPERLINK("http://www.twitter.com/NathanBLawrence/status/985874963281469445", "985874963281469445")</f>
        <v/>
      </c>
      <c r="B1743" s="2" t="n">
        <v>43206.56807870371</v>
      </c>
      <c r="C1743" t="n">
        <v>2</v>
      </c>
      <c r="D1743" t="n">
        <v>1</v>
      </c>
      <c r="E1743" t="s">
        <v>1754</v>
      </c>
      <c r="F1743" t="s"/>
      <c r="G1743" t="s"/>
      <c r="H1743" t="s"/>
      <c r="I1743" t="s"/>
      <c r="J1743" t="n">
        <v>-0.2732</v>
      </c>
      <c r="K1743" t="n">
        <v>0.062</v>
      </c>
      <c r="L1743" t="n">
        <v>0.9379999999999999</v>
      </c>
      <c r="M1743" t="n">
        <v>0</v>
      </c>
    </row>
    <row r="1744" spans="1:13">
      <c r="A1744" s="1">
        <f>HYPERLINK("http://www.twitter.com/NathanBLawrence/status/985865491834122240", "985865491834122240")</f>
        <v/>
      </c>
      <c r="B1744" s="2" t="n">
        <v>43206.54194444444</v>
      </c>
      <c r="C1744" t="n">
        <v>3</v>
      </c>
      <c r="D1744" t="n">
        <v>1</v>
      </c>
      <c r="E1744" t="s">
        <v>1755</v>
      </c>
      <c r="F1744" t="s"/>
      <c r="G1744" t="s"/>
      <c r="H1744" t="s"/>
      <c r="I1744" t="s"/>
      <c r="J1744" t="n">
        <v>0</v>
      </c>
      <c r="K1744" t="n">
        <v>0</v>
      </c>
      <c r="L1744" t="n">
        <v>1</v>
      </c>
      <c r="M1744" t="n">
        <v>0</v>
      </c>
    </row>
    <row r="1745" spans="1:13">
      <c r="A1745" s="1">
        <f>HYPERLINK("http://www.twitter.com/NathanBLawrence/status/985864841083736064", "985864841083736064")</f>
        <v/>
      </c>
      <c r="B1745" s="2" t="n">
        <v>43206.54015046296</v>
      </c>
      <c r="C1745" t="n">
        <v>2</v>
      </c>
      <c r="D1745" t="n">
        <v>0</v>
      </c>
      <c r="E1745" t="s">
        <v>1756</v>
      </c>
      <c r="F1745" t="s"/>
      <c r="G1745" t="s"/>
      <c r="H1745" t="s"/>
      <c r="I1745" t="s"/>
      <c r="J1745" t="n">
        <v>0.2732</v>
      </c>
      <c r="K1745" t="n">
        <v>0</v>
      </c>
      <c r="L1745" t="n">
        <v>0.913</v>
      </c>
      <c r="M1745" t="n">
        <v>0.08699999999999999</v>
      </c>
    </row>
    <row r="1746" spans="1:13">
      <c r="A1746" s="1">
        <f>HYPERLINK("http://www.twitter.com/NathanBLawrence/status/985863478345895937", "985863478345895937")</f>
        <v/>
      </c>
      <c r="B1746" s="2" t="n">
        <v>43206.53638888889</v>
      </c>
      <c r="C1746" t="n">
        <v>3</v>
      </c>
      <c r="D1746" t="n">
        <v>1</v>
      </c>
      <c r="E1746" t="s">
        <v>1757</v>
      </c>
      <c r="F1746" t="s"/>
      <c r="G1746" t="s"/>
      <c r="H1746" t="s"/>
      <c r="I1746" t="s"/>
      <c r="J1746" t="n">
        <v>0</v>
      </c>
      <c r="K1746" t="n">
        <v>0</v>
      </c>
      <c r="L1746" t="n">
        <v>1</v>
      </c>
      <c r="M1746" t="n">
        <v>0</v>
      </c>
    </row>
    <row r="1747" spans="1:13">
      <c r="A1747" s="1">
        <f>HYPERLINK("http://www.twitter.com/NathanBLawrence/status/985861424978321408", "985861424978321408")</f>
        <v/>
      </c>
      <c r="B1747" s="2" t="n">
        <v>43206.53071759259</v>
      </c>
      <c r="C1747" t="n">
        <v>0</v>
      </c>
      <c r="D1747" t="n">
        <v>0</v>
      </c>
      <c r="E1747" t="s">
        <v>1758</v>
      </c>
      <c r="F1747" t="s"/>
      <c r="G1747" t="s"/>
      <c r="H1747" t="s"/>
      <c r="I1747" t="s"/>
      <c r="J1747" t="n">
        <v>-0.5766</v>
      </c>
      <c r="K1747" t="n">
        <v>0.099</v>
      </c>
      <c r="L1747" t="n">
        <v>0.901</v>
      </c>
      <c r="M1747" t="n">
        <v>0</v>
      </c>
    </row>
    <row r="1748" spans="1:13">
      <c r="A1748" s="1">
        <f>HYPERLINK("http://www.twitter.com/NathanBLawrence/status/985858889588461568", "985858889588461568")</f>
        <v/>
      </c>
      <c r="B1748" s="2" t="n">
        <v>43206.52372685185</v>
      </c>
      <c r="C1748" t="n">
        <v>3</v>
      </c>
      <c r="D1748" t="n">
        <v>1</v>
      </c>
      <c r="E1748" t="s">
        <v>1759</v>
      </c>
      <c r="F1748" t="s"/>
      <c r="G1748" t="s"/>
      <c r="H1748" t="s"/>
      <c r="I1748" t="s"/>
      <c r="J1748" t="n">
        <v>-0.4926</v>
      </c>
      <c r="K1748" t="n">
        <v>0.188</v>
      </c>
      <c r="L1748" t="n">
        <v>0.701</v>
      </c>
      <c r="M1748" t="n">
        <v>0.111</v>
      </c>
    </row>
    <row r="1749" spans="1:13">
      <c r="A1749" s="1">
        <f>HYPERLINK("http://www.twitter.com/NathanBLawrence/status/985854295194132480", "985854295194132480")</f>
        <v/>
      </c>
      <c r="B1749" s="2" t="n">
        <v>43206.51104166666</v>
      </c>
      <c r="C1749" t="n">
        <v>6</v>
      </c>
      <c r="D1749" t="n">
        <v>3</v>
      </c>
      <c r="E1749" t="s">
        <v>1760</v>
      </c>
      <c r="F1749" t="s"/>
      <c r="G1749" t="s"/>
      <c r="H1749" t="s"/>
      <c r="I1749" t="s"/>
      <c r="J1749" t="n">
        <v>0.4404</v>
      </c>
      <c r="K1749" t="n">
        <v>0</v>
      </c>
      <c r="L1749" t="n">
        <v>0.892</v>
      </c>
      <c r="M1749" t="n">
        <v>0.108</v>
      </c>
    </row>
    <row r="1750" spans="1:13">
      <c r="A1750" s="1">
        <f>HYPERLINK("http://www.twitter.com/NathanBLawrence/status/985734862421352448", "985734862421352448")</f>
        <v/>
      </c>
      <c r="B1750" s="2" t="n">
        <v>43206.18146990741</v>
      </c>
      <c r="C1750" t="n">
        <v>2</v>
      </c>
      <c r="D1750" t="n">
        <v>0</v>
      </c>
      <c r="E1750" t="s">
        <v>1761</v>
      </c>
      <c r="F1750" t="s"/>
      <c r="G1750" t="s"/>
      <c r="H1750" t="s"/>
      <c r="I1750" t="s"/>
      <c r="J1750" t="n">
        <v>0.3182</v>
      </c>
      <c r="K1750" t="n">
        <v>0</v>
      </c>
      <c r="L1750" t="n">
        <v>0.887</v>
      </c>
      <c r="M1750" t="n">
        <v>0.113</v>
      </c>
    </row>
    <row r="1751" spans="1:13">
      <c r="A1751" s="1">
        <f>HYPERLINK("http://www.twitter.com/NathanBLawrence/status/985733703874891776", "985733703874891776")</f>
        <v/>
      </c>
      <c r="B1751" s="2" t="n">
        <v>43206.17827546296</v>
      </c>
      <c r="C1751" t="n">
        <v>0</v>
      </c>
      <c r="D1751" t="n">
        <v>0</v>
      </c>
      <c r="E1751" t="s">
        <v>1762</v>
      </c>
      <c r="F1751" t="s"/>
      <c r="G1751" t="s"/>
      <c r="H1751" t="s"/>
      <c r="I1751" t="s"/>
      <c r="J1751" t="n">
        <v>0</v>
      </c>
      <c r="K1751" t="n">
        <v>0</v>
      </c>
      <c r="L1751" t="n">
        <v>1</v>
      </c>
      <c r="M1751" t="n">
        <v>0</v>
      </c>
    </row>
    <row r="1752" spans="1:13">
      <c r="A1752" s="1">
        <f>HYPERLINK("http://www.twitter.com/NathanBLawrence/status/985733108296245251", "985733108296245251")</f>
        <v/>
      </c>
      <c r="B1752" s="2" t="n">
        <v>43206.17663194444</v>
      </c>
      <c r="C1752" t="n">
        <v>8</v>
      </c>
      <c r="D1752" t="n">
        <v>5</v>
      </c>
      <c r="E1752" t="s">
        <v>1763</v>
      </c>
      <c r="F1752" t="s"/>
      <c r="G1752" t="s"/>
      <c r="H1752" t="s"/>
      <c r="I1752" t="s"/>
      <c r="J1752" t="n">
        <v>0.5859</v>
      </c>
      <c r="K1752" t="n">
        <v>0.125</v>
      </c>
      <c r="L1752" t="n">
        <v>0.543</v>
      </c>
      <c r="M1752" t="n">
        <v>0.332</v>
      </c>
    </row>
    <row r="1753" spans="1:13">
      <c r="A1753" s="1">
        <f>HYPERLINK("http://www.twitter.com/NathanBLawrence/status/985729982059118592", "985729982059118592")</f>
        <v/>
      </c>
      <c r="B1753" s="2" t="n">
        <v>43206.16800925926</v>
      </c>
      <c r="C1753" t="n">
        <v>1</v>
      </c>
      <c r="D1753" t="n">
        <v>0</v>
      </c>
      <c r="E1753" t="s">
        <v>1764</v>
      </c>
      <c r="F1753" t="s"/>
      <c r="G1753" t="s"/>
      <c r="H1753" t="s"/>
      <c r="I1753" t="s"/>
      <c r="J1753" t="n">
        <v>0.5859</v>
      </c>
      <c r="K1753" t="n">
        <v>0</v>
      </c>
      <c r="L1753" t="n">
        <v>0.885</v>
      </c>
      <c r="M1753" t="n">
        <v>0.115</v>
      </c>
    </row>
    <row r="1754" spans="1:13">
      <c r="A1754" s="1">
        <f>HYPERLINK("http://www.twitter.com/NathanBLawrence/status/985727692397006848", "985727692397006848")</f>
        <v/>
      </c>
      <c r="B1754" s="2" t="n">
        <v>43206.16168981481</v>
      </c>
      <c r="C1754" t="n">
        <v>1</v>
      </c>
      <c r="D1754" t="n">
        <v>0</v>
      </c>
      <c r="E1754" t="s">
        <v>1765</v>
      </c>
      <c r="F1754" t="s"/>
      <c r="G1754" t="s"/>
      <c r="H1754" t="s"/>
      <c r="I1754" t="s"/>
      <c r="J1754" t="n">
        <v>-0.7783</v>
      </c>
      <c r="K1754" t="n">
        <v>0.405</v>
      </c>
      <c r="L1754" t="n">
        <v>0.595</v>
      </c>
      <c r="M1754" t="n">
        <v>0</v>
      </c>
    </row>
    <row r="1755" spans="1:13">
      <c r="A1755" s="1">
        <f>HYPERLINK("http://www.twitter.com/NathanBLawrence/status/985727234165133312", "985727234165133312")</f>
        <v/>
      </c>
      <c r="B1755" s="2" t="n">
        <v>43206.16042824074</v>
      </c>
      <c r="C1755" t="n">
        <v>1</v>
      </c>
      <c r="D1755" t="n">
        <v>0</v>
      </c>
      <c r="E1755" t="s">
        <v>1766</v>
      </c>
      <c r="F1755" t="s"/>
      <c r="G1755" t="s"/>
      <c r="H1755" t="s"/>
      <c r="I1755" t="s"/>
      <c r="J1755" t="n">
        <v>-0.4067</v>
      </c>
      <c r="K1755" t="n">
        <v>0.175</v>
      </c>
      <c r="L1755" t="n">
        <v>0.704</v>
      </c>
      <c r="M1755" t="n">
        <v>0.121</v>
      </c>
    </row>
    <row r="1756" spans="1:13">
      <c r="A1756" s="1">
        <f>HYPERLINK("http://www.twitter.com/NathanBLawrence/status/985725844017557504", "985725844017557504")</f>
        <v/>
      </c>
      <c r="B1756" s="2" t="n">
        <v>43206.15658564815</v>
      </c>
      <c r="C1756" t="n">
        <v>0</v>
      </c>
      <c r="D1756" t="n">
        <v>0</v>
      </c>
      <c r="E1756" t="s">
        <v>1767</v>
      </c>
      <c r="F1756" t="s"/>
      <c r="G1756" t="s"/>
      <c r="H1756" t="s"/>
      <c r="I1756" t="s"/>
      <c r="J1756" t="n">
        <v>0</v>
      </c>
      <c r="K1756" t="n">
        <v>0</v>
      </c>
      <c r="L1756" t="n">
        <v>1</v>
      </c>
      <c r="M1756" t="n">
        <v>0</v>
      </c>
    </row>
    <row r="1757" spans="1:13">
      <c r="A1757" s="1">
        <f>HYPERLINK("http://www.twitter.com/NathanBLawrence/status/985724938312126464", "985724938312126464")</f>
        <v/>
      </c>
      <c r="B1757" s="2" t="n">
        <v>43206.15408564815</v>
      </c>
      <c r="C1757" t="n">
        <v>5</v>
      </c>
      <c r="D1757" t="n">
        <v>3</v>
      </c>
      <c r="E1757" t="s">
        <v>1768</v>
      </c>
      <c r="F1757" t="s"/>
      <c r="G1757" t="s"/>
      <c r="H1757" t="s"/>
      <c r="I1757" t="s"/>
      <c r="J1757" t="n">
        <v>0</v>
      </c>
      <c r="K1757" t="n">
        <v>0</v>
      </c>
      <c r="L1757" t="n">
        <v>1</v>
      </c>
      <c r="M1757" t="n">
        <v>0</v>
      </c>
    </row>
    <row r="1758" spans="1:13">
      <c r="A1758" s="1">
        <f>HYPERLINK("http://www.twitter.com/NathanBLawrence/status/985723494414606336", "985723494414606336")</f>
        <v/>
      </c>
      <c r="B1758" s="2" t="n">
        <v>43206.15010416666</v>
      </c>
      <c r="C1758" t="n">
        <v>2</v>
      </c>
      <c r="D1758" t="n">
        <v>1</v>
      </c>
      <c r="E1758" t="s">
        <v>1769</v>
      </c>
      <c r="F1758" t="s"/>
      <c r="G1758" t="s"/>
      <c r="H1758" t="s"/>
      <c r="I1758" t="s"/>
      <c r="J1758" t="n">
        <v>0</v>
      </c>
      <c r="K1758" t="n">
        <v>0</v>
      </c>
      <c r="L1758" t="n">
        <v>1</v>
      </c>
      <c r="M1758" t="n">
        <v>0</v>
      </c>
    </row>
    <row r="1759" spans="1:13">
      <c r="A1759" s="1">
        <f>HYPERLINK("http://www.twitter.com/NathanBLawrence/status/985722821350486016", "985722821350486016")</f>
        <v/>
      </c>
      <c r="B1759" s="2" t="n">
        <v>43206.14825231482</v>
      </c>
      <c r="C1759" t="n">
        <v>1</v>
      </c>
      <c r="D1759" t="n">
        <v>0</v>
      </c>
      <c r="E1759" t="s">
        <v>1770</v>
      </c>
      <c r="F1759" t="s"/>
      <c r="G1759" t="s"/>
      <c r="H1759" t="s"/>
      <c r="I1759" t="s"/>
      <c r="J1759" t="n">
        <v>0.3612</v>
      </c>
      <c r="K1759" t="n">
        <v>0</v>
      </c>
      <c r="L1759" t="n">
        <v>0.884</v>
      </c>
      <c r="M1759" t="n">
        <v>0.116</v>
      </c>
    </row>
    <row r="1760" spans="1:13">
      <c r="A1760" s="1">
        <f>HYPERLINK("http://www.twitter.com/NathanBLawrence/status/985722128979906560", "985722128979906560")</f>
        <v/>
      </c>
      <c r="B1760" s="2" t="n">
        <v>43206.14634259259</v>
      </c>
      <c r="C1760" t="n">
        <v>4</v>
      </c>
      <c r="D1760" t="n">
        <v>0</v>
      </c>
      <c r="E1760" t="s">
        <v>1771</v>
      </c>
      <c r="F1760" t="s"/>
      <c r="G1760" t="s"/>
      <c r="H1760" t="s"/>
      <c r="I1760" t="s"/>
      <c r="J1760" t="n">
        <v>0</v>
      </c>
      <c r="K1760" t="n">
        <v>0</v>
      </c>
      <c r="L1760" t="n">
        <v>1</v>
      </c>
      <c r="M1760" t="n">
        <v>0</v>
      </c>
    </row>
    <row r="1761" spans="1:13">
      <c r="A1761" s="1">
        <f>HYPERLINK("http://www.twitter.com/NathanBLawrence/status/985720481461530624", "985720481461530624")</f>
        <v/>
      </c>
      <c r="B1761" s="2" t="n">
        <v>43206.14179398148</v>
      </c>
      <c r="C1761" t="n">
        <v>2</v>
      </c>
      <c r="D1761" t="n">
        <v>1</v>
      </c>
      <c r="E1761" t="s">
        <v>1772</v>
      </c>
      <c r="F1761" t="s"/>
      <c r="G1761" t="s"/>
      <c r="H1761" t="s"/>
      <c r="I1761" t="s"/>
      <c r="J1761" t="n">
        <v>0.8367</v>
      </c>
      <c r="K1761" t="n">
        <v>0</v>
      </c>
      <c r="L1761" t="n">
        <v>0.76</v>
      </c>
      <c r="M1761" t="n">
        <v>0.24</v>
      </c>
    </row>
    <row r="1762" spans="1:13">
      <c r="A1762" s="1">
        <f>HYPERLINK("http://www.twitter.com/NathanBLawrence/status/985719166463291392", "985719166463291392")</f>
        <v/>
      </c>
      <c r="B1762" s="2" t="n">
        <v>43206.13815972222</v>
      </c>
      <c r="C1762" t="n">
        <v>1</v>
      </c>
      <c r="D1762" t="n">
        <v>0</v>
      </c>
      <c r="E1762" t="s">
        <v>1773</v>
      </c>
      <c r="F1762" t="s"/>
      <c r="G1762" t="s"/>
      <c r="H1762" t="s"/>
      <c r="I1762" t="s"/>
      <c r="J1762" t="n">
        <v>-0.6168</v>
      </c>
      <c r="K1762" t="n">
        <v>0.173</v>
      </c>
      <c r="L1762" t="n">
        <v>0.6919999999999999</v>
      </c>
      <c r="M1762" t="n">
        <v>0.135</v>
      </c>
    </row>
    <row r="1763" spans="1:13">
      <c r="A1763" s="1">
        <f>HYPERLINK("http://www.twitter.com/NathanBLawrence/status/985711915363127296", "985711915363127296")</f>
        <v/>
      </c>
      <c r="B1763" s="2" t="n">
        <v>43206.11814814815</v>
      </c>
      <c r="C1763" t="n">
        <v>3</v>
      </c>
      <c r="D1763" t="n">
        <v>2</v>
      </c>
      <c r="E1763" t="s">
        <v>1774</v>
      </c>
      <c r="F1763" t="s"/>
      <c r="G1763" t="s"/>
      <c r="H1763" t="s"/>
      <c r="I1763" t="s"/>
      <c r="J1763" t="n">
        <v>0</v>
      </c>
      <c r="K1763" t="n">
        <v>0</v>
      </c>
      <c r="L1763" t="n">
        <v>1</v>
      </c>
      <c r="M1763" t="n">
        <v>0</v>
      </c>
    </row>
    <row r="1764" spans="1:13">
      <c r="A1764" s="1">
        <f>HYPERLINK("http://www.twitter.com/NathanBLawrence/status/985707434026168321", "985707434026168321")</f>
        <v/>
      </c>
      <c r="B1764" s="2" t="n">
        <v>43206.10578703704</v>
      </c>
      <c r="C1764" t="n">
        <v>0</v>
      </c>
      <c r="D1764" t="n">
        <v>0</v>
      </c>
      <c r="E1764" t="s">
        <v>1775</v>
      </c>
      <c r="F1764" t="s"/>
      <c r="G1764" t="s"/>
      <c r="H1764" t="s"/>
      <c r="I1764" t="s"/>
      <c r="J1764" t="n">
        <v>0</v>
      </c>
      <c r="K1764" t="n">
        <v>0</v>
      </c>
      <c r="L1764" t="n">
        <v>1</v>
      </c>
      <c r="M1764" t="n">
        <v>0</v>
      </c>
    </row>
    <row r="1765" spans="1:13">
      <c r="A1765" s="1">
        <f>HYPERLINK("http://www.twitter.com/NathanBLawrence/status/985706755580624896", "985706755580624896")</f>
        <v/>
      </c>
      <c r="B1765" s="2" t="n">
        <v>43206.10391203704</v>
      </c>
      <c r="C1765" t="n">
        <v>1</v>
      </c>
      <c r="D1765" t="n">
        <v>0</v>
      </c>
      <c r="E1765" t="s">
        <v>1776</v>
      </c>
      <c r="F1765" t="s"/>
      <c r="G1765" t="s"/>
      <c r="H1765" t="s"/>
      <c r="I1765" t="s"/>
      <c r="J1765" t="n">
        <v>0.6884</v>
      </c>
      <c r="K1765" t="n">
        <v>0</v>
      </c>
      <c r="L1765" t="n">
        <v>0.681</v>
      </c>
      <c r="M1765" t="n">
        <v>0.319</v>
      </c>
    </row>
    <row r="1766" spans="1:13">
      <c r="A1766" s="1">
        <f>HYPERLINK("http://www.twitter.com/NathanBLawrence/status/985706369406947328", "985706369406947328")</f>
        <v/>
      </c>
      <c r="B1766" s="2" t="n">
        <v>43206.10284722222</v>
      </c>
      <c r="C1766" t="n">
        <v>1</v>
      </c>
      <c r="D1766" t="n">
        <v>1</v>
      </c>
      <c r="E1766" t="s">
        <v>1777</v>
      </c>
      <c r="F1766" t="s"/>
      <c r="G1766" t="s"/>
      <c r="H1766" t="s"/>
      <c r="I1766" t="s"/>
      <c r="J1766" t="n">
        <v>-0.6662</v>
      </c>
      <c r="K1766" t="n">
        <v>0.144</v>
      </c>
      <c r="L1766" t="n">
        <v>0.8169999999999999</v>
      </c>
      <c r="M1766" t="n">
        <v>0.039</v>
      </c>
    </row>
    <row r="1767" spans="1:13">
      <c r="A1767" s="1">
        <f>HYPERLINK("http://www.twitter.com/NathanBLawrence/status/985704940415877120", "985704940415877120")</f>
        <v/>
      </c>
      <c r="B1767" s="2" t="n">
        <v>43206.09890046297</v>
      </c>
      <c r="C1767" t="n">
        <v>1</v>
      </c>
      <c r="D1767" t="n">
        <v>0</v>
      </c>
      <c r="E1767" t="s">
        <v>1778</v>
      </c>
      <c r="F1767" t="s"/>
      <c r="G1767" t="s"/>
      <c r="H1767" t="s"/>
      <c r="I1767" t="s"/>
      <c r="J1767" t="n">
        <v>0</v>
      </c>
      <c r="K1767" t="n">
        <v>0</v>
      </c>
      <c r="L1767" t="n">
        <v>1</v>
      </c>
      <c r="M1767" t="n">
        <v>0</v>
      </c>
    </row>
    <row r="1768" spans="1:13">
      <c r="A1768" s="1">
        <f>HYPERLINK("http://www.twitter.com/NathanBLawrence/status/985703203575599105", "985703203575599105")</f>
        <v/>
      </c>
      <c r="B1768" s="2" t="n">
        <v>43206.09410879629</v>
      </c>
      <c r="C1768" t="n">
        <v>2</v>
      </c>
      <c r="D1768" t="n">
        <v>1</v>
      </c>
      <c r="E1768" t="s">
        <v>1779</v>
      </c>
      <c r="F1768" t="s"/>
      <c r="G1768" t="s"/>
      <c r="H1768" t="s"/>
      <c r="I1768" t="s"/>
      <c r="J1768" t="n">
        <v>0</v>
      </c>
      <c r="K1768" t="n">
        <v>0</v>
      </c>
      <c r="L1768" t="n">
        <v>1</v>
      </c>
      <c r="M1768" t="n">
        <v>0</v>
      </c>
    </row>
    <row r="1769" spans="1:13">
      <c r="A1769" s="1">
        <f>HYPERLINK("http://www.twitter.com/NathanBLawrence/status/985702343999180800", "985702343999180800")</f>
        <v/>
      </c>
      <c r="B1769" s="2" t="n">
        <v>43206.09173611111</v>
      </c>
      <c r="C1769" t="n">
        <v>0</v>
      </c>
      <c r="D1769" t="n">
        <v>0</v>
      </c>
      <c r="E1769" t="s">
        <v>1780</v>
      </c>
      <c r="F1769" t="s"/>
      <c r="G1769" t="s"/>
      <c r="H1769" t="s"/>
      <c r="I1769" t="s"/>
      <c r="J1769" t="n">
        <v>0</v>
      </c>
      <c r="K1769" t="n">
        <v>0</v>
      </c>
      <c r="L1769" t="n">
        <v>1</v>
      </c>
      <c r="M1769" t="n">
        <v>0</v>
      </c>
    </row>
    <row r="1770" spans="1:13">
      <c r="A1770" s="1">
        <f>HYPERLINK("http://www.twitter.com/NathanBLawrence/status/985679563538780160", "985679563538780160")</f>
        <v/>
      </c>
      <c r="B1770" s="2" t="n">
        <v>43206.02887731481</v>
      </c>
      <c r="C1770" t="n">
        <v>2</v>
      </c>
      <c r="D1770" t="n">
        <v>0</v>
      </c>
      <c r="E1770" t="s">
        <v>1781</v>
      </c>
      <c r="F1770" t="s"/>
      <c r="G1770" t="s"/>
      <c r="H1770" t="s"/>
      <c r="I1770" t="s"/>
      <c r="J1770" t="n">
        <v>0.8016</v>
      </c>
      <c r="K1770" t="n">
        <v>0</v>
      </c>
      <c r="L1770" t="n">
        <v>0.625</v>
      </c>
      <c r="M1770" t="n">
        <v>0.375</v>
      </c>
    </row>
    <row r="1771" spans="1:13">
      <c r="A1771" s="1">
        <f>HYPERLINK("http://www.twitter.com/NathanBLawrence/status/985678854059589637", "985678854059589637")</f>
        <v/>
      </c>
      <c r="B1771" s="2" t="n">
        <v>43206.0269212963</v>
      </c>
      <c r="C1771" t="n">
        <v>0</v>
      </c>
      <c r="D1771" t="n">
        <v>0</v>
      </c>
      <c r="E1771" t="s">
        <v>1782</v>
      </c>
      <c r="F1771" t="s"/>
      <c r="G1771" t="s"/>
      <c r="H1771" t="s"/>
      <c r="I1771" t="s"/>
      <c r="J1771" t="n">
        <v>0.899</v>
      </c>
      <c r="K1771" t="n">
        <v>0</v>
      </c>
      <c r="L1771" t="n">
        <v>0.733</v>
      </c>
      <c r="M1771" t="n">
        <v>0.267</v>
      </c>
    </row>
    <row r="1772" spans="1:13">
      <c r="A1772" s="1">
        <f>HYPERLINK("http://www.twitter.com/NathanBLawrence/status/985676988450041856", "985676988450041856")</f>
        <v/>
      </c>
      <c r="B1772" s="2" t="n">
        <v>43206.02177083334</v>
      </c>
      <c r="C1772" t="n">
        <v>1</v>
      </c>
      <c r="D1772" t="n">
        <v>0</v>
      </c>
      <c r="E1772" t="s">
        <v>1783</v>
      </c>
      <c r="F1772" t="s"/>
      <c r="G1772" t="s"/>
      <c r="H1772" t="s"/>
      <c r="I1772" t="s"/>
      <c r="J1772" t="n">
        <v>0.0258</v>
      </c>
      <c r="K1772" t="n">
        <v>0</v>
      </c>
      <c r="L1772" t="n">
        <v>0.645</v>
      </c>
      <c r="M1772" t="n">
        <v>0.355</v>
      </c>
    </row>
    <row r="1773" spans="1:13">
      <c r="A1773" s="1">
        <f>HYPERLINK("http://www.twitter.com/NathanBLawrence/status/985641513769230337", "985641513769230337")</f>
        <v/>
      </c>
      <c r="B1773" s="2" t="n">
        <v>43205.92387731482</v>
      </c>
      <c r="C1773" t="n">
        <v>2</v>
      </c>
      <c r="D1773" t="n">
        <v>1</v>
      </c>
      <c r="E1773" t="s">
        <v>1784</v>
      </c>
      <c r="F1773">
        <f>HYPERLINK("http://pbs.twimg.com/media/Da2zsmCVQAEe6Zu.jpg", "http://pbs.twimg.com/media/Da2zsmCVQAEe6Zu.jpg")</f>
        <v/>
      </c>
      <c r="G1773" t="s"/>
      <c r="H1773" t="s"/>
      <c r="I1773" t="s"/>
      <c r="J1773" t="n">
        <v>-0.2924</v>
      </c>
      <c r="K1773" t="n">
        <v>0.135</v>
      </c>
      <c r="L1773" t="n">
        <v>0.779</v>
      </c>
      <c r="M1773" t="n">
        <v>0.08599999999999999</v>
      </c>
    </row>
    <row r="1774" spans="1:13">
      <c r="A1774" s="1">
        <f>HYPERLINK("http://www.twitter.com/NathanBLawrence/status/985641477085777925", "985641477085777925")</f>
        <v/>
      </c>
      <c r="B1774" s="2" t="n">
        <v>43205.92378472222</v>
      </c>
      <c r="C1774" t="n">
        <v>0</v>
      </c>
      <c r="D1774" t="n">
        <v>0</v>
      </c>
      <c r="E1774" t="s">
        <v>1785</v>
      </c>
      <c r="F1774">
        <f>HYPERLINK("http://pbs.twimg.com/media/Da2zsl4VAAAZbao.jpg", "http://pbs.twimg.com/media/Da2zsl4VAAAZbao.jpg")</f>
        <v/>
      </c>
      <c r="G1774" t="s"/>
      <c r="H1774" t="s"/>
      <c r="I1774" t="s"/>
      <c r="J1774" t="n">
        <v>-0.5574</v>
      </c>
      <c r="K1774" t="n">
        <v>0.265</v>
      </c>
      <c r="L1774" t="n">
        <v>0.735</v>
      </c>
      <c r="M1774" t="n">
        <v>0</v>
      </c>
    </row>
    <row r="1775" spans="1:13">
      <c r="A1775" s="1">
        <f>HYPERLINK("http://www.twitter.com/NathanBLawrence/status/985638837845098496", "985638837845098496")</f>
        <v/>
      </c>
      <c r="B1775" s="2" t="n">
        <v>43205.91649305556</v>
      </c>
      <c r="C1775" t="n">
        <v>1</v>
      </c>
      <c r="D1775" t="n">
        <v>0</v>
      </c>
      <c r="E1775" t="s">
        <v>1786</v>
      </c>
      <c r="F1775" t="s"/>
      <c r="G1775" t="s"/>
      <c r="H1775" t="s"/>
      <c r="I1775" t="s"/>
      <c r="J1775" t="n">
        <v>0.8625</v>
      </c>
      <c r="K1775" t="n">
        <v>0</v>
      </c>
      <c r="L1775" t="n">
        <v>0.575</v>
      </c>
      <c r="M1775" t="n">
        <v>0.425</v>
      </c>
    </row>
    <row r="1776" spans="1:13">
      <c r="A1776" s="1">
        <f>HYPERLINK("http://www.twitter.com/NathanBLawrence/status/985638240802758656", "985638240802758656")</f>
        <v/>
      </c>
      <c r="B1776" s="2" t="n">
        <v>43205.91484953704</v>
      </c>
      <c r="C1776" t="n">
        <v>1</v>
      </c>
      <c r="D1776" t="n">
        <v>0</v>
      </c>
      <c r="E1776" t="s">
        <v>1787</v>
      </c>
      <c r="F1776" t="s"/>
      <c r="G1776" t="s"/>
      <c r="H1776" t="s"/>
      <c r="I1776" t="s"/>
      <c r="J1776" t="n">
        <v>0.6767</v>
      </c>
      <c r="K1776" t="n">
        <v>0</v>
      </c>
      <c r="L1776" t="n">
        <v>0.764</v>
      </c>
      <c r="M1776" t="n">
        <v>0.236</v>
      </c>
    </row>
    <row r="1777" spans="1:13">
      <c r="A1777" s="1">
        <f>HYPERLINK("http://www.twitter.com/NathanBLawrence/status/985626278601641984", "985626278601641984")</f>
        <v/>
      </c>
      <c r="B1777" s="2" t="n">
        <v>43205.88184027778</v>
      </c>
      <c r="C1777" t="n">
        <v>2</v>
      </c>
      <c r="D1777" t="n">
        <v>0</v>
      </c>
      <c r="E1777" t="s">
        <v>1788</v>
      </c>
      <c r="F1777">
        <f>HYPERLINK("http://pbs.twimg.com/media/Da2l0mZXcAAvpjx.jpg", "http://pbs.twimg.com/media/Da2l0mZXcAAvpjx.jpg")</f>
        <v/>
      </c>
      <c r="G1777" t="s"/>
      <c r="H1777" t="s"/>
      <c r="I1777" t="s"/>
      <c r="J1777" t="n">
        <v>0.6705</v>
      </c>
      <c r="K1777" t="n">
        <v>0</v>
      </c>
      <c r="L1777" t="n">
        <v>0.606</v>
      </c>
      <c r="M1777" t="n">
        <v>0.394</v>
      </c>
    </row>
    <row r="1778" spans="1:13">
      <c r="A1778" s="1">
        <f>HYPERLINK("http://www.twitter.com/NathanBLawrence/status/985624162151620610", "985624162151620610")</f>
        <v/>
      </c>
      <c r="B1778" s="2" t="n">
        <v>43205.87599537037</v>
      </c>
      <c r="C1778" t="n">
        <v>2</v>
      </c>
      <c r="D1778" t="n">
        <v>0</v>
      </c>
      <c r="E1778" t="s">
        <v>1789</v>
      </c>
      <c r="F1778" t="s"/>
      <c r="G1778" t="s"/>
      <c r="H1778" t="s"/>
      <c r="I1778" t="s"/>
      <c r="J1778" t="n">
        <v>-0.6124000000000001</v>
      </c>
      <c r="K1778" t="n">
        <v>0.25</v>
      </c>
      <c r="L1778" t="n">
        <v>0.75</v>
      </c>
      <c r="M1778" t="n">
        <v>0</v>
      </c>
    </row>
    <row r="1779" spans="1:13">
      <c r="A1779" s="1">
        <f>HYPERLINK("http://www.twitter.com/NathanBLawrence/status/985623901345583105", "985623901345583105")</f>
        <v/>
      </c>
      <c r="B1779" s="2" t="n">
        <v>43205.87527777778</v>
      </c>
      <c r="C1779" t="n">
        <v>4</v>
      </c>
      <c r="D1779" t="n">
        <v>2</v>
      </c>
      <c r="E1779" t="s">
        <v>1790</v>
      </c>
      <c r="F1779" t="s"/>
      <c r="G1779" t="s"/>
      <c r="H1779" t="s"/>
      <c r="I1779" t="s"/>
      <c r="J1779" t="n">
        <v>0</v>
      </c>
      <c r="K1779" t="n">
        <v>0</v>
      </c>
      <c r="L1779" t="n">
        <v>1</v>
      </c>
      <c r="M1779" t="n">
        <v>0</v>
      </c>
    </row>
    <row r="1780" spans="1:13">
      <c r="A1780" s="1">
        <f>HYPERLINK("http://www.twitter.com/NathanBLawrence/status/985623519542366209", "985623519542366209")</f>
        <v/>
      </c>
      <c r="B1780" s="2" t="n">
        <v>43205.87422453704</v>
      </c>
      <c r="C1780" t="n">
        <v>0</v>
      </c>
      <c r="D1780" t="n">
        <v>0</v>
      </c>
      <c r="E1780" t="s">
        <v>1791</v>
      </c>
      <c r="F1780" t="s"/>
      <c r="G1780" t="s"/>
      <c r="H1780" t="s"/>
      <c r="I1780" t="s"/>
      <c r="J1780" t="n">
        <v>-0.3818</v>
      </c>
      <c r="K1780" t="n">
        <v>0.082</v>
      </c>
      <c r="L1780" t="n">
        <v>0.918</v>
      </c>
      <c r="M1780" t="n">
        <v>0</v>
      </c>
    </row>
    <row r="1781" spans="1:13">
      <c r="A1781" s="1">
        <f>HYPERLINK("http://www.twitter.com/NathanBLawrence/status/985622501421182976", "985622501421182976")</f>
        <v/>
      </c>
      <c r="B1781" s="2" t="n">
        <v>43205.87141203704</v>
      </c>
      <c r="C1781" t="n">
        <v>1</v>
      </c>
      <c r="D1781" t="n">
        <v>1</v>
      </c>
      <c r="E1781" t="s">
        <v>1792</v>
      </c>
      <c r="F1781" t="s"/>
      <c r="G1781" t="s"/>
      <c r="H1781" t="s"/>
      <c r="I1781" t="s"/>
      <c r="J1781" t="n">
        <v>0</v>
      </c>
      <c r="K1781" t="n">
        <v>0</v>
      </c>
      <c r="L1781" t="n">
        <v>1</v>
      </c>
      <c r="M1781" t="n">
        <v>0</v>
      </c>
    </row>
    <row r="1782" spans="1:13">
      <c r="A1782" s="1">
        <f>HYPERLINK("http://www.twitter.com/NathanBLawrence/status/985622295363366912", "985622295363366912")</f>
        <v/>
      </c>
      <c r="B1782" s="2" t="n">
        <v>43205.8708449074</v>
      </c>
      <c r="C1782" t="n">
        <v>5</v>
      </c>
      <c r="D1782" t="n">
        <v>3</v>
      </c>
      <c r="E1782" t="s">
        <v>1793</v>
      </c>
      <c r="F1782" t="s"/>
      <c r="G1782" t="s"/>
      <c r="H1782" t="s"/>
      <c r="I1782" t="s"/>
      <c r="J1782" t="n">
        <v>-0.8636</v>
      </c>
      <c r="K1782" t="n">
        <v>0.226</v>
      </c>
      <c r="L1782" t="n">
        <v>0.774</v>
      </c>
      <c r="M1782" t="n">
        <v>0</v>
      </c>
    </row>
    <row r="1783" spans="1:13">
      <c r="A1783" s="1">
        <f>HYPERLINK("http://www.twitter.com/NathanBLawrence/status/985621782798524416", "985621782798524416")</f>
        <v/>
      </c>
      <c r="B1783" s="2" t="n">
        <v>43205.86943287037</v>
      </c>
      <c r="C1783" t="n">
        <v>4</v>
      </c>
      <c r="D1783" t="n">
        <v>2</v>
      </c>
      <c r="E1783" t="s">
        <v>1794</v>
      </c>
      <c r="F1783" t="s"/>
      <c r="G1783" t="s"/>
      <c r="H1783" t="s"/>
      <c r="I1783" t="s"/>
      <c r="J1783" t="n">
        <v>0</v>
      </c>
      <c r="K1783" t="n">
        <v>0</v>
      </c>
      <c r="L1783" t="n">
        <v>1</v>
      </c>
      <c r="M1783" t="n">
        <v>0</v>
      </c>
    </row>
    <row r="1784" spans="1:13">
      <c r="A1784" s="1">
        <f>HYPERLINK("http://www.twitter.com/NathanBLawrence/status/985621470549340161", "985621470549340161")</f>
        <v/>
      </c>
      <c r="B1784" s="2" t="n">
        <v>43205.86857638889</v>
      </c>
      <c r="C1784" t="n">
        <v>2</v>
      </c>
      <c r="D1784" t="n">
        <v>1</v>
      </c>
      <c r="E1784" t="s">
        <v>1795</v>
      </c>
      <c r="F1784" t="s"/>
      <c r="G1784" t="s"/>
      <c r="H1784" t="s"/>
      <c r="I1784" t="s"/>
      <c r="J1784" t="n">
        <v>0.6633</v>
      </c>
      <c r="K1784" t="n">
        <v>0</v>
      </c>
      <c r="L1784" t="n">
        <v>0.849</v>
      </c>
      <c r="M1784" t="n">
        <v>0.151</v>
      </c>
    </row>
    <row r="1785" spans="1:13">
      <c r="A1785" s="1">
        <f>HYPERLINK("http://www.twitter.com/NathanBLawrence/status/985607683897221121", "985607683897221121")</f>
        <v/>
      </c>
      <c r="B1785" s="2" t="n">
        <v>43205.83053240741</v>
      </c>
      <c r="C1785" t="n">
        <v>6</v>
      </c>
      <c r="D1785" t="n">
        <v>3</v>
      </c>
      <c r="E1785" t="s">
        <v>1796</v>
      </c>
      <c r="F1785" t="s"/>
      <c r="G1785" t="s"/>
      <c r="H1785" t="s"/>
      <c r="I1785" t="s"/>
      <c r="J1785" t="n">
        <v>0</v>
      </c>
      <c r="K1785" t="n">
        <v>0</v>
      </c>
      <c r="L1785" t="n">
        <v>1</v>
      </c>
      <c r="M1785" t="n">
        <v>0</v>
      </c>
    </row>
    <row r="1786" spans="1:13">
      <c r="A1786" s="1">
        <f>HYPERLINK("http://www.twitter.com/NathanBLawrence/status/985595520453312512", "985595520453312512")</f>
        <v/>
      </c>
      <c r="B1786" s="2" t="n">
        <v>43205.79696759259</v>
      </c>
      <c r="C1786" t="n">
        <v>3</v>
      </c>
      <c r="D1786" t="n">
        <v>1</v>
      </c>
      <c r="E1786" t="s">
        <v>1797</v>
      </c>
      <c r="F1786" t="s"/>
      <c r="G1786" t="s"/>
      <c r="H1786" t="s"/>
      <c r="I1786" t="s"/>
      <c r="J1786" t="n">
        <v>0</v>
      </c>
      <c r="K1786" t="n">
        <v>0</v>
      </c>
      <c r="L1786" t="n">
        <v>1</v>
      </c>
      <c r="M1786" t="n">
        <v>0</v>
      </c>
    </row>
    <row r="1787" spans="1:13">
      <c r="A1787" s="1">
        <f>HYPERLINK("http://www.twitter.com/NathanBLawrence/status/985594245921812489", "985594245921812489")</f>
        <v/>
      </c>
      <c r="B1787" s="2" t="n">
        <v>43205.79344907407</v>
      </c>
      <c r="C1787" t="n">
        <v>1</v>
      </c>
      <c r="D1787" t="n">
        <v>0</v>
      </c>
      <c r="E1787" t="s">
        <v>1798</v>
      </c>
      <c r="F1787" t="s"/>
      <c r="G1787" t="s"/>
      <c r="H1787" t="s"/>
      <c r="I1787" t="s"/>
      <c r="J1787" t="n">
        <v>0</v>
      </c>
      <c r="K1787" t="n">
        <v>0</v>
      </c>
      <c r="L1787" t="n">
        <v>1</v>
      </c>
      <c r="M1787" t="n">
        <v>0</v>
      </c>
    </row>
    <row r="1788" spans="1:13">
      <c r="A1788" s="1">
        <f>HYPERLINK("http://www.twitter.com/NathanBLawrence/status/985593943999033344", "985593943999033344")</f>
        <v/>
      </c>
      <c r="B1788" s="2" t="n">
        <v>43205.79261574074</v>
      </c>
      <c r="C1788" t="n">
        <v>6</v>
      </c>
      <c r="D1788" t="n">
        <v>3</v>
      </c>
      <c r="E1788" t="s">
        <v>1799</v>
      </c>
      <c r="F1788" t="s"/>
      <c r="G1788" t="s"/>
      <c r="H1788" t="s"/>
      <c r="I1788" t="s"/>
      <c r="J1788" t="n">
        <v>-0.9337</v>
      </c>
      <c r="K1788" t="n">
        <v>0.475</v>
      </c>
      <c r="L1788" t="n">
        <v>0.525</v>
      </c>
      <c r="M1788" t="n">
        <v>0</v>
      </c>
    </row>
    <row r="1789" spans="1:13">
      <c r="A1789" s="1">
        <f>HYPERLINK("http://www.twitter.com/NathanBLawrence/status/985592528723480576", "985592528723480576")</f>
        <v/>
      </c>
      <c r="B1789" s="2" t="n">
        <v>43205.78870370371</v>
      </c>
      <c r="C1789" t="n">
        <v>7</v>
      </c>
      <c r="D1789" t="n">
        <v>2</v>
      </c>
      <c r="E1789" t="s">
        <v>1800</v>
      </c>
      <c r="F1789" t="s"/>
      <c r="G1789" t="s"/>
      <c r="H1789" t="s"/>
      <c r="I1789" t="s"/>
      <c r="J1789" t="n">
        <v>0.5859</v>
      </c>
      <c r="K1789" t="n">
        <v>0</v>
      </c>
      <c r="L1789" t="n">
        <v>0.821</v>
      </c>
      <c r="M1789" t="n">
        <v>0.179</v>
      </c>
    </row>
    <row r="1790" spans="1:13">
      <c r="A1790" s="1">
        <f>HYPERLINK("http://www.twitter.com/NathanBLawrence/status/985591815012343809", "985591815012343809")</f>
        <v/>
      </c>
      <c r="B1790" s="2" t="n">
        <v>43205.78673611111</v>
      </c>
      <c r="C1790" t="n">
        <v>2</v>
      </c>
      <c r="D1790" t="n">
        <v>1</v>
      </c>
      <c r="E1790" t="s">
        <v>1801</v>
      </c>
      <c r="F1790" t="s"/>
      <c r="G1790" t="s"/>
      <c r="H1790" t="s"/>
      <c r="I1790" t="s"/>
      <c r="J1790" t="n">
        <v>0.5119</v>
      </c>
      <c r="K1790" t="n">
        <v>0</v>
      </c>
      <c r="L1790" t="n">
        <v>0.893</v>
      </c>
      <c r="M1790" t="n">
        <v>0.107</v>
      </c>
    </row>
    <row r="1791" spans="1:13">
      <c r="A1791" s="1">
        <f>HYPERLINK("http://www.twitter.com/NathanBLawrence/status/985589779134865413", "985589779134865413")</f>
        <v/>
      </c>
      <c r="B1791" s="2" t="n">
        <v>43205.78112268518</v>
      </c>
      <c r="C1791" t="n">
        <v>1</v>
      </c>
      <c r="D1791" t="n">
        <v>1</v>
      </c>
      <c r="E1791" t="s">
        <v>1802</v>
      </c>
      <c r="F1791" t="s"/>
      <c r="G1791" t="s"/>
      <c r="H1791" t="s"/>
      <c r="I1791" t="s"/>
      <c r="J1791" t="n">
        <v>-0.7003</v>
      </c>
      <c r="K1791" t="n">
        <v>0.159</v>
      </c>
      <c r="L1791" t="n">
        <v>0.841</v>
      </c>
      <c r="M1791" t="n">
        <v>0</v>
      </c>
    </row>
    <row r="1792" spans="1:13">
      <c r="A1792" s="1">
        <f>HYPERLINK("http://www.twitter.com/NathanBLawrence/status/985587315992088577", "985587315992088577")</f>
        <v/>
      </c>
      <c r="B1792" s="2" t="n">
        <v>43205.7743287037</v>
      </c>
      <c r="C1792" t="n">
        <v>0</v>
      </c>
      <c r="D1792" t="n">
        <v>4</v>
      </c>
      <c r="E1792" t="s">
        <v>1803</v>
      </c>
      <c r="F1792" t="s"/>
      <c r="G1792" t="s"/>
      <c r="H1792" t="s"/>
      <c r="I1792" t="s"/>
      <c r="J1792" t="n">
        <v>0.4019</v>
      </c>
      <c r="K1792" t="n">
        <v>0</v>
      </c>
      <c r="L1792" t="n">
        <v>0.863</v>
      </c>
      <c r="M1792" t="n">
        <v>0.137</v>
      </c>
    </row>
    <row r="1793" spans="1:13">
      <c r="A1793" s="1">
        <f>HYPERLINK("http://www.twitter.com/NathanBLawrence/status/985587257871601664", "985587257871601664")</f>
        <v/>
      </c>
      <c r="B1793" s="2" t="n">
        <v>43205.77416666667</v>
      </c>
      <c r="C1793" t="n">
        <v>7</v>
      </c>
      <c r="D1793" t="n">
        <v>6</v>
      </c>
      <c r="E1793" t="s">
        <v>1804</v>
      </c>
      <c r="F1793" t="s"/>
      <c r="G1793" t="s"/>
      <c r="H1793" t="s"/>
      <c r="I1793" t="s"/>
      <c r="J1793" t="n">
        <v>-0.4466</v>
      </c>
      <c r="K1793" t="n">
        <v>0.079</v>
      </c>
      <c r="L1793" t="n">
        <v>0.921</v>
      </c>
      <c r="M1793" t="n">
        <v>0</v>
      </c>
    </row>
    <row r="1794" spans="1:13">
      <c r="A1794" s="1">
        <f>HYPERLINK("http://www.twitter.com/NathanBLawrence/status/985585352583852032", "985585352583852032")</f>
        <v/>
      </c>
      <c r="B1794" s="2" t="n">
        <v>43205.76891203703</v>
      </c>
      <c r="C1794" t="n">
        <v>0</v>
      </c>
      <c r="D1794" t="n">
        <v>0</v>
      </c>
      <c r="E1794" t="s">
        <v>1805</v>
      </c>
      <c r="F1794" t="s"/>
      <c r="G1794" t="s"/>
      <c r="H1794" t="s"/>
      <c r="I1794" t="s"/>
      <c r="J1794" t="n">
        <v>0</v>
      </c>
      <c r="K1794" t="n">
        <v>0</v>
      </c>
      <c r="L1794" t="n">
        <v>1</v>
      </c>
      <c r="M1794" t="n">
        <v>0</v>
      </c>
    </row>
    <row r="1795" spans="1:13">
      <c r="A1795" s="1">
        <f>HYPERLINK("http://www.twitter.com/NathanBLawrence/status/985568835343446027", "985568835343446027")</f>
        <v/>
      </c>
      <c r="B1795" s="2" t="n">
        <v>43205.72332175926</v>
      </c>
      <c r="C1795" t="n">
        <v>1</v>
      </c>
      <c r="D1795" t="n">
        <v>0</v>
      </c>
      <c r="E1795" t="s">
        <v>1806</v>
      </c>
      <c r="F1795" t="s"/>
      <c r="G1795" t="s"/>
      <c r="H1795" t="s"/>
      <c r="I1795" t="s"/>
      <c r="J1795" t="n">
        <v>-0.7096</v>
      </c>
      <c r="K1795" t="n">
        <v>0.164</v>
      </c>
      <c r="L1795" t="n">
        <v>0.836</v>
      </c>
      <c r="M1795" t="n">
        <v>0</v>
      </c>
    </row>
    <row r="1796" spans="1:13">
      <c r="A1796" s="1">
        <f>HYPERLINK("http://www.twitter.com/NathanBLawrence/status/985556743743770626", "985556743743770626")</f>
        <v/>
      </c>
      <c r="B1796" s="2" t="n">
        <v>43205.68996527778</v>
      </c>
      <c r="C1796" t="n">
        <v>0</v>
      </c>
      <c r="D1796" t="n">
        <v>0</v>
      </c>
      <c r="E1796" t="s">
        <v>1807</v>
      </c>
      <c r="F1796" t="s"/>
      <c r="G1796" t="s"/>
      <c r="H1796" t="s"/>
      <c r="I1796" t="s"/>
      <c r="J1796" t="n">
        <v>0</v>
      </c>
      <c r="K1796" t="n">
        <v>0</v>
      </c>
      <c r="L1796" t="n">
        <v>1</v>
      </c>
      <c r="M1796" t="n">
        <v>0</v>
      </c>
    </row>
    <row r="1797" spans="1:13">
      <c r="A1797" s="1">
        <f>HYPERLINK("http://www.twitter.com/NathanBLawrence/status/985556091688964097", "985556091688964097")</f>
        <v/>
      </c>
      <c r="B1797" s="2" t="n">
        <v>43205.68815972222</v>
      </c>
      <c r="C1797" t="n">
        <v>0</v>
      </c>
      <c r="D1797" t="n">
        <v>0</v>
      </c>
      <c r="E1797" t="s">
        <v>1808</v>
      </c>
      <c r="F1797" t="s"/>
      <c r="G1797" t="s"/>
      <c r="H1797" t="s"/>
      <c r="I1797" t="s"/>
      <c r="J1797" t="n">
        <v>-0.7568</v>
      </c>
      <c r="K1797" t="n">
        <v>0.169</v>
      </c>
      <c r="L1797" t="n">
        <v>0.831</v>
      </c>
      <c r="M1797" t="n">
        <v>0</v>
      </c>
    </row>
    <row r="1798" spans="1:13">
      <c r="A1798" s="1">
        <f>HYPERLINK("http://www.twitter.com/NathanBLawrence/status/985555605506154497", "985555605506154497")</f>
        <v/>
      </c>
      <c r="B1798" s="2" t="n">
        <v>43205.68681712963</v>
      </c>
      <c r="C1798" t="n">
        <v>0</v>
      </c>
      <c r="D1798" t="n">
        <v>1172</v>
      </c>
      <c r="E1798" t="s">
        <v>1809</v>
      </c>
      <c r="F1798" t="s"/>
      <c r="G1798" t="s"/>
      <c r="H1798" t="s"/>
      <c r="I1798" t="s"/>
      <c r="J1798" t="n">
        <v>0.2681</v>
      </c>
      <c r="K1798" t="n">
        <v>0.052</v>
      </c>
      <c r="L1798" t="n">
        <v>0.85</v>
      </c>
      <c r="M1798" t="n">
        <v>0.098</v>
      </c>
    </row>
    <row r="1799" spans="1:13">
      <c r="A1799" s="1">
        <f>HYPERLINK("http://www.twitter.com/NathanBLawrence/status/985554202670895105", "985554202670895105")</f>
        <v/>
      </c>
      <c r="B1799" s="2" t="n">
        <v>43205.68295138889</v>
      </c>
      <c r="C1799" t="n">
        <v>1</v>
      </c>
      <c r="D1799" t="n">
        <v>0</v>
      </c>
      <c r="E1799" t="s">
        <v>1810</v>
      </c>
      <c r="F1799" t="s"/>
      <c r="G1799" t="s"/>
      <c r="H1799" t="s"/>
      <c r="I1799" t="s"/>
      <c r="J1799" t="n">
        <v>0.1027</v>
      </c>
      <c r="K1799" t="n">
        <v>0</v>
      </c>
      <c r="L1799" t="n">
        <v>0.903</v>
      </c>
      <c r="M1799" t="n">
        <v>0.097</v>
      </c>
    </row>
    <row r="1800" spans="1:13">
      <c r="A1800" s="1">
        <f>HYPERLINK("http://www.twitter.com/NathanBLawrence/status/985553703942918144", "985553703942918144")</f>
        <v/>
      </c>
      <c r="B1800" s="2" t="n">
        <v>43205.68157407407</v>
      </c>
      <c r="C1800" t="n">
        <v>1</v>
      </c>
      <c r="D1800" t="n">
        <v>0</v>
      </c>
      <c r="E1800" t="s">
        <v>1811</v>
      </c>
      <c r="F1800" t="s"/>
      <c r="G1800" t="s"/>
      <c r="H1800" t="s"/>
      <c r="I1800" t="s"/>
      <c r="J1800" t="n">
        <v>0</v>
      </c>
      <c r="K1800" t="n">
        <v>0</v>
      </c>
      <c r="L1800" t="n">
        <v>1</v>
      </c>
      <c r="M1800" t="n">
        <v>0</v>
      </c>
    </row>
    <row r="1801" spans="1:13">
      <c r="A1801" s="1">
        <f>HYPERLINK("http://www.twitter.com/NathanBLawrence/status/985553475814780931", "985553475814780931")</f>
        <v/>
      </c>
      <c r="B1801" s="2" t="n">
        <v>43205.6809375</v>
      </c>
      <c r="C1801" t="n">
        <v>1</v>
      </c>
      <c r="D1801" t="n">
        <v>0</v>
      </c>
      <c r="E1801" t="s">
        <v>1812</v>
      </c>
      <c r="F1801" t="s"/>
      <c r="G1801" t="s"/>
      <c r="H1801" t="s"/>
      <c r="I1801" t="s"/>
      <c r="J1801" t="n">
        <v>0</v>
      </c>
      <c r="K1801" t="n">
        <v>0</v>
      </c>
      <c r="L1801" t="n">
        <v>1</v>
      </c>
      <c r="M1801" t="n">
        <v>0</v>
      </c>
    </row>
    <row r="1802" spans="1:13">
      <c r="A1802" s="1">
        <f>HYPERLINK("http://www.twitter.com/NathanBLawrence/status/985553327797817344", "985553327797817344")</f>
        <v/>
      </c>
      <c r="B1802" s="2" t="n">
        <v>43205.68053240741</v>
      </c>
      <c r="C1802" t="n">
        <v>0</v>
      </c>
      <c r="D1802" t="n">
        <v>0</v>
      </c>
      <c r="E1802" t="s">
        <v>1813</v>
      </c>
      <c r="F1802" t="s"/>
      <c r="G1802" t="s"/>
      <c r="H1802" t="s"/>
      <c r="I1802" t="s"/>
      <c r="J1802" t="n">
        <v>-0.5994</v>
      </c>
      <c r="K1802" t="n">
        <v>0.394</v>
      </c>
      <c r="L1802" t="n">
        <v>0.606</v>
      </c>
      <c r="M1802" t="n">
        <v>0</v>
      </c>
    </row>
    <row r="1803" spans="1:13">
      <c r="A1803" s="1">
        <f>HYPERLINK("http://www.twitter.com/NathanBLawrence/status/985552187391729665", "985552187391729665")</f>
        <v/>
      </c>
      <c r="B1803" s="2" t="n">
        <v>43205.67738425926</v>
      </c>
      <c r="C1803" t="n">
        <v>4</v>
      </c>
      <c r="D1803" t="n">
        <v>0</v>
      </c>
      <c r="E1803" t="s">
        <v>1814</v>
      </c>
      <c r="F1803" t="s"/>
      <c r="G1803" t="s"/>
      <c r="H1803" t="s"/>
      <c r="I1803" t="s"/>
      <c r="J1803" t="n">
        <v>0.6114000000000001</v>
      </c>
      <c r="K1803" t="n">
        <v>0</v>
      </c>
      <c r="L1803" t="n">
        <v>0.778</v>
      </c>
      <c r="M1803" t="n">
        <v>0.222</v>
      </c>
    </row>
    <row r="1804" spans="1:13">
      <c r="A1804" s="1">
        <f>HYPERLINK("http://www.twitter.com/NathanBLawrence/status/985549440944607234", "985549440944607234")</f>
        <v/>
      </c>
      <c r="B1804" s="2" t="n">
        <v>43205.66981481481</v>
      </c>
      <c r="C1804" t="n">
        <v>0</v>
      </c>
      <c r="D1804" t="n">
        <v>0</v>
      </c>
      <c r="E1804" t="s">
        <v>1815</v>
      </c>
      <c r="F1804" t="s"/>
      <c r="G1804" t="s"/>
      <c r="H1804" t="s"/>
      <c r="I1804" t="s"/>
      <c r="J1804" t="n">
        <v>0.5754</v>
      </c>
      <c r="K1804" t="n">
        <v>0</v>
      </c>
      <c r="L1804" t="n">
        <v>0.866</v>
      </c>
      <c r="M1804" t="n">
        <v>0.134</v>
      </c>
    </row>
    <row r="1805" spans="1:13">
      <c r="A1805" s="1">
        <f>HYPERLINK("http://www.twitter.com/NathanBLawrence/status/985548777107976192", "985548777107976192")</f>
        <v/>
      </c>
      <c r="B1805" s="2" t="n">
        <v>43205.66797453703</v>
      </c>
      <c r="C1805" t="n">
        <v>1</v>
      </c>
      <c r="D1805" t="n">
        <v>0</v>
      </c>
      <c r="E1805" t="s">
        <v>1816</v>
      </c>
      <c r="F1805" t="s"/>
      <c r="G1805" t="s"/>
      <c r="H1805" t="s"/>
      <c r="I1805" t="s"/>
      <c r="J1805" t="n">
        <v>-0.9137</v>
      </c>
      <c r="K1805" t="n">
        <v>0.321</v>
      </c>
      <c r="L1805" t="n">
        <v>0.679</v>
      </c>
      <c r="M1805" t="n">
        <v>0</v>
      </c>
    </row>
    <row r="1806" spans="1:13">
      <c r="A1806" s="1">
        <f>HYPERLINK("http://www.twitter.com/NathanBLawrence/status/985547038266937345", "985547038266937345")</f>
        <v/>
      </c>
      <c r="B1806" s="2" t="n">
        <v>43205.66318287037</v>
      </c>
      <c r="C1806" t="n">
        <v>5</v>
      </c>
      <c r="D1806" t="n">
        <v>4</v>
      </c>
      <c r="E1806" t="s">
        <v>1817</v>
      </c>
      <c r="F1806" t="s"/>
      <c r="G1806" t="s"/>
      <c r="H1806" t="s"/>
      <c r="I1806" t="s"/>
      <c r="J1806" t="n">
        <v>0</v>
      </c>
      <c r="K1806" t="n">
        <v>0</v>
      </c>
      <c r="L1806" t="n">
        <v>1</v>
      </c>
      <c r="M1806" t="n">
        <v>0</v>
      </c>
    </row>
    <row r="1807" spans="1:13">
      <c r="A1807" s="1">
        <f>HYPERLINK("http://www.twitter.com/NathanBLawrence/status/985545254395932672", "985545254395932672")</f>
        <v/>
      </c>
      <c r="B1807" s="2" t="n">
        <v>43205.65825231482</v>
      </c>
      <c r="C1807" t="n">
        <v>1</v>
      </c>
      <c r="D1807" t="n">
        <v>0</v>
      </c>
      <c r="E1807" t="s">
        <v>1818</v>
      </c>
      <c r="F1807" t="s"/>
      <c r="G1807" t="s"/>
      <c r="H1807" t="s"/>
      <c r="I1807" t="s"/>
      <c r="J1807" t="n">
        <v>-0.2003</v>
      </c>
      <c r="K1807" t="n">
        <v>0.075</v>
      </c>
      <c r="L1807" t="n">
        <v>0.925</v>
      </c>
      <c r="M1807" t="n">
        <v>0</v>
      </c>
    </row>
    <row r="1808" spans="1:13">
      <c r="A1808" s="1">
        <f>HYPERLINK("http://www.twitter.com/NathanBLawrence/status/985543896359895047", "985543896359895047")</f>
        <v/>
      </c>
      <c r="B1808" s="2" t="n">
        <v>43205.65451388889</v>
      </c>
      <c r="C1808" t="n">
        <v>1</v>
      </c>
      <c r="D1808" t="n">
        <v>0</v>
      </c>
      <c r="E1808" t="s">
        <v>1819</v>
      </c>
      <c r="F1808" t="s"/>
      <c r="G1808" t="s"/>
      <c r="H1808" t="s"/>
      <c r="I1808" t="s"/>
      <c r="J1808" t="n">
        <v>0.0772</v>
      </c>
      <c r="K1808" t="n">
        <v>0.15</v>
      </c>
      <c r="L1808" t="n">
        <v>0.68</v>
      </c>
      <c r="M1808" t="n">
        <v>0.17</v>
      </c>
    </row>
    <row r="1809" spans="1:13">
      <c r="A1809" s="1">
        <f>HYPERLINK("http://www.twitter.com/NathanBLawrence/status/985540307419848705", "985540307419848705")</f>
        <v/>
      </c>
      <c r="B1809" s="2" t="n">
        <v>43205.64460648148</v>
      </c>
      <c r="C1809" t="n">
        <v>2</v>
      </c>
      <c r="D1809" t="n">
        <v>0</v>
      </c>
      <c r="E1809" t="s">
        <v>1820</v>
      </c>
      <c r="F1809" t="s"/>
      <c r="G1809" t="s"/>
      <c r="H1809" t="s"/>
      <c r="I1809" t="s"/>
      <c r="J1809" t="n">
        <v>-0.7563</v>
      </c>
      <c r="K1809" t="n">
        <v>0.846</v>
      </c>
      <c r="L1809" t="n">
        <v>0.154</v>
      </c>
      <c r="M1809" t="n">
        <v>0</v>
      </c>
    </row>
    <row r="1810" spans="1:13">
      <c r="A1810" s="1">
        <f>HYPERLINK("http://www.twitter.com/NathanBLawrence/status/985540110157414403", "985540110157414403")</f>
        <v/>
      </c>
      <c r="B1810" s="2" t="n">
        <v>43205.6440625</v>
      </c>
      <c r="C1810" t="n">
        <v>0</v>
      </c>
      <c r="D1810" t="n">
        <v>0</v>
      </c>
      <c r="E1810" t="s">
        <v>1821</v>
      </c>
      <c r="F1810" t="s"/>
      <c r="G1810" t="s"/>
      <c r="H1810" t="s"/>
      <c r="I1810" t="s"/>
      <c r="J1810" t="n">
        <v>-0.6166</v>
      </c>
      <c r="K1810" t="n">
        <v>0.13</v>
      </c>
      <c r="L1810" t="n">
        <v>0.87</v>
      </c>
      <c r="M1810" t="n">
        <v>0</v>
      </c>
    </row>
    <row r="1811" spans="1:13">
      <c r="A1811" s="1">
        <f>HYPERLINK("http://www.twitter.com/NathanBLawrence/status/985517297724018689", "985517297724018689")</f>
        <v/>
      </c>
      <c r="B1811" s="2" t="n">
        <v>43205.58111111111</v>
      </c>
      <c r="C1811" t="n">
        <v>1</v>
      </c>
      <c r="D1811" t="n">
        <v>0</v>
      </c>
      <c r="E1811" t="s">
        <v>1822</v>
      </c>
      <c r="F1811" t="s"/>
      <c r="G1811" t="s"/>
      <c r="H1811" t="s"/>
      <c r="I1811" t="s"/>
      <c r="J1811" t="n">
        <v>-0.5423</v>
      </c>
      <c r="K1811" t="n">
        <v>0.304</v>
      </c>
      <c r="L1811" t="n">
        <v>0.696</v>
      </c>
      <c r="M1811" t="n">
        <v>0</v>
      </c>
    </row>
    <row r="1812" spans="1:13">
      <c r="A1812" s="1">
        <f>HYPERLINK("http://www.twitter.com/NathanBLawrence/status/985515714714001410", "985515714714001410")</f>
        <v/>
      </c>
      <c r="B1812" s="2" t="n">
        <v>43205.57674768518</v>
      </c>
      <c r="C1812" t="n">
        <v>2</v>
      </c>
      <c r="D1812" t="n">
        <v>0</v>
      </c>
      <c r="E1812" t="s">
        <v>1823</v>
      </c>
      <c r="F1812" t="s"/>
      <c r="G1812" t="s"/>
      <c r="H1812" t="s"/>
      <c r="I1812" t="s"/>
      <c r="J1812" t="n">
        <v>-0.3182</v>
      </c>
      <c r="K1812" t="n">
        <v>0.091</v>
      </c>
      <c r="L1812" t="n">
        <v>0.909</v>
      </c>
      <c r="M1812" t="n">
        <v>0</v>
      </c>
    </row>
    <row r="1813" spans="1:13">
      <c r="A1813" s="1">
        <f>HYPERLINK("http://www.twitter.com/NathanBLawrence/status/985513693336219648", "985513693336219648")</f>
        <v/>
      </c>
      <c r="B1813" s="2" t="n">
        <v>43205.57116898148</v>
      </c>
      <c r="C1813" t="n">
        <v>2</v>
      </c>
      <c r="D1813" t="n">
        <v>0</v>
      </c>
      <c r="E1813" t="s">
        <v>1824</v>
      </c>
      <c r="F1813" t="s"/>
      <c r="G1813" t="s"/>
      <c r="H1813" t="s"/>
      <c r="I1813" t="s"/>
      <c r="J1813" t="n">
        <v>0.7184</v>
      </c>
      <c r="K1813" t="n">
        <v>0</v>
      </c>
      <c r="L1813" t="n">
        <v>0.455</v>
      </c>
      <c r="M1813" t="n">
        <v>0.545</v>
      </c>
    </row>
    <row r="1814" spans="1:13">
      <c r="A1814" s="1">
        <f>HYPERLINK("http://www.twitter.com/NathanBLawrence/status/985381571099353088", "985381571099353088")</f>
        <v/>
      </c>
      <c r="B1814" s="2" t="n">
        <v>43205.20657407407</v>
      </c>
      <c r="C1814" t="n">
        <v>1</v>
      </c>
      <c r="D1814" t="n">
        <v>0</v>
      </c>
      <c r="E1814" t="s">
        <v>1825</v>
      </c>
      <c r="F1814">
        <f>HYPERLINK("http://pbs.twimg.com/media/DazHUIMV4AEO_SX.jpg", "http://pbs.twimg.com/media/DazHUIMV4AEO_SX.jpg")</f>
        <v/>
      </c>
      <c r="G1814" t="s"/>
      <c r="H1814" t="s"/>
      <c r="I1814" t="s"/>
      <c r="J1814" t="n">
        <v>0</v>
      </c>
      <c r="K1814" t="n">
        <v>0</v>
      </c>
      <c r="L1814" t="n">
        <v>1</v>
      </c>
      <c r="M1814" t="n">
        <v>0</v>
      </c>
    </row>
    <row r="1815" spans="1:13">
      <c r="A1815" s="1">
        <f>HYPERLINK("http://www.twitter.com/NathanBLawrence/status/985371666229407744", "985371666229407744")</f>
        <v/>
      </c>
      <c r="B1815" s="2" t="n">
        <v>43205.17924768518</v>
      </c>
      <c r="C1815" t="n">
        <v>2</v>
      </c>
      <c r="D1815" t="n">
        <v>1</v>
      </c>
      <c r="E1815" t="s">
        <v>1826</v>
      </c>
      <c r="F1815" t="s"/>
      <c r="G1815" t="s"/>
      <c r="H1815" t="s"/>
      <c r="I1815" t="s"/>
      <c r="J1815" t="n">
        <v>-0.5106000000000001</v>
      </c>
      <c r="K1815" t="n">
        <v>0.268</v>
      </c>
      <c r="L1815" t="n">
        <v>0.732</v>
      </c>
      <c r="M1815" t="n">
        <v>0</v>
      </c>
    </row>
    <row r="1816" spans="1:13">
      <c r="A1816" s="1">
        <f>HYPERLINK("http://www.twitter.com/NathanBLawrence/status/985368540797636610", "985368540797636610")</f>
        <v/>
      </c>
      <c r="B1816" s="2" t="n">
        <v>43205.170625</v>
      </c>
      <c r="C1816" t="n">
        <v>4</v>
      </c>
      <c r="D1816" t="n">
        <v>3</v>
      </c>
      <c r="E1816" t="s">
        <v>1827</v>
      </c>
      <c r="F1816" t="s"/>
      <c r="G1816" t="s"/>
      <c r="H1816" t="s"/>
      <c r="I1816" t="s"/>
      <c r="J1816" t="n">
        <v>-0.0857</v>
      </c>
      <c r="K1816" t="n">
        <v>0.083</v>
      </c>
      <c r="L1816" t="n">
        <v>0.82</v>
      </c>
      <c r="M1816" t="n">
        <v>0.097</v>
      </c>
    </row>
    <row r="1817" spans="1:13">
      <c r="A1817" s="1">
        <f>HYPERLINK("http://www.twitter.com/NathanBLawrence/status/985367202646974464", "985367202646974464")</f>
        <v/>
      </c>
      <c r="B1817" s="2" t="n">
        <v>43205.16693287037</v>
      </c>
      <c r="C1817" t="n">
        <v>1</v>
      </c>
      <c r="D1817" t="n">
        <v>0</v>
      </c>
      <c r="E1817" t="s">
        <v>1828</v>
      </c>
      <c r="F1817" t="s"/>
      <c r="G1817" t="s"/>
      <c r="H1817" t="s"/>
      <c r="I1817" t="s"/>
      <c r="J1817" t="n">
        <v>0</v>
      </c>
      <c r="K1817" t="n">
        <v>0</v>
      </c>
      <c r="L1817" t="n">
        <v>1</v>
      </c>
      <c r="M1817" t="n">
        <v>0</v>
      </c>
    </row>
    <row r="1818" spans="1:13">
      <c r="A1818" s="1">
        <f>HYPERLINK("http://www.twitter.com/NathanBLawrence/status/985366162514042880", "985366162514042880")</f>
        <v/>
      </c>
      <c r="B1818" s="2" t="n">
        <v>43205.1640625</v>
      </c>
      <c r="C1818" t="n">
        <v>0</v>
      </c>
      <c r="D1818" t="n">
        <v>2689</v>
      </c>
      <c r="E1818" t="s">
        <v>1829</v>
      </c>
      <c r="F1818" t="s"/>
      <c r="G1818" t="s"/>
      <c r="H1818" t="s"/>
      <c r="I1818" t="s"/>
      <c r="J1818" t="n">
        <v>0</v>
      </c>
      <c r="K1818" t="n">
        <v>0</v>
      </c>
      <c r="L1818" t="n">
        <v>1</v>
      </c>
      <c r="M1818" t="n">
        <v>0</v>
      </c>
    </row>
    <row r="1819" spans="1:13">
      <c r="A1819" s="1">
        <f>HYPERLINK("http://www.twitter.com/NathanBLawrence/status/985365199262797825", "985365199262797825")</f>
        <v/>
      </c>
      <c r="B1819" s="2" t="n">
        <v>43205.16140046297</v>
      </c>
      <c r="C1819" t="n">
        <v>2</v>
      </c>
      <c r="D1819" t="n">
        <v>1</v>
      </c>
      <c r="E1819" t="s">
        <v>1830</v>
      </c>
      <c r="F1819" t="s"/>
      <c r="G1819" t="s"/>
      <c r="H1819" t="s"/>
      <c r="I1819" t="s"/>
      <c r="J1819" t="n">
        <v>-0.1655</v>
      </c>
      <c r="K1819" t="n">
        <v>0.054</v>
      </c>
      <c r="L1819" t="n">
        <v>0.946</v>
      </c>
      <c r="M1819" t="n">
        <v>0</v>
      </c>
    </row>
    <row r="1820" spans="1:13">
      <c r="A1820" s="1">
        <f>HYPERLINK("http://www.twitter.com/NathanBLawrence/status/985363865356636160", "985363865356636160")</f>
        <v/>
      </c>
      <c r="B1820" s="2" t="n">
        <v>43205.15771990741</v>
      </c>
      <c r="C1820" t="n">
        <v>0</v>
      </c>
      <c r="D1820" t="n">
        <v>0</v>
      </c>
      <c r="E1820" t="s">
        <v>1831</v>
      </c>
      <c r="F1820" t="s"/>
      <c r="G1820" t="s"/>
      <c r="H1820" t="s"/>
      <c r="I1820" t="s"/>
      <c r="J1820" t="n">
        <v>0</v>
      </c>
      <c r="K1820" t="n">
        <v>0</v>
      </c>
      <c r="L1820" t="n">
        <v>1</v>
      </c>
      <c r="M1820" t="n">
        <v>0</v>
      </c>
    </row>
    <row r="1821" spans="1:13">
      <c r="A1821" s="1">
        <f>HYPERLINK("http://www.twitter.com/NathanBLawrence/status/985354613929979904", "985354613929979904")</f>
        <v/>
      </c>
      <c r="B1821" s="2" t="n">
        <v>43205.1321875</v>
      </c>
      <c r="C1821" t="n">
        <v>0</v>
      </c>
      <c r="D1821" t="n">
        <v>2</v>
      </c>
      <c r="E1821" t="s">
        <v>1832</v>
      </c>
      <c r="F1821" t="s"/>
      <c r="G1821" t="s"/>
      <c r="H1821" t="s"/>
      <c r="I1821" t="s"/>
      <c r="J1821" t="n">
        <v>-0.2584</v>
      </c>
      <c r="K1821" t="n">
        <v>0.135</v>
      </c>
      <c r="L1821" t="n">
        <v>0.865</v>
      </c>
      <c r="M1821" t="n">
        <v>0</v>
      </c>
    </row>
    <row r="1822" spans="1:13">
      <c r="A1822" s="1">
        <f>HYPERLINK("http://www.twitter.com/NathanBLawrence/status/985285674394898434", "985285674394898434")</f>
        <v/>
      </c>
      <c r="B1822" s="2" t="n">
        <v>43204.94195601852</v>
      </c>
      <c r="C1822" t="n">
        <v>1</v>
      </c>
      <c r="D1822" t="n">
        <v>0</v>
      </c>
      <c r="E1822" t="s">
        <v>1833</v>
      </c>
      <c r="F1822" t="s"/>
      <c r="G1822" t="s"/>
      <c r="H1822" t="s"/>
      <c r="I1822" t="s"/>
      <c r="J1822" t="n">
        <v>-0.7131</v>
      </c>
      <c r="K1822" t="n">
        <v>0.243</v>
      </c>
      <c r="L1822" t="n">
        <v>0.6820000000000001</v>
      </c>
      <c r="M1822" t="n">
        <v>0.075</v>
      </c>
    </row>
    <row r="1823" spans="1:13">
      <c r="A1823" s="1">
        <f>HYPERLINK("http://www.twitter.com/NathanBLawrence/status/985284962545995783", "985284962545995783")</f>
        <v/>
      </c>
      <c r="B1823" s="2" t="n">
        <v>43204.93998842593</v>
      </c>
      <c r="C1823" t="n">
        <v>5</v>
      </c>
      <c r="D1823" t="n">
        <v>1</v>
      </c>
      <c r="E1823" t="s">
        <v>1834</v>
      </c>
      <c r="F1823" t="s"/>
      <c r="G1823" t="s"/>
      <c r="H1823" t="s"/>
      <c r="I1823" t="s"/>
      <c r="J1823" t="n">
        <v>0</v>
      </c>
      <c r="K1823" t="n">
        <v>0</v>
      </c>
      <c r="L1823" t="n">
        <v>1</v>
      </c>
      <c r="M1823" t="n">
        <v>0</v>
      </c>
    </row>
    <row r="1824" spans="1:13">
      <c r="A1824" s="1">
        <f>HYPERLINK("http://www.twitter.com/NathanBLawrence/status/985283856369676288", "985283856369676288")</f>
        <v/>
      </c>
      <c r="B1824" s="2" t="n">
        <v>43204.93693287037</v>
      </c>
      <c r="C1824" t="n">
        <v>4</v>
      </c>
      <c r="D1824" t="n">
        <v>4</v>
      </c>
      <c r="E1824" t="s">
        <v>1835</v>
      </c>
      <c r="F1824" t="s"/>
      <c r="G1824" t="s"/>
      <c r="H1824" t="s"/>
      <c r="I1824" t="s"/>
      <c r="J1824" t="n">
        <v>0</v>
      </c>
      <c r="K1824" t="n">
        <v>0</v>
      </c>
      <c r="L1824" t="n">
        <v>1</v>
      </c>
      <c r="M1824" t="n">
        <v>0</v>
      </c>
    </row>
    <row r="1825" spans="1:13">
      <c r="A1825" s="1">
        <f>HYPERLINK("http://www.twitter.com/NathanBLawrence/status/985282641426513920", "985282641426513920")</f>
        <v/>
      </c>
      <c r="B1825" s="2" t="n">
        <v>43204.93358796297</v>
      </c>
      <c r="C1825" t="n">
        <v>7</v>
      </c>
      <c r="D1825" t="n">
        <v>6</v>
      </c>
      <c r="E1825" t="s">
        <v>1836</v>
      </c>
      <c r="F1825" t="s"/>
      <c r="G1825" t="s"/>
      <c r="H1825" t="s"/>
      <c r="I1825" t="s"/>
      <c r="J1825" t="n">
        <v>0.7644</v>
      </c>
      <c r="K1825" t="n">
        <v>0</v>
      </c>
      <c r="L1825" t="n">
        <v>0.777</v>
      </c>
      <c r="M1825" t="n">
        <v>0.223</v>
      </c>
    </row>
    <row r="1826" spans="1:13">
      <c r="A1826" s="1">
        <f>HYPERLINK("http://www.twitter.com/NathanBLawrence/status/985281897902125056", "985281897902125056")</f>
        <v/>
      </c>
      <c r="B1826" s="2" t="n">
        <v>43204.93152777778</v>
      </c>
      <c r="C1826" t="n">
        <v>1</v>
      </c>
      <c r="D1826" t="n">
        <v>0</v>
      </c>
      <c r="E1826" t="s">
        <v>1837</v>
      </c>
      <c r="F1826" t="s"/>
      <c r="G1826" t="s"/>
      <c r="H1826" t="s"/>
      <c r="I1826" t="s"/>
      <c r="J1826" t="n">
        <v>0.5747</v>
      </c>
      <c r="K1826" t="n">
        <v>0.18</v>
      </c>
      <c r="L1826" t="n">
        <v>0.513</v>
      </c>
      <c r="M1826" t="n">
        <v>0.307</v>
      </c>
    </row>
    <row r="1827" spans="1:13">
      <c r="A1827" s="1">
        <f>HYPERLINK("http://www.twitter.com/NathanBLawrence/status/985280981354668033", "985280981354668033")</f>
        <v/>
      </c>
      <c r="B1827" s="2" t="n">
        <v>43204.92900462963</v>
      </c>
      <c r="C1827" t="n">
        <v>2</v>
      </c>
      <c r="D1827" t="n">
        <v>0</v>
      </c>
      <c r="E1827" t="s">
        <v>1838</v>
      </c>
      <c r="F1827" t="s"/>
      <c r="G1827" t="s"/>
      <c r="H1827" t="s"/>
      <c r="I1827" t="s"/>
      <c r="J1827" t="n">
        <v>0.7269</v>
      </c>
      <c r="K1827" t="n">
        <v>0</v>
      </c>
      <c r="L1827" t="n">
        <v>0.738</v>
      </c>
      <c r="M1827" t="n">
        <v>0.262</v>
      </c>
    </row>
    <row r="1828" spans="1:13">
      <c r="A1828" s="1">
        <f>HYPERLINK("http://www.twitter.com/NathanBLawrence/status/985280003393847296", "985280003393847296")</f>
        <v/>
      </c>
      <c r="B1828" s="2" t="n">
        <v>43204.92630787037</v>
      </c>
      <c r="C1828" t="n">
        <v>1</v>
      </c>
      <c r="D1828" t="n">
        <v>0</v>
      </c>
      <c r="E1828" t="s">
        <v>1839</v>
      </c>
      <c r="F1828" t="s"/>
      <c r="G1828" t="s"/>
      <c r="H1828" t="s"/>
      <c r="I1828" t="s"/>
      <c r="J1828" t="n">
        <v>0</v>
      </c>
      <c r="K1828" t="n">
        <v>0</v>
      </c>
      <c r="L1828" t="n">
        <v>1</v>
      </c>
      <c r="M1828" t="n">
        <v>0</v>
      </c>
    </row>
    <row r="1829" spans="1:13">
      <c r="A1829" s="1">
        <f>HYPERLINK("http://www.twitter.com/NathanBLawrence/status/985278529448407041", "985278529448407041")</f>
        <v/>
      </c>
      <c r="B1829" s="2" t="n">
        <v>43204.92223379629</v>
      </c>
      <c r="C1829" t="n">
        <v>1</v>
      </c>
      <c r="D1829" t="n">
        <v>0</v>
      </c>
      <c r="E1829" t="s">
        <v>1840</v>
      </c>
      <c r="F1829" t="s"/>
      <c r="G1829" t="s"/>
      <c r="H1829" t="s"/>
      <c r="I1829" t="s"/>
      <c r="J1829" t="n">
        <v>-0.3182</v>
      </c>
      <c r="K1829" t="n">
        <v>0.189</v>
      </c>
      <c r="L1829" t="n">
        <v>0.658</v>
      </c>
      <c r="M1829" t="n">
        <v>0.153</v>
      </c>
    </row>
    <row r="1830" spans="1:13">
      <c r="A1830" s="1">
        <f>HYPERLINK("http://www.twitter.com/NathanBLawrence/status/985277682404511744", "985277682404511744")</f>
        <v/>
      </c>
      <c r="B1830" s="2" t="n">
        <v>43204.91989583334</v>
      </c>
      <c r="C1830" t="n">
        <v>1</v>
      </c>
      <c r="D1830" t="n">
        <v>0</v>
      </c>
      <c r="E1830" t="s">
        <v>1841</v>
      </c>
      <c r="F1830" t="s"/>
      <c r="G1830" t="s"/>
      <c r="H1830" t="s"/>
      <c r="I1830" t="s"/>
      <c r="J1830" t="n">
        <v>0.7712</v>
      </c>
      <c r="K1830" t="n">
        <v>0</v>
      </c>
      <c r="L1830" t="n">
        <v>0.642</v>
      </c>
      <c r="M1830" t="n">
        <v>0.358</v>
      </c>
    </row>
    <row r="1831" spans="1:13">
      <c r="A1831" s="1">
        <f>HYPERLINK("http://www.twitter.com/NathanBLawrence/status/985276575569629184", "985276575569629184")</f>
        <v/>
      </c>
      <c r="B1831" s="2" t="n">
        <v>43204.91684027778</v>
      </c>
      <c r="C1831" t="n">
        <v>2</v>
      </c>
      <c r="D1831" t="n">
        <v>1</v>
      </c>
      <c r="E1831" t="s">
        <v>1842</v>
      </c>
      <c r="F1831" t="s"/>
      <c r="G1831" t="s"/>
      <c r="H1831" t="s"/>
      <c r="I1831" t="s"/>
      <c r="J1831" t="n">
        <v>0</v>
      </c>
      <c r="K1831" t="n">
        <v>0</v>
      </c>
      <c r="L1831" t="n">
        <v>1</v>
      </c>
      <c r="M1831" t="n">
        <v>0</v>
      </c>
    </row>
    <row r="1832" spans="1:13">
      <c r="A1832" s="1">
        <f>HYPERLINK("http://www.twitter.com/NathanBLawrence/status/985273208227160064", "985273208227160064")</f>
        <v/>
      </c>
      <c r="B1832" s="2" t="n">
        <v>43204.90754629629</v>
      </c>
      <c r="C1832" t="n">
        <v>0</v>
      </c>
      <c r="D1832" t="n">
        <v>0</v>
      </c>
      <c r="E1832" t="s">
        <v>1843</v>
      </c>
      <c r="F1832" t="s"/>
      <c r="G1832" t="s"/>
      <c r="H1832" t="s"/>
      <c r="I1832" t="s"/>
      <c r="J1832" t="n">
        <v>-0.6908</v>
      </c>
      <c r="K1832" t="n">
        <v>0.17</v>
      </c>
      <c r="L1832" t="n">
        <v>0.83</v>
      </c>
      <c r="M1832" t="n">
        <v>0</v>
      </c>
    </row>
    <row r="1833" spans="1:13">
      <c r="A1833" s="1">
        <f>HYPERLINK("http://www.twitter.com/NathanBLawrence/status/985272690536845319", "985272690536845319")</f>
        <v/>
      </c>
      <c r="B1833" s="2" t="n">
        <v>43204.90612268518</v>
      </c>
      <c r="C1833" t="n">
        <v>0</v>
      </c>
      <c r="D1833" t="n">
        <v>0</v>
      </c>
      <c r="E1833" t="s">
        <v>1844</v>
      </c>
      <c r="F1833" t="s"/>
      <c r="G1833" t="s"/>
      <c r="H1833" t="s"/>
      <c r="I1833" t="s"/>
      <c r="J1833" t="n">
        <v>0</v>
      </c>
      <c r="K1833" t="n">
        <v>0</v>
      </c>
      <c r="L1833" t="n">
        <v>1</v>
      </c>
      <c r="M1833" t="n">
        <v>0</v>
      </c>
    </row>
    <row r="1834" spans="1:13">
      <c r="A1834" s="1">
        <f>HYPERLINK("http://www.twitter.com/NathanBLawrence/status/985270615463682051", "985270615463682051")</f>
        <v/>
      </c>
      <c r="B1834" s="2" t="n">
        <v>43204.90039351852</v>
      </c>
      <c r="C1834" t="n">
        <v>4</v>
      </c>
      <c r="D1834" t="n">
        <v>1</v>
      </c>
      <c r="E1834" t="s">
        <v>1845</v>
      </c>
      <c r="F1834" t="s"/>
      <c r="G1834" t="s"/>
      <c r="H1834" t="s"/>
      <c r="I1834" t="s"/>
      <c r="J1834" t="n">
        <v>0</v>
      </c>
      <c r="K1834" t="n">
        <v>0</v>
      </c>
      <c r="L1834" t="n">
        <v>1</v>
      </c>
      <c r="M1834" t="n">
        <v>0</v>
      </c>
    </row>
    <row r="1835" spans="1:13">
      <c r="A1835" s="1">
        <f>HYPERLINK("http://www.twitter.com/NathanBLawrence/status/985270461687910406", "985270461687910406")</f>
        <v/>
      </c>
      <c r="B1835" s="2" t="n">
        <v>43204.89997685186</v>
      </c>
      <c r="C1835" t="n">
        <v>2</v>
      </c>
      <c r="D1835" t="n">
        <v>0</v>
      </c>
      <c r="E1835" t="s">
        <v>1846</v>
      </c>
      <c r="F1835" t="s"/>
      <c r="G1835" t="s"/>
      <c r="H1835" t="s"/>
      <c r="I1835" t="s"/>
      <c r="J1835" t="n">
        <v>0.5266999999999999</v>
      </c>
      <c r="K1835" t="n">
        <v>0</v>
      </c>
      <c r="L1835" t="n">
        <v>0.828</v>
      </c>
      <c r="M1835" t="n">
        <v>0.172</v>
      </c>
    </row>
    <row r="1836" spans="1:13">
      <c r="A1836" s="1">
        <f>HYPERLINK("http://www.twitter.com/NathanBLawrence/status/985268754736189441", "985268754736189441")</f>
        <v/>
      </c>
      <c r="B1836" s="2" t="n">
        <v>43204.8952662037</v>
      </c>
      <c r="C1836" t="n">
        <v>5</v>
      </c>
      <c r="D1836" t="n">
        <v>1</v>
      </c>
      <c r="E1836" t="s">
        <v>1847</v>
      </c>
      <c r="F1836" t="s"/>
      <c r="G1836" t="s"/>
      <c r="H1836" t="s"/>
      <c r="I1836" t="s"/>
      <c r="J1836" t="n">
        <v>0</v>
      </c>
      <c r="K1836" t="n">
        <v>0</v>
      </c>
      <c r="L1836" t="n">
        <v>1</v>
      </c>
      <c r="M1836" t="n">
        <v>0</v>
      </c>
    </row>
    <row r="1837" spans="1:13">
      <c r="A1837" s="1">
        <f>HYPERLINK("http://www.twitter.com/NathanBLawrence/status/985268107517317122", "985268107517317122")</f>
        <v/>
      </c>
      <c r="B1837" s="2" t="n">
        <v>43204.89347222223</v>
      </c>
      <c r="C1837" t="n">
        <v>2</v>
      </c>
      <c r="D1837" t="n">
        <v>1</v>
      </c>
      <c r="E1837" t="s">
        <v>1848</v>
      </c>
      <c r="F1837" t="s"/>
      <c r="G1837" t="s"/>
      <c r="H1837" t="s"/>
      <c r="I1837" t="s"/>
      <c r="J1837" t="n">
        <v>0</v>
      </c>
      <c r="K1837" t="n">
        <v>0</v>
      </c>
      <c r="L1837" t="n">
        <v>1</v>
      </c>
      <c r="M1837" t="n">
        <v>0</v>
      </c>
    </row>
    <row r="1838" spans="1:13">
      <c r="A1838" s="1">
        <f>HYPERLINK("http://www.twitter.com/NathanBLawrence/status/985267911194537989", "985267911194537989")</f>
        <v/>
      </c>
      <c r="B1838" s="2" t="n">
        <v>43204.89293981482</v>
      </c>
      <c r="C1838" t="n">
        <v>2</v>
      </c>
      <c r="D1838" t="n">
        <v>1</v>
      </c>
      <c r="E1838" t="s">
        <v>1849</v>
      </c>
      <c r="F1838" t="s"/>
      <c r="G1838" t="s"/>
      <c r="H1838" t="s"/>
      <c r="I1838" t="s"/>
      <c r="J1838" t="n">
        <v>0</v>
      </c>
      <c r="K1838" t="n">
        <v>0</v>
      </c>
      <c r="L1838" t="n">
        <v>1</v>
      </c>
      <c r="M1838" t="n">
        <v>0</v>
      </c>
    </row>
    <row r="1839" spans="1:13">
      <c r="A1839" s="1">
        <f>HYPERLINK("http://www.twitter.com/NathanBLawrence/status/985267514753110017", "985267514753110017")</f>
        <v/>
      </c>
      <c r="B1839" s="2" t="n">
        <v>43204.89184027778</v>
      </c>
      <c r="C1839" t="n">
        <v>4</v>
      </c>
      <c r="D1839" t="n">
        <v>1</v>
      </c>
      <c r="E1839" t="s">
        <v>1850</v>
      </c>
      <c r="F1839" t="s"/>
      <c r="G1839" t="s"/>
      <c r="H1839" t="s"/>
      <c r="I1839" t="s"/>
      <c r="J1839" t="n">
        <v>0</v>
      </c>
      <c r="K1839" t="n">
        <v>0</v>
      </c>
      <c r="L1839" t="n">
        <v>1</v>
      </c>
      <c r="M1839" t="n">
        <v>0</v>
      </c>
    </row>
    <row r="1840" spans="1:13">
      <c r="A1840" s="1">
        <f>HYPERLINK("http://www.twitter.com/NathanBLawrence/status/985266908801925121", "985266908801925121")</f>
        <v/>
      </c>
      <c r="B1840" s="2" t="n">
        <v>43204.89017361111</v>
      </c>
      <c r="C1840" t="n">
        <v>1</v>
      </c>
      <c r="D1840" t="n">
        <v>1</v>
      </c>
      <c r="E1840" t="s">
        <v>1851</v>
      </c>
      <c r="F1840">
        <f>HYPERLINK("http://pbs.twimg.com/media/DaxfBcPVMAAd9Ok.jpg", "http://pbs.twimg.com/media/DaxfBcPVMAAd9Ok.jpg")</f>
        <v/>
      </c>
      <c r="G1840" t="s"/>
      <c r="H1840" t="s"/>
      <c r="I1840" t="s"/>
      <c r="J1840" t="n">
        <v>0</v>
      </c>
      <c r="K1840" t="n">
        <v>0</v>
      </c>
      <c r="L1840" t="n">
        <v>1</v>
      </c>
      <c r="M1840" t="n">
        <v>0</v>
      </c>
    </row>
    <row r="1841" spans="1:13">
      <c r="A1841" s="1">
        <f>HYPERLINK("http://www.twitter.com/NathanBLawrence/status/985264046852268032", "985264046852268032")</f>
        <v/>
      </c>
      <c r="B1841" s="2" t="n">
        <v>43204.88226851852</v>
      </c>
      <c r="C1841" t="n">
        <v>2</v>
      </c>
      <c r="D1841" t="n">
        <v>1</v>
      </c>
      <c r="E1841" t="s">
        <v>1852</v>
      </c>
      <c r="F1841" t="s"/>
      <c r="G1841" t="s"/>
      <c r="H1841" t="s"/>
      <c r="I1841" t="s"/>
      <c r="J1841" t="n">
        <v>-0.4019</v>
      </c>
      <c r="K1841" t="n">
        <v>0.097</v>
      </c>
      <c r="L1841" t="n">
        <v>0.903</v>
      </c>
      <c r="M1841" t="n">
        <v>0</v>
      </c>
    </row>
    <row r="1842" spans="1:13">
      <c r="A1842" s="1">
        <f>HYPERLINK("http://www.twitter.com/NathanBLawrence/status/985261585852764160", "985261585852764160")</f>
        <v/>
      </c>
      <c r="B1842" s="2" t="n">
        <v>43204.87547453704</v>
      </c>
      <c r="C1842" t="n">
        <v>3</v>
      </c>
      <c r="D1842" t="n">
        <v>2</v>
      </c>
      <c r="E1842" t="s">
        <v>1853</v>
      </c>
      <c r="F1842" t="s"/>
      <c r="G1842" t="s"/>
      <c r="H1842" t="s"/>
      <c r="I1842" t="s"/>
      <c r="J1842" t="n">
        <v>-0.0516</v>
      </c>
      <c r="K1842" t="n">
        <v>0.031</v>
      </c>
      <c r="L1842" t="n">
        <v>0.9419999999999999</v>
      </c>
      <c r="M1842" t="n">
        <v>0.027</v>
      </c>
    </row>
    <row r="1843" spans="1:13">
      <c r="A1843" s="1">
        <f>HYPERLINK("http://www.twitter.com/NathanBLawrence/status/985260826499207169", "985260826499207169")</f>
        <v/>
      </c>
      <c r="B1843" s="2" t="n">
        <v>43204.87337962963</v>
      </c>
      <c r="C1843" t="n">
        <v>4</v>
      </c>
      <c r="D1843" t="n">
        <v>1</v>
      </c>
      <c r="E1843" t="s">
        <v>1854</v>
      </c>
      <c r="F1843" t="s"/>
      <c r="G1843" t="s"/>
      <c r="H1843" t="s"/>
      <c r="I1843" t="s"/>
      <c r="J1843" t="n">
        <v>0.8126</v>
      </c>
      <c r="K1843" t="n">
        <v>0</v>
      </c>
      <c r="L1843" t="n">
        <v>0.792</v>
      </c>
      <c r="M1843" t="n">
        <v>0.208</v>
      </c>
    </row>
    <row r="1844" spans="1:13">
      <c r="A1844" s="1">
        <f>HYPERLINK("http://www.twitter.com/NathanBLawrence/status/985259697996431363", "985259697996431363")</f>
        <v/>
      </c>
      <c r="B1844" s="2" t="n">
        <v>43204.8702662037</v>
      </c>
      <c r="C1844" t="n">
        <v>0</v>
      </c>
      <c r="D1844" t="n">
        <v>0</v>
      </c>
      <c r="E1844" t="s">
        <v>1855</v>
      </c>
      <c r="F1844" t="s"/>
      <c r="G1844" t="s"/>
      <c r="H1844" t="s"/>
      <c r="I1844" t="s"/>
      <c r="J1844" t="n">
        <v>0.8016</v>
      </c>
      <c r="K1844" t="n">
        <v>0</v>
      </c>
      <c r="L1844" t="n">
        <v>0.455</v>
      </c>
      <c r="M1844" t="n">
        <v>0.545</v>
      </c>
    </row>
    <row r="1845" spans="1:13">
      <c r="A1845" s="1">
        <f>HYPERLINK("http://www.twitter.com/NathanBLawrence/status/985259347293941760", "985259347293941760")</f>
        <v/>
      </c>
      <c r="B1845" s="2" t="n">
        <v>43204.86930555556</v>
      </c>
      <c r="C1845" t="n">
        <v>3</v>
      </c>
      <c r="D1845" t="n">
        <v>1</v>
      </c>
      <c r="E1845" t="s">
        <v>1856</v>
      </c>
      <c r="F1845" t="s"/>
      <c r="G1845" t="s"/>
      <c r="H1845" t="s"/>
      <c r="I1845" t="s"/>
      <c r="J1845" t="n">
        <v>0</v>
      </c>
      <c r="K1845" t="n">
        <v>0</v>
      </c>
      <c r="L1845" t="n">
        <v>1</v>
      </c>
      <c r="M1845" t="n">
        <v>0</v>
      </c>
    </row>
    <row r="1846" spans="1:13">
      <c r="A1846" s="1">
        <f>HYPERLINK("http://www.twitter.com/NathanBLawrence/status/985258511696310273", "985258511696310273")</f>
        <v/>
      </c>
      <c r="B1846" s="2" t="n">
        <v>43204.86700231482</v>
      </c>
      <c r="C1846" t="n">
        <v>1</v>
      </c>
      <c r="D1846" t="n">
        <v>0</v>
      </c>
      <c r="E1846" t="s">
        <v>1857</v>
      </c>
      <c r="F1846" t="s"/>
      <c r="G1846" t="s"/>
      <c r="H1846" t="s"/>
      <c r="I1846" t="s"/>
      <c r="J1846" t="n">
        <v>-0.2102</v>
      </c>
      <c r="K1846" t="n">
        <v>0.183</v>
      </c>
      <c r="L1846" t="n">
        <v>0.6860000000000001</v>
      </c>
      <c r="M1846" t="n">
        <v>0.131</v>
      </c>
    </row>
    <row r="1847" spans="1:13">
      <c r="A1847" s="1">
        <f>HYPERLINK("http://www.twitter.com/NathanBLawrence/status/985257395701141504", "985257395701141504")</f>
        <v/>
      </c>
      <c r="B1847" s="2" t="n">
        <v>43204.86391203704</v>
      </c>
      <c r="C1847" t="n">
        <v>0</v>
      </c>
      <c r="D1847" t="n">
        <v>812</v>
      </c>
      <c r="E1847" t="s">
        <v>1858</v>
      </c>
      <c r="F1847" t="s"/>
      <c r="G1847" t="s"/>
      <c r="H1847" t="s"/>
      <c r="I1847" t="s"/>
      <c r="J1847" t="n">
        <v>-0.7003</v>
      </c>
      <c r="K1847" t="n">
        <v>0.22</v>
      </c>
      <c r="L1847" t="n">
        <v>0.78</v>
      </c>
      <c r="M1847" t="n">
        <v>0</v>
      </c>
    </row>
    <row r="1848" spans="1:13">
      <c r="A1848" s="1">
        <f>HYPERLINK("http://www.twitter.com/NathanBLawrence/status/985257269280542721", "985257269280542721")</f>
        <v/>
      </c>
      <c r="B1848" s="2" t="n">
        <v>43204.86356481481</v>
      </c>
      <c r="C1848" t="n">
        <v>0</v>
      </c>
      <c r="D1848" t="n">
        <v>0</v>
      </c>
      <c r="E1848" t="s">
        <v>1859</v>
      </c>
      <c r="F1848" t="s"/>
      <c r="G1848" t="s"/>
      <c r="H1848" t="s"/>
      <c r="I1848" t="s"/>
      <c r="J1848" t="n">
        <v>0.6705</v>
      </c>
      <c r="K1848" t="n">
        <v>0.156</v>
      </c>
      <c r="L1848" t="n">
        <v>0.419</v>
      </c>
      <c r="M1848" t="n">
        <v>0.425</v>
      </c>
    </row>
    <row r="1849" spans="1:13">
      <c r="A1849" s="1">
        <f>HYPERLINK("http://www.twitter.com/NathanBLawrence/status/985256905789640704", "985256905789640704")</f>
        <v/>
      </c>
      <c r="B1849" s="2" t="n">
        <v>43204.86256944444</v>
      </c>
      <c r="C1849" t="n">
        <v>1</v>
      </c>
      <c r="D1849" t="n">
        <v>0</v>
      </c>
      <c r="E1849" t="s">
        <v>1860</v>
      </c>
      <c r="F1849" t="s"/>
      <c r="G1849" t="s"/>
      <c r="H1849" t="s"/>
      <c r="I1849" t="s"/>
      <c r="J1849" t="n">
        <v>0</v>
      </c>
      <c r="K1849" t="n">
        <v>0</v>
      </c>
      <c r="L1849" t="n">
        <v>1</v>
      </c>
      <c r="M1849" t="n">
        <v>0</v>
      </c>
    </row>
    <row r="1850" spans="1:13">
      <c r="A1850" s="1">
        <f>HYPERLINK("http://www.twitter.com/NathanBLawrence/status/985253620332494848", "985253620332494848")</f>
        <v/>
      </c>
      <c r="B1850" s="2" t="n">
        <v>43204.85349537037</v>
      </c>
      <c r="C1850" t="n">
        <v>3</v>
      </c>
      <c r="D1850" t="n">
        <v>1</v>
      </c>
      <c r="E1850" t="s">
        <v>1861</v>
      </c>
      <c r="F1850" t="s"/>
      <c r="G1850" t="s"/>
      <c r="H1850" t="s"/>
      <c r="I1850" t="s"/>
      <c r="J1850" t="n">
        <v>0.4939</v>
      </c>
      <c r="K1850" t="n">
        <v>0</v>
      </c>
      <c r="L1850" t="n">
        <v>0.87</v>
      </c>
      <c r="M1850" t="n">
        <v>0.13</v>
      </c>
    </row>
    <row r="1851" spans="1:13">
      <c r="A1851" s="1">
        <f>HYPERLINK("http://www.twitter.com/NathanBLawrence/status/985252986850107393", "985252986850107393")</f>
        <v/>
      </c>
      <c r="B1851" s="2" t="n">
        <v>43204.85174768518</v>
      </c>
      <c r="C1851" t="n">
        <v>3</v>
      </c>
      <c r="D1851" t="n">
        <v>0</v>
      </c>
      <c r="E1851" t="s">
        <v>1862</v>
      </c>
      <c r="F1851" t="s"/>
      <c r="G1851" t="s"/>
      <c r="H1851" t="s"/>
      <c r="I1851" t="s"/>
      <c r="J1851" t="n">
        <v>0.5859</v>
      </c>
      <c r="K1851" t="n">
        <v>0</v>
      </c>
      <c r="L1851" t="n">
        <v>0.826</v>
      </c>
      <c r="M1851" t="n">
        <v>0.174</v>
      </c>
    </row>
    <row r="1852" spans="1:13">
      <c r="A1852" s="1">
        <f>HYPERLINK("http://www.twitter.com/NathanBLawrence/status/985244482047266819", "985244482047266819")</f>
        <v/>
      </c>
      <c r="B1852" s="2" t="n">
        <v>43204.82828703704</v>
      </c>
      <c r="C1852" t="n">
        <v>0</v>
      </c>
      <c r="D1852" t="n">
        <v>0</v>
      </c>
      <c r="E1852" t="s">
        <v>1863</v>
      </c>
      <c r="F1852" t="s"/>
      <c r="G1852" t="s"/>
      <c r="H1852" t="s"/>
      <c r="I1852" t="s"/>
      <c r="J1852" t="n">
        <v>0</v>
      </c>
      <c r="K1852" t="n">
        <v>0</v>
      </c>
      <c r="L1852" t="n">
        <v>1</v>
      </c>
      <c r="M1852" t="n">
        <v>0</v>
      </c>
    </row>
    <row r="1853" spans="1:13">
      <c r="A1853" s="1">
        <f>HYPERLINK("http://www.twitter.com/NathanBLawrence/status/985242763510902784", "985242763510902784")</f>
        <v/>
      </c>
      <c r="B1853" s="2" t="n">
        <v>43204.82354166666</v>
      </c>
      <c r="C1853" t="n">
        <v>3</v>
      </c>
      <c r="D1853" t="n">
        <v>1</v>
      </c>
      <c r="E1853" t="s">
        <v>1864</v>
      </c>
      <c r="F1853" t="s"/>
      <c r="G1853" t="s"/>
      <c r="H1853" t="s"/>
      <c r="I1853" t="s"/>
      <c r="J1853" t="n">
        <v>0</v>
      </c>
      <c r="K1853" t="n">
        <v>0</v>
      </c>
      <c r="L1853" t="n">
        <v>1</v>
      </c>
      <c r="M1853" t="n">
        <v>0</v>
      </c>
    </row>
    <row r="1854" spans="1:13">
      <c r="A1854" s="1">
        <f>HYPERLINK("http://www.twitter.com/NathanBLawrence/status/985240401568305153", "985240401568305153")</f>
        <v/>
      </c>
      <c r="B1854" s="2" t="n">
        <v>43204.81702546297</v>
      </c>
      <c r="C1854" t="n">
        <v>2</v>
      </c>
      <c r="D1854" t="n">
        <v>2</v>
      </c>
      <c r="E1854" t="s">
        <v>1865</v>
      </c>
      <c r="F1854" t="s"/>
      <c r="G1854" t="s"/>
      <c r="H1854" t="s"/>
      <c r="I1854" t="s"/>
      <c r="J1854" t="n">
        <v>0</v>
      </c>
      <c r="K1854" t="n">
        <v>0</v>
      </c>
      <c r="L1854" t="n">
        <v>1</v>
      </c>
      <c r="M1854" t="n">
        <v>0</v>
      </c>
    </row>
    <row r="1855" spans="1:13">
      <c r="A1855" s="1">
        <f>HYPERLINK("http://www.twitter.com/NathanBLawrence/status/985239689803325447", "985239689803325447")</f>
        <v/>
      </c>
      <c r="B1855" s="2" t="n">
        <v>43204.81505787037</v>
      </c>
      <c r="C1855" t="n">
        <v>3</v>
      </c>
      <c r="D1855" t="n">
        <v>2</v>
      </c>
      <c r="E1855" t="s">
        <v>1866</v>
      </c>
      <c r="F1855" t="s"/>
      <c r="G1855" t="s"/>
      <c r="H1855" t="s"/>
      <c r="I1855" t="s"/>
      <c r="J1855" t="n">
        <v>0.3612</v>
      </c>
      <c r="K1855" t="n">
        <v>0</v>
      </c>
      <c r="L1855" t="n">
        <v>0.839</v>
      </c>
      <c r="M1855" t="n">
        <v>0.161</v>
      </c>
    </row>
    <row r="1856" spans="1:13">
      <c r="A1856" s="1">
        <f>HYPERLINK("http://www.twitter.com/NathanBLawrence/status/985239278803410946", "985239278803410946")</f>
        <v/>
      </c>
      <c r="B1856" s="2" t="n">
        <v>43204.81392361111</v>
      </c>
      <c r="C1856" t="n">
        <v>1</v>
      </c>
      <c r="D1856" t="n">
        <v>1</v>
      </c>
      <c r="E1856" t="s">
        <v>1867</v>
      </c>
      <c r="F1856" t="s"/>
      <c r="G1856" t="s"/>
      <c r="H1856" t="s"/>
      <c r="I1856" t="s"/>
      <c r="J1856" t="n">
        <v>-0.1531</v>
      </c>
      <c r="K1856" t="n">
        <v>0.138</v>
      </c>
      <c r="L1856" t="n">
        <v>0.862</v>
      </c>
      <c r="M1856" t="n">
        <v>0</v>
      </c>
    </row>
    <row r="1857" spans="1:13">
      <c r="A1857" s="1">
        <f>HYPERLINK("http://www.twitter.com/NathanBLawrence/status/985238351342112770", "985238351342112770")</f>
        <v/>
      </c>
      <c r="B1857" s="2" t="n">
        <v>43204.81136574074</v>
      </c>
      <c r="C1857" t="n">
        <v>1</v>
      </c>
      <c r="D1857" t="n">
        <v>1</v>
      </c>
      <c r="E1857" t="s">
        <v>1868</v>
      </c>
      <c r="F1857" t="s"/>
      <c r="G1857" t="s"/>
      <c r="H1857" t="s"/>
      <c r="I1857" t="s"/>
      <c r="J1857" t="n">
        <v>0</v>
      </c>
      <c r="K1857" t="n">
        <v>0</v>
      </c>
      <c r="L1857" t="n">
        <v>1</v>
      </c>
      <c r="M1857" t="n">
        <v>0</v>
      </c>
    </row>
    <row r="1858" spans="1:13">
      <c r="A1858" s="1">
        <f>HYPERLINK("http://www.twitter.com/NathanBLawrence/status/985236850439786496", "985236850439786496")</f>
        <v/>
      </c>
      <c r="B1858" s="2" t="n">
        <v>43204.80722222223</v>
      </c>
      <c r="C1858" t="n">
        <v>4</v>
      </c>
      <c r="D1858" t="n">
        <v>4</v>
      </c>
      <c r="E1858" t="s">
        <v>1869</v>
      </c>
      <c r="F1858" t="s"/>
      <c r="G1858" t="s"/>
      <c r="H1858" t="s"/>
      <c r="I1858" t="s"/>
      <c r="J1858" t="n">
        <v>0.128</v>
      </c>
      <c r="K1858" t="n">
        <v>0.066</v>
      </c>
      <c r="L1858" t="n">
        <v>0.845</v>
      </c>
      <c r="M1858" t="n">
        <v>0.089</v>
      </c>
    </row>
    <row r="1859" spans="1:13">
      <c r="A1859" s="1">
        <f>HYPERLINK("http://www.twitter.com/NathanBLawrence/status/985232017334898688", "985232017334898688")</f>
        <v/>
      </c>
      <c r="B1859" s="2" t="n">
        <v>43204.79388888889</v>
      </c>
      <c r="C1859" t="n">
        <v>0</v>
      </c>
      <c r="D1859" t="n">
        <v>0</v>
      </c>
      <c r="E1859" t="s">
        <v>1870</v>
      </c>
      <c r="F1859" t="s"/>
      <c r="G1859" t="s"/>
      <c r="H1859" t="s"/>
      <c r="I1859" t="s"/>
      <c r="J1859" t="n">
        <v>0</v>
      </c>
      <c r="K1859" t="n">
        <v>0</v>
      </c>
      <c r="L1859" t="n">
        <v>1</v>
      </c>
      <c r="M1859" t="n">
        <v>0</v>
      </c>
    </row>
    <row r="1860" spans="1:13">
      <c r="A1860" s="1">
        <f>HYPERLINK("http://www.twitter.com/NathanBLawrence/status/985226430165512193", "985226430165512193")</f>
        <v/>
      </c>
      <c r="B1860" s="2" t="n">
        <v>43204.77847222222</v>
      </c>
      <c r="C1860" t="n">
        <v>0</v>
      </c>
      <c r="D1860" t="n">
        <v>2</v>
      </c>
      <c r="E1860" t="s">
        <v>1871</v>
      </c>
      <c r="F1860">
        <f>HYPERLINK("http://pbs.twimg.com/media/Daw317bUQAAJWUI.jpg", "http://pbs.twimg.com/media/Daw317bUQAAJWUI.jpg")</f>
        <v/>
      </c>
      <c r="G1860" t="s"/>
      <c r="H1860" t="s"/>
      <c r="I1860" t="s"/>
      <c r="J1860" t="n">
        <v>0</v>
      </c>
      <c r="K1860" t="n">
        <v>0</v>
      </c>
      <c r="L1860" t="n">
        <v>1</v>
      </c>
      <c r="M1860" t="n">
        <v>0</v>
      </c>
    </row>
    <row r="1861" spans="1:13">
      <c r="A1861" s="1">
        <f>HYPERLINK("http://www.twitter.com/NathanBLawrence/status/985226312355852288", "985226312355852288")</f>
        <v/>
      </c>
      <c r="B1861" s="2" t="n">
        <v>43204.77814814815</v>
      </c>
      <c r="C1861" t="n">
        <v>1</v>
      </c>
      <c r="D1861" t="n">
        <v>1</v>
      </c>
      <c r="E1861" t="s">
        <v>1872</v>
      </c>
      <c r="F1861" t="s"/>
      <c r="G1861" t="s"/>
      <c r="H1861" t="s"/>
      <c r="I1861" t="s"/>
      <c r="J1861" t="n">
        <v>-0.7199</v>
      </c>
      <c r="K1861" t="n">
        <v>0.278</v>
      </c>
      <c r="L1861" t="n">
        <v>0.722</v>
      </c>
      <c r="M1861" t="n">
        <v>0</v>
      </c>
    </row>
    <row r="1862" spans="1:13">
      <c r="A1862" s="1">
        <f>HYPERLINK("http://www.twitter.com/NathanBLawrence/status/985220983454879750", "985220983454879750")</f>
        <v/>
      </c>
      <c r="B1862" s="2" t="n">
        <v>43204.7634375</v>
      </c>
      <c r="C1862" t="n">
        <v>1</v>
      </c>
      <c r="D1862" t="n">
        <v>0</v>
      </c>
      <c r="E1862" t="s">
        <v>1873</v>
      </c>
      <c r="F1862" t="s"/>
      <c r="G1862" t="s"/>
      <c r="H1862" t="s"/>
      <c r="I1862" t="s"/>
      <c r="J1862" t="n">
        <v>-0.296</v>
      </c>
      <c r="K1862" t="n">
        <v>0.099</v>
      </c>
      <c r="L1862" t="n">
        <v>0.901</v>
      </c>
      <c r="M1862" t="n">
        <v>0</v>
      </c>
    </row>
    <row r="1863" spans="1:13">
      <c r="A1863" s="1">
        <f>HYPERLINK("http://www.twitter.com/NathanBLawrence/status/985220430981140480", "985220430981140480")</f>
        <v/>
      </c>
      <c r="B1863" s="2" t="n">
        <v>43204.76190972222</v>
      </c>
      <c r="C1863" t="n">
        <v>3</v>
      </c>
      <c r="D1863" t="n">
        <v>2</v>
      </c>
      <c r="E1863" t="s">
        <v>1874</v>
      </c>
      <c r="F1863" t="s"/>
      <c r="G1863" t="s"/>
      <c r="H1863" t="s"/>
      <c r="I1863" t="s"/>
      <c r="J1863" t="n">
        <v>0</v>
      </c>
      <c r="K1863" t="n">
        <v>0</v>
      </c>
      <c r="L1863" t="n">
        <v>1</v>
      </c>
      <c r="M1863" t="n">
        <v>0</v>
      </c>
    </row>
    <row r="1864" spans="1:13">
      <c r="A1864" s="1">
        <f>HYPERLINK("http://www.twitter.com/NathanBLawrence/status/985219812728213505", "985219812728213505")</f>
        <v/>
      </c>
      <c r="B1864" s="2" t="n">
        <v>43204.76020833333</v>
      </c>
      <c r="C1864" t="n">
        <v>0</v>
      </c>
      <c r="D1864" t="n">
        <v>0</v>
      </c>
      <c r="E1864" t="s">
        <v>1875</v>
      </c>
      <c r="F1864" t="s"/>
      <c r="G1864" t="s"/>
      <c r="H1864" t="s"/>
      <c r="I1864" t="s"/>
      <c r="J1864" t="n">
        <v>0</v>
      </c>
      <c r="K1864" t="n">
        <v>0</v>
      </c>
      <c r="L1864" t="n">
        <v>1</v>
      </c>
      <c r="M1864" t="n">
        <v>0</v>
      </c>
    </row>
    <row r="1865" spans="1:13">
      <c r="A1865" s="1">
        <f>HYPERLINK("http://www.twitter.com/NathanBLawrence/status/985219465712472066", "985219465712472066")</f>
        <v/>
      </c>
      <c r="B1865" s="2" t="n">
        <v>43204.75924768519</v>
      </c>
      <c r="C1865" t="n">
        <v>0</v>
      </c>
      <c r="D1865" t="n">
        <v>0</v>
      </c>
      <c r="E1865" t="s">
        <v>1876</v>
      </c>
      <c r="F1865" t="s"/>
      <c r="G1865" t="s"/>
      <c r="H1865" t="s"/>
      <c r="I1865" t="s"/>
      <c r="J1865" t="n">
        <v>0.1779</v>
      </c>
      <c r="K1865" t="n">
        <v>0.076</v>
      </c>
      <c r="L1865" t="n">
        <v>0.795</v>
      </c>
      <c r="M1865" t="n">
        <v>0.128</v>
      </c>
    </row>
    <row r="1866" spans="1:13">
      <c r="A1866" s="1">
        <f>HYPERLINK("http://www.twitter.com/NathanBLawrence/status/985196240584564736", "985196240584564736")</f>
        <v/>
      </c>
      <c r="B1866" s="2" t="n">
        <v>43204.69516203704</v>
      </c>
      <c r="C1866" t="n">
        <v>2</v>
      </c>
      <c r="D1866" t="n">
        <v>1</v>
      </c>
      <c r="E1866" t="s">
        <v>1877</v>
      </c>
      <c r="F1866" t="s"/>
      <c r="G1866" t="s"/>
      <c r="H1866" t="s"/>
      <c r="I1866" t="s"/>
      <c r="J1866" t="n">
        <v>0.6486</v>
      </c>
      <c r="K1866" t="n">
        <v>0.057</v>
      </c>
      <c r="L1866" t="n">
        <v>0.783</v>
      </c>
      <c r="M1866" t="n">
        <v>0.16</v>
      </c>
    </row>
    <row r="1867" spans="1:13">
      <c r="A1867" s="1">
        <f>HYPERLINK("http://www.twitter.com/NathanBLawrence/status/985194260789186560", "985194260789186560")</f>
        <v/>
      </c>
      <c r="B1867" s="2" t="n">
        <v>43204.68969907407</v>
      </c>
      <c r="C1867" t="n">
        <v>2</v>
      </c>
      <c r="D1867" t="n">
        <v>1</v>
      </c>
      <c r="E1867" t="s">
        <v>1878</v>
      </c>
      <c r="F1867" t="s"/>
      <c r="G1867" t="s"/>
      <c r="H1867" t="s"/>
      <c r="I1867" t="s"/>
      <c r="J1867" t="n">
        <v>0</v>
      </c>
      <c r="K1867" t="n">
        <v>0</v>
      </c>
      <c r="L1867" t="n">
        <v>1</v>
      </c>
      <c r="M1867" t="n">
        <v>0</v>
      </c>
    </row>
    <row r="1868" spans="1:13">
      <c r="A1868" s="1">
        <f>HYPERLINK("http://www.twitter.com/NathanBLawrence/status/985193085612281856", "985193085612281856")</f>
        <v/>
      </c>
      <c r="B1868" s="2" t="n">
        <v>43204.68645833333</v>
      </c>
      <c r="C1868" t="n">
        <v>0</v>
      </c>
      <c r="D1868" t="n">
        <v>2700</v>
      </c>
      <c r="E1868" t="s">
        <v>1879</v>
      </c>
      <c r="F1868">
        <f>HYPERLINK("http://pbs.twimg.com/media/DasPmI_UwAAF1HT.jpg", "http://pbs.twimg.com/media/DasPmI_UwAAF1HT.jpg")</f>
        <v/>
      </c>
      <c r="G1868" t="s"/>
      <c r="H1868" t="s"/>
      <c r="I1868" t="s"/>
      <c r="J1868" t="n">
        <v>-0.3612</v>
      </c>
      <c r="K1868" t="n">
        <v>0.263</v>
      </c>
      <c r="L1868" t="n">
        <v>0.737</v>
      </c>
      <c r="M1868" t="n">
        <v>0</v>
      </c>
    </row>
    <row r="1869" spans="1:13">
      <c r="A1869" s="1">
        <f>HYPERLINK("http://www.twitter.com/NathanBLawrence/status/985191933730545664", "985191933730545664")</f>
        <v/>
      </c>
      <c r="B1869" s="2" t="n">
        <v>43204.68327546296</v>
      </c>
      <c r="C1869" t="n">
        <v>2</v>
      </c>
      <c r="D1869" t="n">
        <v>1</v>
      </c>
      <c r="E1869" t="s">
        <v>1880</v>
      </c>
      <c r="F1869" t="s"/>
      <c r="G1869" t="s"/>
      <c r="H1869" t="s"/>
      <c r="I1869" t="s"/>
      <c r="J1869" t="n">
        <v>-0.5423</v>
      </c>
      <c r="K1869" t="n">
        <v>0.104</v>
      </c>
      <c r="L1869" t="n">
        <v>0.896</v>
      </c>
      <c r="M1869" t="n">
        <v>0</v>
      </c>
    </row>
    <row r="1870" spans="1:13">
      <c r="A1870" s="1">
        <f>HYPERLINK("http://www.twitter.com/NathanBLawrence/status/985191568247279616", "985191568247279616")</f>
        <v/>
      </c>
      <c r="B1870" s="2" t="n">
        <v>43204.68226851852</v>
      </c>
      <c r="C1870" t="n">
        <v>4</v>
      </c>
      <c r="D1870" t="n">
        <v>3</v>
      </c>
      <c r="E1870" t="s">
        <v>1881</v>
      </c>
      <c r="F1870" t="s"/>
      <c r="G1870" t="s"/>
      <c r="H1870" t="s"/>
      <c r="I1870" t="s"/>
      <c r="J1870" t="n">
        <v>0</v>
      </c>
      <c r="K1870" t="n">
        <v>0</v>
      </c>
      <c r="L1870" t="n">
        <v>1</v>
      </c>
      <c r="M1870" t="n">
        <v>0</v>
      </c>
    </row>
    <row r="1871" spans="1:13">
      <c r="A1871" s="1">
        <f>HYPERLINK("http://www.twitter.com/NathanBLawrence/status/985190224484622336", "985190224484622336")</f>
        <v/>
      </c>
      <c r="B1871" s="2" t="n">
        <v>43204.67856481481</v>
      </c>
      <c r="C1871" t="n">
        <v>0</v>
      </c>
      <c r="D1871" t="n">
        <v>4</v>
      </c>
      <c r="E1871" t="s">
        <v>1882</v>
      </c>
      <c r="F1871">
        <f>HYPERLINK("http://pbs.twimg.com/media/DW7iW0CVoAENyul.jpg", "http://pbs.twimg.com/media/DW7iW0CVoAENyul.jpg")</f>
        <v/>
      </c>
      <c r="G1871">
        <f>HYPERLINK("http://pbs.twimg.com/media/DW7iW0EVwAAhneu.jpg", "http://pbs.twimg.com/media/DW7iW0EVwAAhneu.jpg")</f>
        <v/>
      </c>
      <c r="H1871">
        <f>HYPERLINK("http://pbs.twimg.com/media/DW7iW0DU8AANWGS.jpg", "http://pbs.twimg.com/media/DW7iW0DU8AANWGS.jpg")</f>
        <v/>
      </c>
      <c r="I1871" t="s"/>
      <c r="J1871" t="n">
        <v>-0.1531</v>
      </c>
      <c r="K1871" t="n">
        <v>0.103</v>
      </c>
      <c r="L1871" t="n">
        <v>0.897</v>
      </c>
      <c r="M1871" t="n">
        <v>0</v>
      </c>
    </row>
    <row r="1872" spans="1:13">
      <c r="A1872" s="1">
        <f>HYPERLINK("http://www.twitter.com/NathanBLawrence/status/985189611369582593", "985189611369582593")</f>
        <v/>
      </c>
      <c r="B1872" s="2" t="n">
        <v>43204.67686342593</v>
      </c>
      <c r="C1872" t="n">
        <v>1</v>
      </c>
      <c r="D1872" t="n">
        <v>1</v>
      </c>
      <c r="E1872" t="s">
        <v>1883</v>
      </c>
      <c r="F1872" t="s"/>
      <c r="G1872" t="s"/>
      <c r="H1872" t="s"/>
      <c r="I1872" t="s"/>
      <c r="J1872" t="n">
        <v>0.8718</v>
      </c>
      <c r="K1872" t="n">
        <v>0</v>
      </c>
      <c r="L1872" t="n">
        <v>0.679</v>
      </c>
      <c r="M1872" t="n">
        <v>0.321</v>
      </c>
    </row>
    <row r="1873" spans="1:13">
      <c r="A1873" s="1">
        <f>HYPERLINK("http://www.twitter.com/NathanBLawrence/status/985189325288693760", "985189325288693760")</f>
        <v/>
      </c>
      <c r="B1873" s="2" t="n">
        <v>43204.67607638889</v>
      </c>
      <c r="C1873" t="n">
        <v>2</v>
      </c>
      <c r="D1873" t="n">
        <v>1</v>
      </c>
      <c r="E1873" t="s">
        <v>1884</v>
      </c>
      <c r="F1873" t="s"/>
      <c r="G1873" t="s"/>
      <c r="H1873" t="s"/>
      <c r="I1873" t="s"/>
      <c r="J1873" t="n">
        <v>0</v>
      </c>
      <c r="K1873" t="n">
        <v>0</v>
      </c>
      <c r="L1873" t="n">
        <v>1</v>
      </c>
      <c r="M1873" t="n">
        <v>0</v>
      </c>
    </row>
    <row r="1874" spans="1:13">
      <c r="A1874" s="1">
        <f>HYPERLINK("http://www.twitter.com/NathanBLawrence/status/985175537122504704", "985175537122504704")</f>
        <v/>
      </c>
      <c r="B1874" s="2" t="n">
        <v>43204.63803240741</v>
      </c>
      <c r="C1874" t="n">
        <v>0</v>
      </c>
      <c r="D1874" t="n">
        <v>0</v>
      </c>
      <c r="E1874" t="s">
        <v>1885</v>
      </c>
      <c r="F1874" t="s"/>
      <c r="G1874" t="s"/>
      <c r="H1874" t="s"/>
      <c r="I1874" t="s"/>
      <c r="J1874" t="n">
        <v>-0.7264</v>
      </c>
      <c r="K1874" t="n">
        <v>0.18</v>
      </c>
      <c r="L1874" t="n">
        <v>0.736</v>
      </c>
      <c r="M1874" t="n">
        <v>0.08500000000000001</v>
      </c>
    </row>
    <row r="1875" spans="1:13">
      <c r="A1875" s="1">
        <f>HYPERLINK("http://www.twitter.com/NathanBLawrence/status/985174791521841152", "985174791521841152")</f>
        <v/>
      </c>
      <c r="B1875" s="2" t="n">
        <v>43204.63597222222</v>
      </c>
      <c r="C1875" t="n">
        <v>0</v>
      </c>
      <c r="D1875" t="n">
        <v>0</v>
      </c>
      <c r="E1875" t="s">
        <v>1886</v>
      </c>
      <c r="F1875" t="s"/>
      <c r="G1875" t="s"/>
      <c r="H1875" t="s"/>
      <c r="I1875" t="s"/>
      <c r="J1875" t="n">
        <v>-0.666</v>
      </c>
      <c r="K1875" t="n">
        <v>0.214</v>
      </c>
      <c r="L1875" t="n">
        <v>0.709</v>
      </c>
      <c r="M1875" t="n">
        <v>0.077</v>
      </c>
    </row>
    <row r="1876" spans="1:13">
      <c r="A1876" s="1">
        <f>HYPERLINK("http://www.twitter.com/NathanBLawrence/status/985174068830920704", "985174068830920704")</f>
        <v/>
      </c>
      <c r="B1876" s="2" t="n">
        <v>43204.63398148148</v>
      </c>
      <c r="C1876" t="n">
        <v>3</v>
      </c>
      <c r="D1876" t="n">
        <v>3</v>
      </c>
      <c r="E1876" t="s">
        <v>1887</v>
      </c>
      <c r="F1876" t="s"/>
      <c r="G1876" t="s"/>
      <c r="H1876" t="s"/>
      <c r="I1876" t="s"/>
      <c r="J1876" t="n">
        <v>0.7096</v>
      </c>
      <c r="K1876" t="n">
        <v>0</v>
      </c>
      <c r="L1876" t="n">
        <v>0.902</v>
      </c>
      <c r="M1876" t="n">
        <v>0.098</v>
      </c>
    </row>
    <row r="1877" spans="1:13">
      <c r="A1877" s="1">
        <f>HYPERLINK("http://www.twitter.com/NathanBLawrence/status/985172669606883328", "985172669606883328")</f>
        <v/>
      </c>
      <c r="B1877" s="2" t="n">
        <v>43204.63011574074</v>
      </c>
      <c r="C1877" t="n">
        <v>3</v>
      </c>
      <c r="D1877" t="n">
        <v>2</v>
      </c>
      <c r="E1877" t="s">
        <v>1888</v>
      </c>
      <c r="F1877" t="s"/>
      <c r="G1877" t="s"/>
      <c r="H1877" t="s"/>
      <c r="I1877" t="s"/>
      <c r="J1877" t="n">
        <v>0</v>
      </c>
      <c r="K1877" t="n">
        <v>0</v>
      </c>
      <c r="L1877" t="n">
        <v>1</v>
      </c>
      <c r="M1877" t="n">
        <v>0</v>
      </c>
    </row>
    <row r="1878" spans="1:13">
      <c r="A1878" s="1">
        <f>HYPERLINK("http://www.twitter.com/NathanBLawrence/status/985172097910616064", "985172097910616064")</f>
        <v/>
      </c>
      <c r="B1878" s="2" t="n">
        <v>43204.62854166667</v>
      </c>
      <c r="C1878" t="n">
        <v>1</v>
      </c>
      <c r="D1878" t="n">
        <v>2</v>
      </c>
      <c r="E1878" t="s">
        <v>1889</v>
      </c>
      <c r="F1878" t="s"/>
      <c r="G1878" t="s"/>
      <c r="H1878" t="s"/>
      <c r="I1878" t="s"/>
      <c r="J1878" t="n">
        <v>-0.6543</v>
      </c>
      <c r="K1878" t="n">
        <v>0.09</v>
      </c>
      <c r="L1878" t="n">
        <v>0.91</v>
      </c>
      <c r="M1878" t="n">
        <v>0</v>
      </c>
    </row>
    <row r="1879" spans="1:13">
      <c r="A1879" s="1">
        <f>HYPERLINK("http://www.twitter.com/NathanBLawrence/status/985170595632635905", "985170595632635905")</f>
        <v/>
      </c>
      <c r="B1879" s="2" t="n">
        <v>43204.62439814815</v>
      </c>
      <c r="C1879" t="n">
        <v>1</v>
      </c>
      <c r="D1879" t="n">
        <v>0</v>
      </c>
      <c r="E1879" t="s">
        <v>1890</v>
      </c>
      <c r="F1879" t="s"/>
      <c r="G1879" t="s"/>
      <c r="H1879" t="s"/>
      <c r="I1879" t="s"/>
      <c r="J1879" t="n">
        <v>-0.9305</v>
      </c>
      <c r="K1879" t="n">
        <v>0.5570000000000001</v>
      </c>
      <c r="L1879" t="n">
        <v>0.443</v>
      </c>
      <c r="M1879" t="n">
        <v>0</v>
      </c>
    </row>
    <row r="1880" spans="1:13">
      <c r="A1880" s="1">
        <f>HYPERLINK("http://www.twitter.com/NathanBLawrence/status/985170193096888320", "985170193096888320")</f>
        <v/>
      </c>
      <c r="B1880" s="2" t="n">
        <v>43204.62328703704</v>
      </c>
      <c r="C1880" t="n">
        <v>0</v>
      </c>
      <c r="D1880" t="n">
        <v>11</v>
      </c>
      <c r="E1880" t="s">
        <v>1891</v>
      </c>
      <c r="F1880">
        <f>HYPERLINK("http://pbs.twimg.com/media/DaWKPeWU8AAvBCO.jpg", "http://pbs.twimg.com/media/DaWKPeWU8AAvBCO.jpg")</f>
        <v/>
      </c>
      <c r="G1880">
        <f>HYPERLINK("http://pbs.twimg.com/media/DaWKPeVUwAELWqc.jpg", "http://pbs.twimg.com/media/DaWKPeVUwAELWqc.jpg")</f>
        <v/>
      </c>
      <c r="H1880" t="s"/>
      <c r="I1880" t="s"/>
      <c r="J1880" t="n">
        <v>-0.5859</v>
      </c>
      <c r="K1880" t="n">
        <v>0.192</v>
      </c>
      <c r="L1880" t="n">
        <v>0.8080000000000001</v>
      </c>
      <c r="M1880" t="n">
        <v>0</v>
      </c>
    </row>
    <row r="1881" spans="1:13">
      <c r="A1881" s="1">
        <f>HYPERLINK("http://www.twitter.com/NathanBLawrence/status/985169968001150976", "985169968001150976")</f>
        <v/>
      </c>
      <c r="B1881" s="2" t="n">
        <v>43204.62266203704</v>
      </c>
      <c r="C1881" t="n">
        <v>1</v>
      </c>
      <c r="D1881" t="n">
        <v>0</v>
      </c>
      <c r="E1881" t="s">
        <v>1892</v>
      </c>
      <c r="F1881">
        <f>HYPERLINK("http://pbs.twimg.com/media/DawG273VwAA1HZ5.jpg", "http://pbs.twimg.com/media/DawG273VwAA1HZ5.jpg")</f>
        <v/>
      </c>
      <c r="G1881" t="s"/>
      <c r="H1881" t="s"/>
      <c r="I1881" t="s"/>
      <c r="J1881" t="n">
        <v>0.5411</v>
      </c>
      <c r="K1881" t="n">
        <v>0</v>
      </c>
      <c r="L1881" t="n">
        <v>0.868</v>
      </c>
      <c r="M1881" t="n">
        <v>0.132</v>
      </c>
    </row>
    <row r="1882" spans="1:13">
      <c r="A1882" s="1">
        <f>HYPERLINK("http://www.twitter.com/NathanBLawrence/status/985168528939548672", "985168528939548672")</f>
        <v/>
      </c>
      <c r="B1882" s="2" t="n">
        <v>43204.61869212963</v>
      </c>
      <c r="C1882" t="n">
        <v>0</v>
      </c>
      <c r="D1882" t="n">
        <v>0</v>
      </c>
      <c r="E1882" t="s">
        <v>1893</v>
      </c>
      <c r="F1882" t="s"/>
      <c r="G1882" t="s"/>
      <c r="H1882" t="s"/>
      <c r="I1882" t="s"/>
      <c r="J1882" t="n">
        <v>-0.4574</v>
      </c>
      <c r="K1882" t="n">
        <v>0.333</v>
      </c>
      <c r="L1882" t="n">
        <v>0.667</v>
      </c>
      <c r="M1882" t="n">
        <v>0</v>
      </c>
    </row>
    <row r="1883" spans="1:13">
      <c r="A1883" s="1">
        <f>HYPERLINK("http://www.twitter.com/NathanBLawrence/status/985007551648620544", "985007551648620544")</f>
        <v/>
      </c>
      <c r="B1883" s="2" t="n">
        <v>43204.17447916666</v>
      </c>
      <c r="C1883" t="n">
        <v>0</v>
      </c>
      <c r="D1883" t="n">
        <v>0</v>
      </c>
      <c r="E1883" t="s">
        <v>1894</v>
      </c>
      <c r="F1883" t="s"/>
      <c r="G1883" t="s"/>
      <c r="H1883" t="s"/>
      <c r="I1883" t="s"/>
      <c r="J1883" t="n">
        <v>0</v>
      </c>
      <c r="K1883" t="n">
        <v>0</v>
      </c>
      <c r="L1883" t="n">
        <v>1</v>
      </c>
      <c r="M1883" t="n">
        <v>0</v>
      </c>
    </row>
    <row r="1884" spans="1:13">
      <c r="A1884" s="1">
        <f>HYPERLINK("http://www.twitter.com/NathanBLawrence/status/984986581089030144", "984986581089030144")</f>
        <v/>
      </c>
      <c r="B1884" s="2" t="n">
        <v>43204.1166087963</v>
      </c>
      <c r="C1884" t="n">
        <v>0</v>
      </c>
      <c r="D1884" t="n">
        <v>0</v>
      </c>
      <c r="E1884" t="s">
        <v>1895</v>
      </c>
      <c r="F1884">
        <f>HYPERLINK("http://pbs.twimg.com/media/DatgEu-UQAAWAnG.jpg", "http://pbs.twimg.com/media/DatgEu-UQAAWAnG.jpg")</f>
        <v/>
      </c>
      <c r="G1884" t="s"/>
      <c r="H1884" t="s"/>
      <c r="I1884" t="s"/>
      <c r="J1884" t="n">
        <v>0.3612</v>
      </c>
      <c r="K1884" t="n">
        <v>0</v>
      </c>
      <c r="L1884" t="n">
        <v>0.8</v>
      </c>
      <c r="M1884" t="n">
        <v>0.2</v>
      </c>
    </row>
    <row r="1885" spans="1:13">
      <c r="A1885" s="1">
        <f>HYPERLINK("http://www.twitter.com/NathanBLawrence/status/984982963367575552", "984982963367575552")</f>
        <v/>
      </c>
      <c r="B1885" s="2" t="n">
        <v>43204.10663194444</v>
      </c>
      <c r="C1885" t="n">
        <v>1</v>
      </c>
      <c r="D1885" t="n">
        <v>0</v>
      </c>
      <c r="E1885" t="s">
        <v>1896</v>
      </c>
      <c r="F1885" t="s"/>
      <c r="G1885" t="s"/>
      <c r="H1885" t="s"/>
      <c r="I1885" t="s"/>
      <c r="J1885" t="n">
        <v>0</v>
      </c>
      <c r="K1885" t="n">
        <v>0</v>
      </c>
      <c r="L1885" t="n">
        <v>1</v>
      </c>
      <c r="M1885" t="n">
        <v>0</v>
      </c>
    </row>
    <row r="1886" spans="1:13">
      <c r="A1886" s="1">
        <f>HYPERLINK("http://www.twitter.com/NathanBLawrence/status/984982014142099459", "984982014142099459")</f>
        <v/>
      </c>
      <c r="B1886" s="2" t="n">
        <v>43204.10400462963</v>
      </c>
      <c r="C1886" t="n">
        <v>0</v>
      </c>
      <c r="D1886" t="n">
        <v>9414</v>
      </c>
      <c r="E1886" t="s">
        <v>1897</v>
      </c>
      <c r="F1886" t="s"/>
      <c r="G1886" t="s"/>
      <c r="H1886" t="s"/>
      <c r="I1886" t="s"/>
      <c r="J1886" t="n">
        <v>0.6705</v>
      </c>
      <c r="K1886" t="n">
        <v>0</v>
      </c>
      <c r="L1886" t="n">
        <v>0.744</v>
      </c>
      <c r="M1886" t="n">
        <v>0.256</v>
      </c>
    </row>
    <row r="1887" spans="1:13">
      <c r="A1887" s="1">
        <f>HYPERLINK("http://www.twitter.com/NathanBLawrence/status/984975326789947397", "984975326789947397")</f>
        <v/>
      </c>
      <c r="B1887" s="2" t="n">
        <v>43204.08555555555</v>
      </c>
      <c r="C1887" t="n">
        <v>1</v>
      </c>
      <c r="D1887" t="n">
        <v>0</v>
      </c>
      <c r="E1887" t="s">
        <v>1898</v>
      </c>
      <c r="F1887" t="s"/>
      <c r="G1887" t="s"/>
      <c r="H1887" t="s"/>
      <c r="I1887" t="s"/>
      <c r="J1887" t="n">
        <v>0</v>
      </c>
      <c r="K1887" t="n">
        <v>0</v>
      </c>
      <c r="L1887" t="n">
        <v>1</v>
      </c>
      <c r="M1887" t="n">
        <v>0</v>
      </c>
    </row>
    <row r="1888" spans="1:13">
      <c r="A1888" s="1">
        <f>HYPERLINK("http://www.twitter.com/NathanBLawrence/status/984971612352077824", "984971612352077824")</f>
        <v/>
      </c>
      <c r="B1888" s="2" t="n">
        <v>43204.07530092593</v>
      </c>
      <c r="C1888" t="n">
        <v>0</v>
      </c>
      <c r="D1888" t="n">
        <v>1955</v>
      </c>
      <c r="E1888" t="s">
        <v>1899</v>
      </c>
      <c r="F1888">
        <f>HYPERLINK("http://pbs.twimg.com/media/DatLFJZXUAE43EJ.jpg", "http://pbs.twimg.com/media/DatLFJZXUAE43EJ.jpg")</f>
        <v/>
      </c>
      <c r="G1888" t="s"/>
      <c r="H1888" t="s"/>
      <c r="I1888" t="s"/>
      <c r="J1888" t="n">
        <v>0.6486</v>
      </c>
      <c r="K1888" t="n">
        <v>0</v>
      </c>
      <c r="L1888" t="n">
        <v>0.798</v>
      </c>
      <c r="M1888" t="n">
        <v>0.202</v>
      </c>
    </row>
    <row r="1889" spans="1:13">
      <c r="A1889" s="1">
        <f>HYPERLINK("http://www.twitter.com/NathanBLawrence/status/984969853655240704", "984969853655240704")</f>
        <v/>
      </c>
      <c r="B1889" s="2" t="n">
        <v>43204.07045138889</v>
      </c>
      <c r="C1889" t="n">
        <v>1</v>
      </c>
      <c r="D1889" t="n">
        <v>0</v>
      </c>
      <c r="E1889" t="s">
        <v>1900</v>
      </c>
      <c r="F1889" t="s"/>
      <c r="G1889" t="s"/>
      <c r="H1889" t="s"/>
      <c r="I1889" t="s"/>
      <c r="J1889" t="n">
        <v>0</v>
      </c>
      <c r="K1889" t="n">
        <v>0</v>
      </c>
      <c r="L1889" t="n">
        <v>1</v>
      </c>
      <c r="M1889" t="n">
        <v>0</v>
      </c>
    </row>
    <row r="1890" spans="1:13">
      <c r="A1890" s="1">
        <f>HYPERLINK("http://www.twitter.com/NathanBLawrence/status/984969507134496768", "984969507134496768")</f>
        <v/>
      </c>
      <c r="B1890" s="2" t="n">
        <v>43204.06950231481</v>
      </c>
      <c r="C1890" t="n">
        <v>0</v>
      </c>
      <c r="D1890" t="n">
        <v>7</v>
      </c>
      <c r="E1890" t="s">
        <v>1901</v>
      </c>
      <c r="F1890">
        <f>HYPERLINK("http://pbs.twimg.com/media/DaslJM5U0AAsfJK.jpg", "http://pbs.twimg.com/media/DaslJM5U0AAsfJK.jpg")</f>
        <v/>
      </c>
      <c r="G1890" t="s"/>
      <c r="H1890" t="s"/>
      <c r="I1890" t="s"/>
      <c r="J1890" t="n">
        <v>0</v>
      </c>
      <c r="K1890" t="n">
        <v>0</v>
      </c>
      <c r="L1890" t="n">
        <v>1</v>
      </c>
      <c r="M1890" t="n">
        <v>0</v>
      </c>
    </row>
    <row r="1891" spans="1:13">
      <c r="A1891" s="1">
        <f>HYPERLINK("http://www.twitter.com/NathanBLawrence/status/984969300900483072", "984969300900483072")</f>
        <v/>
      </c>
      <c r="B1891" s="2" t="n">
        <v>43204.06892361111</v>
      </c>
      <c r="C1891" t="n">
        <v>1</v>
      </c>
      <c r="D1891" t="n">
        <v>0</v>
      </c>
      <c r="E1891" t="s">
        <v>1902</v>
      </c>
      <c r="F1891" t="s"/>
      <c r="G1891" t="s"/>
      <c r="H1891" t="s"/>
      <c r="I1891" t="s"/>
      <c r="J1891" t="n">
        <v>-0.7088</v>
      </c>
      <c r="K1891" t="n">
        <v>0.329</v>
      </c>
      <c r="L1891" t="n">
        <v>0.671</v>
      </c>
      <c r="M1891" t="n">
        <v>0</v>
      </c>
    </row>
    <row r="1892" spans="1:13">
      <c r="A1892" s="1">
        <f>HYPERLINK("http://www.twitter.com/NathanBLawrence/status/984968229767516160", "984968229767516160")</f>
        <v/>
      </c>
      <c r="B1892" s="2" t="n">
        <v>43204.06597222222</v>
      </c>
      <c r="C1892" t="n">
        <v>1</v>
      </c>
      <c r="D1892" t="n">
        <v>0</v>
      </c>
      <c r="E1892" t="s">
        <v>1903</v>
      </c>
      <c r="F1892" t="s"/>
      <c r="G1892" t="s"/>
      <c r="H1892" t="s"/>
      <c r="I1892" t="s"/>
      <c r="J1892" t="n">
        <v>0.7688</v>
      </c>
      <c r="K1892" t="n">
        <v>0</v>
      </c>
      <c r="L1892" t="n">
        <v>0.79</v>
      </c>
      <c r="M1892" t="n">
        <v>0.21</v>
      </c>
    </row>
    <row r="1893" spans="1:13">
      <c r="A1893" s="1">
        <f>HYPERLINK("http://www.twitter.com/NathanBLawrence/status/984966379483910144", "984966379483910144")</f>
        <v/>
      </c>
      <c r="B1893" s="2" t="n">
        <v>43204.06086805555</v>
      </c>
      <c r="C1893" t="n">
        <v>5</v>
      </c>
      <c r="D1893" t="n">
        <v>1</v>
      </c>
      <c r="E1893" t="s">
        <v>1904</v>
      </c>
      <c r="F1893" t="s"/>
      <c r="G1893" t="s"/>
      <c r="H1893" t="s"/>
      <c r="I1893" t="s"/>
      <c r="J1893" t="n">
        <v>0</v>
      </c>
      <c r="K1893" t="n">
        <v>0</v>
      </c>
      <c r="L1893" t="n">
        <v>1</v>
      </c>
      <c r="M1893" t="n">
        <v>0</v>
      </c>
    </row>
    <row r="1894" spans="1:13">
      <c r="A1894" s="1">
        <f>HYPERLINK("http://www.twitter.com/NathanBLawrence/status/984965609048993792", "984965609048993792")</f>
        <v/>
      </c>
      <c r="B1894" s="2" t="n">
        <v>43204.05873842593</v>
      </c>
      <c r="C1894" t="n">
        <v>5</v>
      </c>
      <c r="D1894" t="n">
        <v>1</v>
      </c>
      <c r="E1894" t="s">
        <v>1905</v>
      </c>
      <c r="F1894" t="s"/>
      <c r="G1894" t="s"/>
      <c r="H1894" t="s"/>
      <c r="I1894" t="s"/>
      <c r="J1894" t="n">
        <v>0.2584</v>
      </c>
      <c r="K1894" t="n">
        <v>0</v>
      </c>
      <c r="L1894" t="n">
        <v>0.855</v>
      </c>
      <c r="M1894" t="n">
        <v>0.145</v>
      </c>
    </row>
    <row r="1895" spans="1:13">
      <c r="A1895" s="1">
        <f>HYPERLINK("http://www.twitter.com/NathanBLawrence/status/984963658274033666", "984963658274033666")</f>
        <v/>
      </c>
      <c r="B1895" s="2" t="n">
        <v>43204.05335648148</v>
      </c>
      <c r="C1895" t="n">
        <v>2</v>
      </c>
      <c r="D1895" t="n">
        <v>0</v>
      </c>
      <c r="E1895" t="s">
        <v>1906</v>
      </c>
      <c r="F1895" t="s"/>
      <c r="G1895" t="s"/>
      <c r="H1895" t="s"/>
      <c r="I1895" t="s"/>
      <c r="J1895" t="n">
        <v>0.296</v>
      </c>
      <c r="K1895" t="n">
        <v>0</v>
      </c>
      <c r="L1895" t="n">
        <v>0.833</v>
      </c>
      <c r="M1895" t="n">
        <v>0.167</v>
      </c>
    </row>
    <row r="1896" spans="1:13">
      <c r="A1896" s="1">
        <f>HYPERLINK("http://www.twitter.com/NathanBLawrence/status/984963248935129090", "984963248935129090")</f>
        <v/>
      </c>
      <c r="B1896" s="2" t="n">
        <v>43204.05222222222</v>
      </c>
      <c r="C1896" t="n">
        <v>1</v>
      </c>
      <c r="D1896" t="n">
        <v>0</v>
      </c>
      <c r="E1896" t="s">
        <v>1907</v>
      </c>
      <c r="F1896" t="s"/>
      <c r="G1896" t="s"/>
      <c r="H1896" t="s"/>
      <c r="I1896" t="s"/>
      <c r="J1896" t="n">
        <v>0.4404</v>
      </c>
      <c r="K1896" t="n">
        <v>0</v>
      </c>
      <c r="L1896" t="n">
        <v>0.58</v>
      </c>
      <c r="M1896" t="n">
        <v>0.42</v>
      </c>
    </row>
    <row r="1897" spans="1:13">
      <c r="A1897" s="1">
        <f>HYPERLINK("http://www.twitter.com/NathanBLawrence/status/984962910060412928", "984962910060412928")</f>
        <v/>
      </c>
      <c r="B1897" s="2" t="n">
        <v>43204.0512962963</v>
      </c>
      <c r="C1897" t="n">
        <v>1</v>
      </c>
      <c r="D1897" t="n">
        <v>0</v>
      </c>
      <c r="E1897" t="s">
        <v>1908</v>
      </c>
      <c r="F1897" t="s"/>
      <c r="G1897" t="s"/>
      <c r="H1897" t="s"/>
      <c r="I1897" t="s"/>
      <c r="J1897" t="n">
        <v>0.6597</v>
      </c>
      <c r="K1897" t="n">
        <v>0</v>
      </c>
      <c r="L1897" t="n">
        <v>0.526</v>
      </c>
      <c r="M1897" t="n">
        <v>0.474</v>
      </c>
    </row>
    <row r="1898" spans="1:13">
      <c r="A1898" s="1">
        <f>HYPERLINK("http://www.twitter.com/NathanBLawrence/status/984962458153639936", "984962458153639936")</f>
        <v/>
      </c>
      <c r="B1898" s="2" t="n">
        <v>43204.0500462963</v>
      </c>
      <c r="C1898" t="n">
        <v>1</v>
      </c>
      <c r="D1898" t="n">
        <v>0</v>
      </c>
      <c r="E1898" t="s">
        <v>1909</v>
      </c>
      <c r="F1898" t="s"/>
      <c r="G1898" t="s"/>
      <c r="H1898" t="s"/>
      <c r="I1898" t="s"/>
      <c r="J1898" t="n">
        <v>0.5983000000000001</v>
      </c>
      <c r="K1898" t="n">
        <v>0.058</v>
      </c>
      <c r="L1898" t="n">
        <v>0.756</v>
      </c>
      <c r="M1898" t="n">
        <v>0.186</v>
      </c>
    </row>
    <row r="1899" spans="1:13">
      <c r="A1899" s="1">
        <f>HYPERLINK("http://www.twitter.com/NathanBLawrence/status/984961338043785216", "984961338043785216")</f>
        <v/>
      </c>
      <c r="B1899" s="2" t="n">
        <v>43204.04695601852</v>
      </c>
      <c r="C1899" t="n">
        <v>1</v>
      </c>
      <c r="D1899" t="n">
        <v>0</v>
      </c>
      <c r="E1899" t="s">
        <v>1910</v>
      </c>
      <c r="F1899" t="s"/>
      <c r="G1899" t="s"/>
      <c r="H1899" t="s"/>
      <c r="I1899" t="s"/>
      <c r="J1899" t="n">
        <v>0.5266999999999999</v>
      </c>
      <c r="K1899" t="n">
        <v>0</v>
      </c>
      <c r="L1899" t="n">
        <v>0.871</v>
      </c>
      <c r="M1899" t="n">
        <v>0.129</v>
      </c>
    </row>
    <row r="1900" spans="1:13">
      <c r="A1900" s="1">
        <f>HYPERLINK("http://www.twitter.com/NathanBLawrence/status/984949778047012864", "984949778047012864")</f>
        <v/>
      </c>
      <c r="B1900" s="2" t="n">
        <v>43204.01505787037</v>
      </c>
      <c r="C1900" t="n">
        <v>3</v>
      </c>
      <c r="D1900" t="n">
        <v>2</v>
      </c>
      <c r="E1900" t="s">
        <v>1911</v>
      </c>
      <c r="F1900" t="s"/>
      <c r="G1900" t="s"/>
      <c r="H1900" t="s"/>
      <c r="I1900" t="s"/>
      <c r="J1900" t="n">
        <v>0.8957000000000001</v>
      </c>
      <c r="K1900" t="n">
        <v>0</v>
      </c>
      <c r="L1900" t="n">
        <v>0.504</v>
      </c>
      <c r="M1900" t="n">
        <v>0.496</v>
      </c>
    </row>
    <row r="1901" spans="1:13">
      <c r="A1901" s="1">
        <f>HYPERLINK("http://www.twitter.com/NathanBLawrence/status/984928248718118912", "984928248718118912")</f>
        <v/>
      </c>
      <c r="B1901" s="2" t="n">
        <v>43203.95564814815</v>
      </c>
      <c r="C1901" t="n">
        <v>1</v>
      </c>
      <c r="D1901" t="n">
        <v>0</v>
      </c>
      <c r="E1901" t="s">
        <v>1912</v>
      </c>
      <c r="F1901" t="s"/>
      <c r="G1901" t="s"/>
      <c r="H1901" t="s"/>
      <c r="I1901" t="s"/>
      <c r="J1901" t="n">
        <v>0.1154</v>
      </c>
      <c r="K1901" t="n">
        <v>0</v>
      </c>
      <c r="L1901" t="n">
        <v>0.952</v>
      </c>
      <c r="M1901" t="n">
        <v>0.048</v>
      </c>
    </row>
    <row r="1902" spans="1:13">
      <c r="A1902" s="1">
        <f>HYPERLINK("http://www.twitter.com/NathanBLawrence/status/984913969461760000", "984913969461760000")</f>
        <v/>
      </c>
      <c r="B1902" s="2" t="n">
        <v>43203.91623842593</v>
      </c>
      <c r="C1902" t="n">
        <v>10</v>
      </c>
      <c r="D1902" t="n">
        <v>5</v>
      </c>
      <c r="E1902" t="s">
        <v>1913</v>
      </c>
      <c r="F1902" t="s"/>
      <c r="G1902" t="s"/>
      <c r="H1902" t="s"/>
      <c r="I1902" t="s"/>
      <c r="J1902" t="n">
        <v>-0.1779</v>
      </c>
      <c r="K1902" t="n">
        <v>0.219</v>
      </c>
      <c r="L1902" t="n">
        <v>0.577</v>
      </c>
      <c r="M1902" t="n">
        <v>0.203</v>
      </c>
    </row>
    <row r="1903" spans="1:13">
      <c r="A1903" s="1">
        <f>HYPERLINK("http://www.twitter.com/NathanBLawrence/status/984913346465009664", "984913346465009664")</f>
        <v/>
      </c>
      <c r="B1903" s="2" t="n">
        <v>43203.91452546296</v>
      </c>
      <c r="C1903" t="n">
        <v>0</v>
      </c>
      <c r="D1903" t="n">
        <v>0</v>
      </c>
      <c r="E1903" t="s">
        <v>1914</v>
      </c>
      <c r="F1903" t="s"/>
      <c r="G1903" t="s"/>
      <c r="H1903" t="s"/>
      <c r="I1903" t="s"/>
      <c r="J1903" t="n">
        <v>0.6369</v>
      </c>
      <c r="K1903" t="n">
        <v>0</v>
      </c>
      <c r="L1903" t="n">
        <v>0.488</v>
      </c>
      <c r="M1903" t="n">
        <v>0.512</v>
      </c>
    </row>
    <row r="1904" spans="1:13">
      <c r="A1904" s="1">
        <f>HYPERLINK("http://www.twitter.com/NathanBLawrence/status/984905949298163712", "984905949298163712")</f>
        <v/>
      </c>
      <c r="B1904" s="2" t="n">
        <v>43203.8941087963</v>
      </c>
      <c r="C1904" t="n">
        <v>3</v>
      </c>
      <c r="D1904" t="n">
        <v>1</v>
      </c>
      <c r="E1904" t="s">
        <v>1915</v>
      </c>
      <c r="F1904">
        <f>HYPERLINK("http://pbs.twimg.com/media/DasWu-sUQAA1MIz.jpg", "http://pbs.twimg.com/media/DasWu-sUQAA1MIz.jpg")</f>
        <v/>
      </c>
      <c r="G1904" t="s"/>
      <c r="H1904" t="s"/>
      <c r="I1904" t="s"/>
      <c r="J1904" t="n">
        <v>0</v>
      </c>
      <c r="K1904" t="n">
        <v>0</v>
      </c>
      <c r="L1904" t="n">
        <v>1</v>
      </c>
      <c r="M1904" t="n">
        <v>0</v>
      </c>
    </row>
    <row r="1905" spans="1:13">
      <c r="A1905" s="1">
        <f>HYPERLINK("http://www.twitter.com/NathanBLawrence/status/984879509248925696", "984879509248925696")</f>
        <v/>
      </c>
      <c r="B1905" s="2" t="n">
        <v>43203.82114583333</v>
      </c>
      <c r="C1905" t="n">
        <v>1</v>
      </c>
      <c r="D1905" t="n">
        <v>1</v>
      </c>
      <c r="E1905" t="s">
        <v>1916</v>
      </c>
      <c r="F1905" t="s"/>
      <c r="G1905" t="s"/>
      <c r="H1905" t="s"/>
      <c r="I1905" t="s"/>
      <c r="J1905" t="n">
        <v>0.8689</v>
      </c>
      <c r="K1905" t="n">
        <v>0</v>
      </c>
      <c r="L1905" t="n">
        <v>0.62</v>
      </c>
      <c r="M1905" t="n">
        <v>0.38</v>
      </c>
    </row>
    <row r="1906" spans="1:13">
      <c r="A1906" s="1">
        <f>HYPERLINK("http://www.twitter.com/NathanBLawrence/status/984820320287719424", "984820320287719424")</f>
        <v/>
      </c>
      <c r="B1906" s="2" t="n">
        <v>43203.65782407407</v>
      </c>
      <c r="C1906" t="n">
        <v>6</v>
      </c>
      <c r="D1906" t="n">
        <v>4</v>
      </c>
      <c r="E1906" t="s">
        <v>1917</v>
      </c>
      <c r="F1906" t="s"/>
      <c r="G1906" t="s"/>
      <c r="H1906" t="s"/>
      <c r="I1906" t="s"/>
      <c r="J1906" t="n">
        <v>0.1386</v>
      </c>
      <c r="K1906" t="n">
        <v>0.089</v>
      </c>
      <c r="L1906" t="n">
        <v>0.805</v>
      </c>
      <c r="M1906" t="n">
        <v>0.106</v>
      </c>
    </row>
    <row r="1907" spans="1:13">
      <c r="A1907" s="1">
        <f>HYPERLINK("http://www.twitter.com/NathanBLawrence/status/984806289804025858", "984806289804025858")</f>
        <v/>
      </c>
      <c r="B1907" s="2" t="n">
        <v>43203.61909722222</v>
      </c>
      <c r="C1907" t="n">
        <v>0</v>
      </c>
      <c r="D1907" t="n">
        <v>0</v>
      </c>
      <c r="E1907" t="s">
        <v>1918</v>
      </c>
      <c r="F1907">
        <f>HYPERLINK("http://pbs.twimg.com/media/Daq8GKtVMAAQbho.jpg", "http://pbs.twimg.com/media/Daq8GKtVMAAQbho.jpg")</f>
        <v/>
      </c>
      <c r="G1907" t="s"/>
      <c r="H1907" t="s"/>
      <c r="I1907" t="s"/>
      <c r="J1907" t="n">
        <v>0</v>
      </c>
      <c r="K1907" t="n">
        <v>0</v>
      </c>
      <c r="L1907" t="n">
        <v>1</v>
      </c>
      <c r="M1907" t="n">
        <v>0</v>
      </c>
    </row>
    <row r="1908" spans="1:13">
      <c r="A1908" s="1">
        <f>HYPERLINK("http://www.twitter.com/NathanBLawrence/status/984803902922076161", "984803902922076161")</f>
        <v/>
      </c>
      <c r="B1908" s="2" t="n">
        <v>43203.61251157407</v>
      </c>
      <c r="C1908" t="n">
        <v>0</v>
      </c>
      <c r="D1908" t="n">
        <v>0</v>
      </c>
      <c r="E1908" t="s">
        <v>1919</v>
      </c>
      <c r="F1908" t="s"/>
      <c r="G1908" t="s"/>
      <c r="H1908" t="s"/>
      <c r="I1908" t="s"/>
      <c r="J1908" t="n">
        <v>0.9244</v>
      </c>
      <c r="K1908" t="n">
        <v>0.067</v>
      </c>
      <c r="L1908" t="n">
        <v>0.611</v>
      </c>
      <c r="M1908" t="n">
        <v>0.322</v>
      </c>
    </row>
    <row r="1909" spans="1:13">
      <c r="A1909" s="1">
        <f>HYPERLINK("http://www.twitter.com/NathanBLawrence/status/984798432136171520", "984798432136171520")</f>
        <v/>
      </c>
      <c r="B1909" s="2" t="n">
        <v>43203.59741898148</v>
      </c>
      <c r="C1909" t="n">
        <v>1</v>
      </c>
      <c r="D1909" t="n">
        <v>0</v>
      </c>
      <c r="E1909" t="s">
        <v>1920</v>
      </c>
      <c r="F1909" t="s"/>
      <c r="G1909" t="s"/>
      <c r="H1909" t="s"/>
      <c r="I1909" t="s"/>
      <c r="J1909" t="n">
        <v>0.5826</v>
      </c>
      <c r="K1909" t="n">
        <v>0</v>
      </c>
      <c r="L1909" t="n">
        <v>0.744</v>
      </c>
      <c r="M1909" t="n">
        <v>0.256</v>
      </c>
    </row>
    <row r="1910" spans="1:13">
      <c r="A1910" s="1">
        <f>HYPERLINK("http://www.twitter.com/NathanBLawrence/status/984798234651611136", "984798234651611136")</f>
        <v/>
      </c>
      <c r="B1910" s="2" t="n">
        <v>43203.596875</v>
      </c>
      <c r="C1910" t="n">
        <v>2</v>
      </c>
      <c r="D1910" t="n">
        <v>0</v>
      </c>
      <c r="E1910" t="s">
        <v>1921</v>
      </c>
      <c r="F1910" t="s"/>
      <c r="G1910" t="s"/>
      <c r="H1910" t="s"/>
      <c r="I1910" t="s"/>
      <c r="J1910" t="n">
        <v>0.3182</v>
      </c>
      <c r="K1910" t="n">
        <v>0</v>
      </c>
      <c r="L1910" t="n">
        <v>0.635</v>
      </c>
      <c r="M1910" t="n">
        <v>0.365</v>
      </c>
    </row>
    <row r="1911" spans="1:13">
      <c r="A1911" s="1">
        <f>HYPERLINK("http://www.twitter.com/NathanBLawrence/status/984797957353558017", "984797957353558017")</f>
        <v/>
      </c>
      <c r="B1911" s="2" t="n">
        <v>43203.59611111111</v>
      </c>
      <c r="C1911" t="n">
        <v>0</v>
      </c>
      <c r="D1911" t="n">
        <v>0</v>
      </c>
      <c r="E1911" t="s">
        <v>1922</v>
      </c>
      <c r="F1911" t="s"/>
      <c r="G1911" t="s"/>
      <c r="H1911" t="s"/>
      <c r="I1911" t="s"/>
      <c r="J1911" t="n">
        <v>0.6705</v>
      </c>
      <c r="K1911" t="n">
        <v>0</v>
      </c>
      <c r="L1911" t="n">
        <v>0.6899999999999999</v>
      </c>
      <c r="M1911" t="n">
        <v>0.31</v>
      </c>
    </row>
    <row r="1912" spans="1:13">
      <c r="A1912" s="1">
        <f>HYPERLINK("http://www.twitter.com/NathanBLawrence/status/984797523809308673", "984797523809308673")</f>
        <v/>
      </c>
      <c r="B1912" s="2" t="n">
        <v>43203.59490740741</v>
      </c>
      <c r="C1912" t="n">
        <v>1</v>
      </c>
      <c r="D1912" t="n">
        <v>0</v>
      </c>
      <c r="E1912" t="s">
        <v>1923</v>
      </c>
      <c r="F1912" t="s"/>
      <c r="G1912" t="s"/>
      <c r="H1912" t="s"/>
      <c r="I1912" t="s"/>
      <c r="J1912" t="n">
        <v>0</v>
      </c>
      <c r="K1912" t="n">
        <v>0</v>
      </c>
      <c r="L1912" t="n">
        <v>1</v>
      </c>
      <c r="M1912" t="n">
        <v>0</v>
      </c>
    </row>
    <row r="1913" spans="1:13">
      <c r="A1913" s="1">
        <f>HYPERLINK("http://www.twitter.com/NathanBLawrence/status/984797107155554304", "984797107155554304")</f>
        <v/>
      </c>
      <c r="B1913" s="2" t="n">
        <v>43203.59376157408</v>
      </c>
      <c r="C1913" t="n">
        <v>0</v>
      </c>
      <c r="D1913" t="n">
        <v>0</v>
      </c>
      <c r="E1913" t="s">
        <v>1924</v>
      </c>
      <c r="F1913" t="s"/>
      <c r="G1913" t="s"/>
      <c r="H1913" t="s"/>
      <c r="I1913" t="s"/>
      <c r="J1913" t="n">
        <v>0.5106000000000001</v>
      </c>
      <c r="K1913" t="n">
        <v>0</v>
      </c>
      <c r="L1913" t="n">
        <v>0.732</v>
      </c>
      <c r="M1913" t="n">
        <v>0.268</v>
      </c>
    </row>
    <row r="1914" spans="1:13">
      <c r="A1914" s="1">
        <f>HYPERLINK("http://www.twitter.com/NathanBLawrence/status/984794729706598400", "984794729706598400")</f>
        <v/>
      </c>
      <c r="B1914" s="2" t="n">
        <v>43203.58719907407</v>
      </c>
      <c r="C1914" t="n">
        <v>1</v>
      </c>
      <c r="D1914" t="n">
        <v>0</v>
      </c>
      <c r="E1914" t="s">
        <v>1925</v>
      </c>
      <c r="F1914" t="s"/>
      <c r="G1914" t="s"/>
      <c r="H1914" t="s"/>
      <c r="I1914" t="s"/>
      <c r="J1914" t="n">
        <v>0</v>
      </c>
      <c r="K1914" t="n">
        <v>0</v>
      </c>
      <c r="L1914" t="n">
        <v>1</v>
      </c>
      <c r="M1914" t="n">
        <v>0</v>
      </c>
    </row>
    <row r="1915" spans="1:13">
      <c r="A1915" s="1">
        <f>HYPERLINK("http://www.twitter.com/NathanBLawrence/status/984793918737797120", "984793918737797120")</f>
        <v/>
      </c>
      <c r="B1915" s="2" t="n">
        <v>43203.58496527778</v>
      </c>
      <c r="C1915" t="n">
        <v>0</v>
      </c>
      <c r="D1915" t="n">
        <v>2</v>
      </c>
      <c r="E1915" t="s">
        <v>1926</v>
      </c>
      <c r="F1915">
        <f>HYPERLINK("http://pbs.twimg.com/media/Daqg62GX4AAezV2.jpg", "http://pbs.twimg.com/media/Daqg62GX4AAezV2.jpg")</f>
        <v/>
      </c>
      <c r="G1915" t="s"/>
      <c r="H1915" t="s"/>
      <c r="I1915" t="s"/>
      <c r="J1915" t="n">
        <v>0</v>
      </c>
      <c r="K1915" t="n">
        <v>0</v>
      </c>
      <c r="L1915" t="n">
        <v>1</v>
      </c>
      <c r="M1915" t="n">
        <v>0</v>
      </c>
    </row>
    <row r="1916" spans="1:13">
      <c r="A1916" s="1">
        <f>HYPERLINK("http://www.twitter.com/NathanBLawrence/status/984791350372700160", "984791350372700160")</f>
        <v/>
      </c>
      <c r="B1916" s="2" t="n">
        <v>43203.57788194445</v>
      </c>
      <c r="C1916" t="n">
        <v>3</v>
      </c>
      <c r="D1916" t="n">
        <v>0</v>
      </c>
      <c r="E1916" t="s">
        <v>1927</v>
      </c>
      <c r="F1916" t="s"/>
      <c r="G1916" t="s"/>
      <c r="H1916" t="s"/>
      <c r="I1916" t="s"/>
      <c r="J1916" t="n">
        <v>0.9572000000000001</v>
      </c>
      <c r="K1916" t="n">
        <v>0</v>
      </c>
      <c r="L1916" t="n">
        <v>0.373</v>
      </c>
      <c r="M1916" t="n">
        <v>0.627</v>
      </c>
    </row>
    <row r="1917" spans="1:13">
      <c r="A1917" s="1">
        <f>HYPERLINK("http://www.twitter.com/NathanBLawrence/status/984790123375099904", "984790123375099904")</f>
        <v/>
      </c>
      <c r="B1917" s="2" t="n">
        <v>43203.57449074074</v>
      </c>
      <c r="C1917" t="n">
        <v>0</v>
      </c>
      <c r="D1917" t="n">
        <v>0</v>
      </c>
      <c r="E1917" t="s">
        <v>1928</v>
      </c>
      <c r="F1917" t="s"/>
      <c r="G1917" t="s"/>
      <c r="H1917" t="s"/>
      <c r="I1917" t="s"/>
      <c r="J1917" t="n">
        <v>0</v>
      </c>
      <c r="K1917" t="n">
        <v>0</v>
      </c>
      <c r="L1917" t="n">
        <v>1</v>
      </c>
      <c r="M1917" t="n">
        <v>0</v>
      </c>
    </row>
    <row r="1918" spans="1:13">
      <c r="A1918" s="1">
        <f>HYPERLINK("http://www.twitter.com/NathanBLawrence/status/984789733644603392", "984789733644603392")</f>
        <v/>
      </c>
      <c r="B1918" s="2" t="n">
        <v>43203.57341435185</v>
      </c>
      <c r="C1918" t="n">
        <v>1</v>
      </c>
      <c r="D1918" t="n">
        <v>1</v>
      </c>
      <c r="E1918" t="s">
        <v>1929</v>
      </c>
      <c r="F1918" t="s"/>
      <c r="G1918" t="s"/>
      <c r="H1918" t="s"/>
      <c r="I1918" t="s"/>
      <c r="J1918" t="n">
        <v>0</v>
      </c>
      <c r="K1918" t="n">
        <v>0</v>
      </c>
      <c r="L1918" t="n">
        <v>1</v>
      </c>
      <c r="M1918" t="n">
        <v>0</v>
      </c>
    </row>
    <row r="1919" spans="1:13">
      <c r="A1919" s="1">
        <f>HYPERLINK("http://www.twitter.com/NathanBLawrence/status/984789455927209984", "984789455927209984")</f>
        <v/>
      </c>
      <c r="B1919" s="2" t="n">
        <v>43203.57265046296</v>
      </c>
      <c r="C1919" t="n">
        <v>0</v>
      </c>
      <c r="D1919" t="n">
        <v>9</v>
      </c>
      <c r="E1919" t="s">
        <v>1930</v>
      </c>
      <c r="F1919" t="s"/>
      <c r="G1919" t="s"/>
      <c r="H1919" t="s"/>
      <c r="I1919" t="s"/>
      <c r="J1919" t="n">
        <v>0</v>
      </c>
      <c r="K1919" t="n">
        <v>0</v>
      </c>
      <c r="L1919" t="n">
        <v>1</v>
      </c>
      <c r="M1919" t="n">
        <v>0</v>
      </c>
    </row>
    <row r="1920" spans="1:13">
      <c r="A1920" s="1">
        <f>HYPERLINK("http://www.twitter.com/NathanBLawrence/status/984789077617709056", "984789077617709056")</f>
        <v/>
      </c>
      <c r="B1920" s="2" t="n">
        <v>43203.57160879629</v>
      </c>
      <c r="C1920" t="n">
        <v>1</v>
      </c>
      <c r="D1920" t="n">
        <v>0</v>
      </c>
      <c r="E1920" t="s">
        <v>1931</v>
      </c>
      <c r="F1920" t="s"/>
      <c r="G1920" t="s"/>
      <c r="H1920" t="s"/>
      <c r="I1920" t="s"/>
      <c r="J1920" t="n">
        <v>0</v>
      </c>
      <c r="K1920" t="n">
        <v>0</v>
      </c>
      <c r="L1920" t="n">
        <v>1</v>
      </c>
      <c r="M1920" t="n">
        <v>0</v>
      </c>
    </row>
    <row r="1921" spans="1:13">
      <c r="A1921" s="1">
        <f>HYPERLINK("http://www.twitter.com/NathanBLawrence/status/984787268346023936", "984787268346023936")</f>
        <v/>
      </c>
      <c r="B1921" s="2" t="n">
        <v>43203.5666087963</v>
      </c>
      <c r="C1921" t="n">
        <v>0</v>
      </c>
      <c r="D1921" t="n">
        <v>8</v>
      </c>
      <c r="E1921" t="s">
        <v>1932</v>
      </c>
      <c r="F1921" t="s"/>
      <c r="G1921" t="s"/>
      <c r="H1921" t="s"/>
      <c r="I1921" t="s"/>
      <c r="J1921" t="n">
        <v>0.3612</v>
      </c>
      <c r="K1921" t="n">
        <v>0</v>
      </c>
      <c r="L1921" t="n">
        <v>0.865</v>
      </c>
      <c r="M1921" t="n">
        <v>0.135</v>
      </c>
    </row>
    <row r="1922" spans="1:13">
      <c r="A1922" s="1">
        <f>HYPERLINK("http://www.twitter.com/NathanBLawrence/status/984774846725939200", "984774846725939200")</f>
        <v/>
      </c>
      <c r="B1922" s="2" t="n">
        <v>43203.53233796296</v>
      </c>
      <c r="C1922" t="n">
        <v>3</v>
      </c>
      <c r="D1922" t="n">
        <v>0</v>
      </c>
      <c r="E1922" t="s">
        <v>1933</v>
      </c>
      <c r="F1922" t="s"/>
      <c r="G1922" t="s"/>
      <c r="H1922" t="s"/>
      <c r="I1922" t="s"/>
      <c r="J1922" t="n">
        <v>-0.7088</v>
      </c>
      <c r="K1922" t="n">
        <v>0.29</v>
      </c>
      <c r="L1922" t="n">
        <v>0.71</v>
      </c>
      <c r="M1922" t="n">
        <v>0</v>
      </c>
    </row>
    <row r="1923" spans="1:13">
      <c r="A1923" s="1">
        <f>HYPERLINK("http://www.twitter.com/NathanBLawrence/status/984774530894790657", "984774530894790657")</f>
        <v/>
      </c>
      <c r="B1923" s="2" t="n">
        <v>43203.53146990741</v>
      </c>
      <c r="C1923" t="n">
        <v>7</v>
      </c>
      <c r="D1923" t="n">
        <v>2</v>
      </c>
      <c r="E1923" t="s">
        <v>1934</v>
      </c>
      <c r="F1923" t="s"/>
      <c r="G1923" t="s"/>
      <c r="H1923" t="s"/>
      <c r="I1923" t="s"/>
      <c r="J1923" t="n">
        <v>0</v>
      </c>
      <c r="K1923" t="n">
        <v>0</v>
      </c>
      <c r="L1923" t="n">
        <v>1</v>
      </c>
      <c r="M1923" t="n">
        <v>0</v>
      </c>
    </row>
    <row r="1924" spans="1:13">
      <c r="A1924" s="1">
        <f>HYPERLINK("http://www.twitter.com/NathanBLawrence/status/984770024253657088", "984770024253657088")</f>
        <v/>
      </c>
      <c r="B1924" s="2" t="n">
        <v>43203.51902777778</v>
      </c>
      <c r="C1924" t="n">
        <v>2</v>
      </c>
      <c r="D1924" t="n">
        <v>1</v>
      </c>
      <c r="E1924" t="s">
        <v>1935</v>
      </c>
      <c r="F1924" t="s"/>
      <c r="G1924" t="s"/>
      <c r="H1924" t="s"/>
      <c r="I1924" t="s"/>
      <c r="J1924" t="n">
        <v>0.3612</v>
      </c>
      <c r="K1924" t="n">
        <v>0</v>
      </c>
      <c r="L1924" t="n">
        <v>0.889</v>
      </c>
      <c r="M1924" t="n">
        <v>0.111</v>
      </c>
    </row>
    <row r="1925" spans="1:13">
      <c r="A1925" s="1">
        <f>HYPERLINK("http://www.twitter.com/NathanBLawrence/status/984755169991720961", "984755169991720961")</f>
        <v/>
      </c>
      <c r="B1925" s="2" t="n">
        <v>43203.47804398148</v>
      </c>
      <c r="C1925" t="n">
        <v>0</v>
      </c>
      <c r="D1925" t="n">
        <v>0</v>
      </c>
      <c r="E1925" t="s">
        <v>1936</v>
      </c>
      <c r="F1925" t="s"/>
      <c r="G1925" t="s"/>
      <c r="H1925" t="s"/>
      <c r="I1925" t="s"/>
      <c r="J1925" t="n">
        <v>0</v>
      </c>
      <c r="K1925" t="n">
        <v>0</v>
      </c>
      <c r="L1925" t="n">
        <v>1</v>
      </c>
      <c r="M1925" t="n">
        <v>0</v>
      </c>
    </row>
    <row r="1926" spans="1:13">
      <c r="A1926" s="1">
        <f>HYPERLINK("http://www.twitter.com/NathanBLawrence/status/984753597236772865", "984753597236772865")</f>
        <v/>
      </c>
      <c r="B1926" s="2" t="n">
        <v>43203.4737037037</v>
      </c>
      <c r="C1926" t="n">
        <v>0</v>
      </c>
      <c r="D1926" t="n">
        <v>0</v>
      </c>
      <c r="E1926" t="s">
        <v>1937</v>
      </c>
      <c r="F1926" t="s"/>
      <c r="G1926" t="s"/>
      <c r="H1926" t="s"/>
      <c r="I1926" t="s"/>
      <c r="J1926" t="n">
        <v>0</v>
      </c>
      <c r="K1926" t="n">
        <v>0</v>
      </c>
      <c r="L1926" t="n">
        <v>1</v>
      </c>
      <c r="M1926" t="n">
        <v>0</v>
      </c>
    </row>
    <row r="1927" spans="1:13">
      <c r="A1927" s="1">
        <f>HYPERLINK("http://www.twitter.com/NathanBLawrence/status/984753255229116417", "984753255229116417")</f>
        <v/>
      </c>
      <c r="B1927" s="2" t="n">
        <v>43203.47275462963</v>
      </c>
      <c r="C1927" t="n">
        <v>0</v>
      </c>
      <c r="D1927" t="n">
        <v>0</v>
      </c>
      <c r="E1927" t="s">
        <v>1938</v>
      </c>
      <c r="F1927" t="s"/>
      <c r="G1927" t="s"/>
      <c r="H1927" t="s"/>
      <c r="I1927" t="s"/>
      <c r="J1927" t="n">
        <v>-0.7089</v>
      </c>
      <c r="K1927" t="n">
        <v>0.83</v>
      </c>
      <c r="L1927" t="n">
        <v>0.17</v>
      </c>
      <c r="M1927" t="n">
        <v>0</v>
      </c>
    </row>
    <row r="1928" spans="1:13">
      <c r="A1928" s="1">
        <f>HYPERLINK("http://www.twitter.com/NathanBLawrence/status/984752768073289728", "984752768073289728")</f>
        <v/>
      </c>
      <c r="B1928" s="2" t="n">
        <v>43203.47141203703</v>
      </c>
      <c r="C1928" t="n">
        <v>0</v>
      </c>
      <c r="D1928" t="n">
        <v>12</v>
      </c>
      <c r="E1928" t="s">
        <v>1939</v>
      </c>
      <c r="F1928">
        <f>HYPERLINK("http://pbs.twimg.com/media/DaounTNUMAERpo0.jpg", "http://pbs.twimg.com/media/DaounTNUMAERpo0.jpg")</f>
        <v/>
      </c>
      <c r="G1928">
        <f>HYPERLINK("http://pbs.twimg.com/media/DaounTMU0AAyFjr.jpg", "http://pbs.twimg.com/media/DaounTMU0AAyFjr.jpg")</f>
        <v/>
      </c>
      <c r="H1928">
        <f>HYPERLINK("http://pbs.twimg.com/media/DaounTKU0AAoZv-.jpg", "http://pbs.twimg.com/media/DaounTKU0AAoZv-.jpg")</f>
        <v/>
      </c>
      <c r="I1928">
        <f>HYPERLINK("http://pbs.twimg.com/media/DaounTKUwAAk7Jq.jpg", "http://pbs.twimg.com/media/DaounTKUwAAk7Jq.jpg")</f>
        <v/>
      </c>
      <c r="J1928" t="n">
        <v>0.6093</v>
      </c>
      <c r="K1928" t="n">
        <v>0.058</v>
      </c>
      <c r="L1928" t="n">
        <v>0.731</v>
      </c>
      <c r="M1928" t="n">
        <v>0.211</v>
      </c>
    </row>
    <row r="1929" spans="1:13">
      <c r="A1929" s="1">
        <f>HYPERLINK("http://www.twitter.com/NathanBLawrence/status/984752538707791872", "984752538707791872")</f>
        <v/>
      </c>
      <c r="B1929" s="2" t="n">
        <v>43203.47077546296</v>
      </c>
      <c r="C1929" t="n">
        <v>3</v>
      </c>
      <c r="D1929" t="n">
        <v>2</v>
      </c>
      <c r="E1929" t="s">
        <v>1940</v>
      </c>
      <c r="F1929" t="s"/>
      <c r="G1929" t="s"/>
      <c r="H1929" t="s"/>
      <c r="I1929" t="s"/>
      <c r="J1929" t="n">
        <v>0.5158</v>
      </c>
      <c r="K1929" t="n">
        <v>0</v>
      </c>
      <c r="L1929" t="n">
        <v>0.913</v>
      </c>
      <c r="M1929" t="n">
        <v>0.08699999999999999</v>
      </c>
    </row>
    <row r="1930" spans="1:13">
      <c r="A1930" s="1">
        <f>HYPERLINK("http://www.twitter.com/NathanBLawrence/status/984751898841567232", "984751898841567232")</f>
        <v/>
      </c>
      <c r="B1930" s="2" t="n">
        <v>43203.4690162037</v>
      </c>
      <c r="C1930" t="n">
        <v>4</v>
      </c>
      <c r="D1930" t="n">
        <v>1</v>
      </c>
      <c r="E1930" t="s">
        <v>1941</v>
      </c>
      <c r="F1930" t="s"/>
      <c r="G1930" t="s"/>
      <c r="H1930" t="s"/>
      <c r="I1930" t="s"/>
      <c r="J1930" t="n">
        <v>-0.8917</v>
      </c>
      <c r="K1930" t="n">
        <v>0.249</v>
      </c>
      <c r="L1930" t="n">
        <v>0.751</v>
      </c>
      <c r="M1930" t="n">
        <v>0</v>
      </c>
    </row>
    <row r="1931" spans="1:13">
      <c r="A1931" s="1">
        <f>HYPERLINK("http://www.twitter.com/NathanBLawrence/status/984646213474635778", "984646213474635778")</f>
        <v/>
      </c>
      <c r="B1931" s="2" t="n">
        <v>43203.17737268518</v>
      </c>
      <c r="C1931" t="n">
        <v>0</v>
      </c>
      <c r="D1931" t="n">
        <v>0</v>
      </c>
      <c r="E1931" t="s">
        <v>1942</v>
      </c>
      <c r="F1931" t="s"/>
      <c r="G1931" t="s"/>
      <c r="H1931" t="s"/>
      <c r="I1931" t="s"/>
      <c r="J1931" t="n">
        <v>0.5106000000000001</v>
      </c>
      <c r="K1931" t="n">
        <v>0</v>
      </c>
      <c r="L1931" t="n">
        <v>0.732</v>
      </c>
      <c r="M1931" t="n">
        <v>0.268</v>
      </c>
    </row>
    <row r="1932" spans="1:13">
      <c r="A1932" s="1">
        <f>HYPERLINK("http://www.twitter.com/NathanBLawrence/status/984645495787261952", "984645495787261952")</f>
        <v/>
      </c>
      <c r="B1932" s="2" t="n">
        <v>43203.17539351852</v>
      </c>
      <c r="C1932" t="n">
        <v>0</v>
      </c>
      <c r="D1932" t="n">
        <v>0</v>
      </c>
      <c r="E1932" t="s">
        <v>1943</v>
      </c>
      <c r="F1932" t="s"/>
      <c r="G1932" t="s"/>
      <c r="H1932" t="s"/>
      <c r="I1932" t="s"/>
      <c r="J1932" t="n">
        <v>-0.504</v>
      </c>
      <c r="K1932" t="n">
        <v>0.169</v>
      </c>
      <c r="L1932" t="n">
        <v>0.831</v>
      </c>
      <c r="M1932" t="n">
        <v>0</v>
      </c>
    </row>
    <row r="1933" spans="1:13">
      <c r="A1933" s="1">
        <f>HYPERLINK("http://www.twitter.com/NathanBLawrence/status/984642914423853056", "984642914423853056")</f>
        <v/>
      </c>
      <c r="B1933" s="2" t="n">
        <v>43203.16827546297</v>
      </c>
      <c r="C1933" t="n">
        <v>0</v>
      </c>
      <c r="D1933" t="n">
        <v>0</v>
      </c>
      <c r="E1933" t="s">
        <v>1944</v>
      </c>
      <c r="F1933" t="s"/>
      <c r="G1933" t="s"/>
      <c r="H1933" t="s"/>
      <c r="I1933" t="s"/>
      <c r="J1933" t="n">
        <v>0</v>
      </c>
      <c r="K1933" t="n">
        <v>0</v>
      </c>
      <c r="L1933" t="n">
        <v>1</v>
      </c>
      <c r="M1933" t="n">
        <v>0</v>
      </c>
    </row>
    <row r="1934" spans="1:13">
      <c r="A1934" s="1">
        <f>HYPERLINK("http://www.twitter.com/NathanBLawrence/status/984642787739164673", "984642787739164673")</f>
        <v/>
      </c>
      <c r="B1934" s="2" t="n">
        <v>43203.16792824074</v>
      </c>
      <c r="C1934" t="n">
        <v>0</v>
      </c>
      <c r="D1934" t="n">
        <v>0</v>
      </c>
      <c r="E1934" t="s">
        <v>1945</v>
      </c>
      <c r="F1934" t="s"/>
      <c r="G1934" t="s"/>
      <c r="H1934" t="s"/>
      <c r="I1934" t="s"/>
      <c r="J1934" t="n">
        <v>0</v>
      </c>
      <c r="K1934" t="n">
        <v>0</v>
      </c>
      <c r="L1934" t="n">
        <v>1</v>
      </c>
      <c r="M1934" t="n">
        <v>0</v>
      </c>
    </row>
    <row r="1935" spans="1:13">
      <c r="A1935" s="1">
        <f>HYPERLINK("http://www.twitter.com/NathanBLawrence/status/984640709968957441", "984640709968957441")</f>
        <v/>
      </c>
      <c r="B1935" s="2" t="n">
        <v>43203.1621875</v>
      </c>
      <c r="C1935" t="n">
        <v>0</v>
      </c>
      <c r="D1935" t="n">
        <v>0</v>
      </c>
      <c r="E1935" t="s">
        <v>1946</v>
      </c>
      <c r="F1935" t="s"/>
      <c r="G1935" t="s"/>
      <c r="H1935" t="s"/>
      <c r="I1935" t="s"/>
      <c r="J1935" t="n">
        <v>-0.3595</v>
      </c>
      <c r="K1935" t="n">
        <v>0.111</v>
      </c>
      <c r="L1935" t="n">
        <v>0.889</v>
      </c>
      <c r="M1935" t="n">
        <v>0</v>
      </c>
    </row>
    <row r="1936" spans="1:13">
      <c r="A1936" s="1">
        <f>HYPERLINK("http://www.twitter.com/NathanBLawrence/status/984640261094600704", "984640261094600704")</f>
        <v/>
      </c>
      <c r="B1936" s="2" t="n">
        <v>43203.16094907407</v>
      </c>
      <c r="C1936" t="n">
        <v>1</v>
      </c>
      <c r="D1936" t="n">
        <v>1</v>
      </c>
      <c r="E1936" t="s">
        <v>1947</v>
      </c>
      <c r="F1936" t="s"/>
      <c r="G1936" t="s"/>
      <c r="H1936" t="s"/>
      <c r="I1936" t="s"/>
      <c r="J1936" t="n">
        <v>0.0772</v>
      </c>
      <c r="K1936" t="n">
        <v>0.095</v>
      </c>
      <c r="L1936" t="n">
        <v>0.779</v>
      </c>
      <c r="M1936" t="n">
        <v>0.127</v>
      </c>
    </row>
    <row r="1937" spans="1:13">
      <c r="A1937" s="1">
        <f>HYPERLINK("http://www.twitter.com/NathanBLawrence/status/984639780167344128", "984639780167344128")</f>
        <v/>
      </c>
      <c r="B1937" s="2" t="n">
        <v>43203.15961805556</v>
      </c>
      <c r="C1937" t="n">
        <v>0</v>
      </c>
      <c r="D1937" t="n">
        <v>0</v>
      </c>
      <c r="E1937" t="s">
        <v>1948</v>
      </c>
      <c r="F1937" t="s"/>
      <c r="G1937" t="s"/>
      <c r="H1937" t="s"/>
      <c r="I1937" t="s"/>
      <c r="J1937" t="n">
        <v>0</v>
      </c>
      <c r="K1937" t="n">
        <v>0</v>
      </c>
      <c r="L1937" t="n">
        <v>1</v>
      </c>
      <c r="M1937" t="n">
        <v>0</v>
      </c>
    </row>
    <row r="1938" spans="1:13">
      <c r="A1938" s="1">
        <f>HYPERLINK("http://www.twitter.com/NathanBLawrence/status/984639277920346112", "984639277920346112")</f>
        <v/>
      </c>
      <c r="B1938" s="2" t="n">
        <v>43203.15824074074</v>
      </c>
      <c r="C1938" t="n">
        <v>0</v>
      </c>
      <c r="D1938" t="n">
        <v>2771</v>
      </c>
      <c r="E1938" t="s">
        <v>1949</v>
      </c>
      <c r="F1938">
        <f>HYPERLINK("http://pbs.twimg.com/media/DGFPGpcU0AAATk-.jpg", "http://pbs.twimg.com/media/DGFPGpcU0AAATk-.jpg")</f>
        <v/>
      </c>
      <c r="G1938" t="s"/>
      <c r="H1938" t="s"/>
      <c r="I1938" t="s"/>
      <c r="J1938" t="n">
        <v>0</v>
      </c>
      <c r="K1938" t="n">
        <v>0</v>
      </c>
      <c r="L1938" t="n">
        <v>1</v>
      </c>
      <c r="M1938" t="n">
        <v>0</v>
      </c>
    </row>
    <row r="1939" spans="1:13">
      <c r="A1939" s="1">
        <f>HYPERLINK("http://www.twitter.com/NathanBLawrence/status/984638858959753216", "984638858959753216")</f>
        <v/>
      </c>
      <c r="B1939" s="2" t="n">
        <v>43203.15708333333</v>
      </c>
      <c r="C1939" t="n">
        <v>0</v>
      </c>
      <c r="D1939" t="n">
        <v>0</v>
      </c>
      <c r="E1939" t="s">
        <v>1950</v>
      </c>
      <c r="F1939" t="s"/>
      <c r="G1939" t="s"/>
      <c r="H1939" t="s"/>
      <c r="I1939" t="s"/>
      <c r="J1939" t="n">
        <v>-0.6808</v>
      </c>
      <c r="K1939" t="n">
        <v>0.126</v>
      </c>
      <c r="L1939" t="n">
        <v>0.874</v>
      </c>
      <c r="M1939" t="n">
        <v>0</v>
      </c>
    </row>
    <row r="1940" spans="1:13">
      <c r="A1940" s="1">
        <f>HYPERLINK("http://www.twitter.com/NathanBLawrence/status/984638447418781701", "984638447418781701")</f>
        <v/>
      </c>
      <c r="B1940" s="2" t="n">
        <v>43203.15594907408</v>
      </c>
      <c r="C1940" t="n">
        <v>0</v>
      </c>
      <c r="D1940" t="n">
        <v>1</v>
      </c>
      <c r="E1940" t="s">
        <v>1951</v>
      </c>
      <c r="F1940" t="s"/>
      <c r="G1940" t="s"/>
      <c r="H1940" t="s"/>
      <c r="I1940" t="s"/>
      <c r="J1940" t="n">
        <v>0</v>
      </c>
      <c r="K1940" t="n">
        <v>0</v>
      </c>
      <c r="L1940" t="n">
        <v>1</v>
      </c>
      <c r="M1940" t="n">
        <v>0</v>
      </c>
    </row>
    <row r="1941" spans="1:13">
      <c r="A1941" s="1">
        <f>HYPERLINK("http://www.twitter.com/NathanBLawrence/status/984637988041785344", "984637988041785344")</f>
        <v/>
      </c>
      <c r="B1941" s="2" t="n">
        <v>43203.15467592593</v>
      </c>
      <c r="C1941" t="n">
        <v>2</v>
      </c>
      <c r="D1941" t="n">
        <v>1</v>
      </c>
      <c r="E1941" t="s">
        <v>1952</v>
      </c>
      <c r="F1941" t="s"/>
      <c r="G1941" t="s"/>
      <c r="H1941" t="s"/>
      <c r="I1941" t="s"/>
      <c r="J1941" t="n">
        <v>0</v>
      </c>
      <c r="K1941" t="n">
        <v>0</v>
      </c>
      <c r="L1941" t="n">
        <v>1</v>
      </c>
      <c r="M1941" t="n">
        <v>0</v>
      </c>
    </row>
    <row r="1942" spans="1:13">
      <c r="A1942" s="1">
        <f>HYPERLINK("http://www.twitter.com/NathanBLawrence/status/984637800334184449", "984637800334184449")</f>
        <v/>
      </c>
      <c r="B1942" s="2" t="n">
        <v>43203.15415509259</v>
      </c>
      <c r="C1942" t="n">
        <v>0</v>
      </c>
      <c r="D1942" t="n">
        <v>2</v>
      </c>
      <c r="E1942" t="s">
        <v>1953</v>
      </c>
      <c r="F1942" t="s"/>
      <c r="G1942" t="s"/>
      <c r="H1942" t="s"/>
      <c r="I1942" t="s"/>
      <c r="J1942" t="n">
        <v>-0.7199</v>
      </c>
      <c r="K1942" t="n">
        <v>0.251</v>
      </c>
      <c r="L1942" t="n">
        <v>0.749</v>
      </c>
      <c r="M1942" t="n">
        <v>0</v>
      </c>
    </row>
    <row r="1943" spans="1:13">
      <c r="A1943" s="1">
        <f>HYPERLINK("http://www.twitter.com/NathanBLawrence/status/984637683279585281", "984637683279585281")</f>
        <v/>
      </c>
      <c r="B1943" s="2" t="n">
        <v>43203.15384259259</v>
      </c>
      <c r="C1943" t="n">
        <v>1</v>
      </c>
      <c r="D1943" t="n">
        <v>0</v>
      </c>
      <c r="E1943" t="s">
        <v>1954</v>
      </c>
      <c r="F1943" t="s"/>
      <c r="G1943" t="s"/>
      <c r="H1943" t="s"/>
      <c r="I1943" t="s"/>
      <c r="J1943" t="n">
        <v>-0.7418</v>
      </c>
      <c r="K1943" t="n">
        <v>0.136</v>
      </c>
      <c r="L1943" t="n">
        <v>0.864</v>
      </c>
      <c r="M1943" t="n">
        <v>0</v>
      </c>
    </row>
    <row r="1944" spans="1:13">
      <c r="A1944" s="1">
        <f>HYPERLINK("http://www.twitter.com/NathanBLawrence/status/984636019470454784", "984636019470454784")</f>
        <v/>
      </c>
      <c r="B1944" s="2" t="n">
        <v>43203.14924768519</v>
      </c>
      <c r="C1944" t="n">
        <v>0</v>
      </c>
      <c r="D1944" t="n">
        <v>15</v>
      </c>
      <c r="E1944" t="s">
        <v>1955</v>
      </c>
      <c r="F1944" t="s"/>
      <c r="G1944" t="s"/>
      <c r="H1944" t="s"/>
      <c r="I1944" t="s"/>
      <c r="J1944" t="n">
        <v>0</v>
      </c>
      <c r="K1944" t="n">
        <v>0</v>
      </c>
      <c r="L1944" t="n">
        <v>1</v>
      </c>
      <c r="M1944" t="n">
        <v>0</v>
      </c>
    </row>
    <row r="1945" spans="1:13">
      <c r="A1945" s="1">
        <f>HYPERLINK("http://www.twitter.com/NathanBLawrence/status/984634490290098177", "984634490290098177")</f>
        <v/>
      </c>
      <c r="B1945" s="2" t="n">
        <v>43203.14502314815</v>
      </c>
      <c r="C1945" t="n">
        <v>0</v>
      </c>
      <c r="D1945" t="n">
        <v>0</v>
      </c>
      <c r="E1945" t="s">
        <v>1956</v>
      </c>
      <c r="F1945" t="s"/>
      <c r="G1945" t="s"/>
      <c r="H1945" t="s"/>
      <c r="I1945" t="s"/>
      <c r="J1945" t="n">
        <v>-0.7734</v>
      </c>
      <c r="K1945" t="n">
        <v>0.21</v>
      </c>
      <c r="L1945" t="n">
        <v>0.748</v>
      </c>
      <c r="M1945" t="n">
        <v>0.042</v>
      </c>
    </row>
    <row r="1946" spans="1:13">
      <c r="A1946" s="1">
        <f>HYPERLINK("http://www.twitter.com/NathanBLawrence/status/984634153843949570", "984634153843949570")</f>
        <v/>
      </c>
      <c r="B1946" s="2" t="n">
        <v>43203.14409722222</v>
      </c>
      <c r="C1946" t="n">
        <v>0</v>
      </c>
      <c r="D1946" t="n">
        <v>0</v>
      </c>
      <c r="E1946" t="s">
        <v>1957</v>
      </c>
      <c r="F1946" t="s"/>
      <c r="G1946" t="s"/>
      <c r="H1946" t="s"/>
      <c r="I1946" t="s"/>
      <c r="J1946" t="n">
        <v>-0.5083</v>
      </c>
      <c r="K1946" t="n">
        <v>0.203</v>
      </c>
      <c r="L1946" t="n">
        <v>0.676</v>
      </c>
      <c r="M1946" t="n">
        <v>0.121</v>
      </c>
    </row>
    <row r="1947" spans="1:13">
      <c r="A1947" s="1">
        <f>HYPERLINK("http://www.twitter.com/NathanBLawrence/status/984633187564474368", "984633187564474368")</f>
        <v/>
      </c>
      <c r="B1947" s="2" t="n">
        <v>43203.14143518519</v>
      </c>
      <c r="C1947" t="n">
        <v>2</v>
      </c>
      <c r="D1947" t="n">
        <v>0</v>
      </c>
      <c r="E1947" t="s">
        <v>1958</v>
      </c>
      <c r="F1947" t="s"/>
      <c r="G1947" t="s"/>
      <c r="H1947" t="s"/>
      <c r="I1947" t="s"/>
      <c r="J1947" t="n">
        <v>-0.8804</v>
      </c>
      <c r="K1947" t="n">
        <v>0.287</v>
      </c>
      <c r="L1947" t="n">
        <v>0.636</v>
      </c>
      <c r="M1947" t="n">
        <v>0.077</v>
      </c>
    </row>
    <row r="1948" spans="1:13">
      <c r="A1948" s="1">
        <f>HYPERLINK("http://www.twitter.com/NathanBLawrence/status/984632632003702784", "984632632003702784")</f>
        <v/>
      </c>
      <c r="B1948" s="2" t="n">
        <v>43203.13989583333</v>
      </c>
      <c r="C1948" t="n">
        <v>0</v>
      </c>
      <c r="D1948" t="n">
        <v>0</v>
      </c>
      <c r="E1948" t="s">
        <v>1959</v>
      </c>
      <c r="F1948" t="s"/>
      <c r="G1948" t="s"/>
      <c r="H1948" t="s"/>
      <c r="I1948" t="s"/>
      <c r="J1948" t="n">
        <v>0</v>
      </c>
      <c r="K1948" t="n">
        <v>0</v>
      </c>
      <c r="L1948" t="n">
        <v>1</v>
      </c>
      <c r="M1948" t="n">
        <v>0</v>
      </c>
    </row>
    <row r="1949" spans="1:13">
      <c r="A1949" s="1">
        <f>HYPERLINK("http://www.twitter.com/NathanBLawrence/status/984632439233531905", "984632439233531905")</f>
        <v/>
      </c>
      <c r="B1949" s="2" t="n">
        <v>43203.13936342593</v>
      </c>
      <c r="C1949" t="n">
        <v>0</v>
      </c>
      <c r="D1949" t="n">
        <v>0</v>
      </c>
      <c r="E1949" t="s">
        <v>1960</v>
      </c>
      <c r="F1949" t="s"/>
      <c r="G1949" t="s"/>
      <c r="H1949" t="s"/>
      <c r="I1949" t="s"/>
      <c r="J1949" t="n">
        <v>-0.743</v>
      </c>
      <c r="K1949" t="n">
        <v>0.181</v>
      </c>
      <c r="L1949" t="n">
        <v>0.769</v>
      </c>
      <c r="M1949" t="n">
        <v>0.05</v>
      </c>
    </row>
    <row r="1950" spans="1:13">
      <c r="A1950" s="1">
        <f>HYPERLINK("http://www.twitter.com/NathanBLawrence/status/984632309386063872", "984632309386063872")</f>
        <v/>
      </c>
      <c r="B1950" s="2" t="n">
        <v>43203.13900462963</v>
      </c>
      <c r="C1950" t="n">
        <v>0</v>
      </c>
      <c r="D1950" t="n">
        <v>0</v>
      </c>
      <c r="E1950" t="s">
        <v>1961</v>
      </c>
      <c r="F1950" t="s"/>
      <c r="G1950" t="s"/>
      <c r="H1950" t="s"/>
      <c r="I1950" t="s"/>
      <c r="J1950" t="n">
        <v>0.7964</v>
      </c>
      <c r="K1950" t="n">
        <v>0</v>
      </c>
      <c r="L1950" t="n">
        <v>0.755</v>
      </c>
      <c r="M1950" t="n">
        <v>0.245</v>
      </c>
    </row>
    <row r="1951" spans="1:13">
      <c r="A1951" s="1">
        <f>HYPERLINK("http://www.twitter.com/NathanBLawrence/status/984631920117125120", "984631920117125120")</f>
        <v/>
      </c>
      <c r="B1951" s="2" t="n">
        <v>43203.13792824074</v>
      </c>
      <c r="C1951" t="n">
        <v>0</v>
      </c>
      <c r="D1951" t="n">
        <v>0</v>
      </c>
      <c r="E1951" t="s">
        <v>1962</v>
      </c>
      <c r="F1951" t="s"/>
      <c r="G1951" t="s"/>
      <c r="H1951" t="s"/>
      <c r="I1951" t="s"/>
      <c r="J1951" t="n">
        <v>-0.0772</v>
      </c>
      <c r="K1951" t="n">
        <v>0.115</v>
      </c>
      <c r="L1951" t="n">
        <v>0.885</v>
      </c>
      <c r="M1951" t="n">
        <v>0</v>
      </c>
    </row>
    <row r="1952" spans="1:13">
      <c r="A1952" s="1">
        <f>HYPERLINK("http://www.twitter.com/NathanBLawrence/status/984631670891601921", "984631670891601921")</f>
        <v/>
      </c>
      <c r="B1952" s="2" t="n">
        <v>43203.13724537037</v>
      </c>
      <c r="C1952" t="n">
        <v>0</v>
      </c>
      <c r="D1952" t="n">
        <v>0</v>
      </c>
      <c r="E1952" t="s">
        <v>1963</v>
      </c>
      <c r="F1952" t="s"/>
      <c r="G1952" t="s"/>
      <c r="H1952" t="s"/>
      <c r="I1952" t="s"/>
      <c r="J1952" t="n">
        <v>-0.8143</v>
      </c>
      <c r="K1952" t="n">
        <v>0.173</v>
      </c>
      <c r="L1952" t="n">
        <v>0.827</v>
      </c>
      <c r="M1952" t="n">
        <v>0</v>
      </c>
    </row>
    <row r="1953" spans="1:13">
      <c r="A1953" s="1">
        <f>HYPERLINK("http://www.twitter.com/NathanBLawrence/status/984631117000134657", "984631117000134657")</f>
        <v/>
      </c>
      <c r="B1953" s="2" t="n">
        <v>43203.1357175926</v>
      </c>
      <c r="C1953" t="n">
        <v>0</v>
      </c>
      <c r="D1953" t="n">
        <v>0</v>
      </c>
      <c r="E1953" t="s">
        <v>1964</v>
      </c>
      <c r="F1953" t="s"/>
      <c r="G1953" t="s"/>
      <c r="H1953" t="s"/>
      <c r="I1953" t="s"/>
      <c r="J1953" t="n">
        <v>0.1531</v>
      </c>
      <c r="K1953" t="n">
        <v>0.169</v>
      </c>
      <c r="L1953" t="n">
        <v>0.615</v>
      </c>
      <c r="M1953" t="n">
        <v>0.215</v>
      </c>
    </row>
    <row r="1954" spans="1:13">
      <c r="A1954" s="1">
        <f>HYPERLINK("http://www.twitter.com/NathanBLawrence/status/984630967515131905", "984630967515131905")</f>
        <v/>
      </c>
      <c r="B1954" s="2" t="n">
        <v>43203.13530092593</v>
      </c>
      <c r="C1954" t="n">
        <v>0</v>
      </c>
      <c r="D1954" t="n">
        <v>0</v>
      </c>
      <c r="E1954" t="s">
        <v>1965</v>
      </c>
      <c r="F1954" t="s"/>
      <c r="G1954" t="s"/>
      <c r="H1954" t="s"/>
      <c r="I1954" t="s"/>
      <c r="J1954" t="n">
        <v>-0.4939</v>
      </c>
      <c r="K1954" t="n">
        <v>0.194</v>
      </c>
      <c r="L1954" t="n">
        <v>0.725</v>
      </c>
      <c r="M1954" t="n">
        <v>0.081</v>
      </c>
    </row>
    <row r="1955" spans="1:13">
      <c r="A1955" s="1">
        <f>HYPERLINK("http://www.twitter.com/NathanBLawrence/status/984630505797808129", "984630505797808129")</f>
        <v/>
      </c>
      <c r="B1955" s="2" t="n">
        <v>43203.13402777778</v>
      </c>
      <c r="C1955" t="n">
        <v>0</v>
      </c>
      <c r="D1955" t="n">
        <v>0</v>
      </c>
      <c r="E1955" t="s">
        <v>1966</v>
      </c>
      <c r="F1955" t="s"/>
      <c r="G1955" t="s"/>
      <c r="H1955" t="s"/>
      <c r="I1955" t="s"/>
      <c r="J1955" t="n">
        <v>0</v>
      </c>
      <c r="K1955" t="n">
        <v>0</v>
      </c>
      <c r="L1955" t="n">
        <v>1</v>
      </c>
      <c r="M1955" t="n">
        <v>0</v>
      </c>
    </row>
    <row r="1956" spans="1:13">
      <c r="A1956" s="1">
        <f>HYPERLINK("http://www.twitter.com/NathanBLawrence/status/984630328571592704", "984630328571592704")</f>
        <v/>
      </c>
      <c r="B1956" s="2" t="n">
        <v>43203.13354166667</v>
      </c>
      <c r="C1956" t="n">
        <v>0</v>
      </c>
      <c r="D1956" t="n">
        <v>0</v>
      </c>
      <c r="E1956" t="s">
        <v>1967</v>
      </c>
      <c r="F1956" t="s"/>
      <c r="G1956" t="s"/>
      <c r="H1956" t="s"/>
      <c r="I1956" t="s"/>
      <c r="J1956" t="n">
        <v>-0.34</v>
      </c>
      <c r="K1956" t="n">
        <v>0.074</v>
      </c>
      <c r="L1956" t="n">
        <v>0.926</v>
      </c>
      <c r="M1956" t="n">
        <v>0</v>
      </c>
    </row>
    <row r="1957" spans="1:13">
      <c r="A1957" s="1">
        <f>HYPERLINK("http://www.twitter.com/NathanBLawrence/status/984630036706791424", "984630036706791424")</f>
        <v/>
      </c>
      <c r="B1957" s="2" t="n">
        <v>43203.13273148148</v>
      </c>
      <c r="C1957" t="n">
        <v>0</v>
      </c>
      <c r="D1957" t="n">
        <v>0</v>
      </c>
      <c r="E1957" t="s">
        <v>1968</v>
      </c>
      <c r="F1957" t="s"/>
      <c r="G1957" t="s"/>
      <c r="H1957" t="s"/>
      <c r="I1957" t="s"/>
      <c r="J1957" t="n">
        <v>-0.1779</v>
      </c>
      <c r="K1957" t="n">
        <v>0.129</v>
      </c>
      <c r="L1957" t="n">
        <v>0.792</v>
      </c>
      <c r="M1957" t="n">
        <v>0.079</v>
      </c>
    </row>
    <row r="1958" spans="1:13">
      <c r="A1958" s="1">
        <f>HYPERLINK("http://www.twitter.com/NathanBLawrence/status/984629728756805632", "984629728756805632")</f>
        <v/>
      </c>
      <c r="B1958" s="2" t="n">
        <v>43203.13188657408</v>
      </c>
      <c r="C1958" t="n">
        <v>0</v>
      </c>
      <c r="D1958" t="n">
        <v>0</v>
      </c>
      <c r="E1958" t="s">
        <v>1969</v>
      </c>
      <c r="F1958" t="s"/>
      <c r="G1958" t="s"/>
      <c r="H1958" t="s"/>
      <c r="I1958" t="s"/>
      <c r="J1958" t="n">
        <v>-0.7776999999999999</v>
      </c>
      <c r="K1958" t="n">
        <v>0.271</v>
      </c>
      <c r="L1958" t="n">
        <v>0.729</v>
      </c>
      <c r="M1958" t="n">
        <v>0</v>
      </c>
    </row>
    <row r="1959" spans="1:13">
      <c r="A1959" s="1">
        <f>HYPERLINK("http://www.twitter.com/NathanBLawrence/status/984629127918604288", "984629127918604288")</f>
        <v/>
      </c>
      <c r="B1959" s="2" t="n">
        <v>43203.13023148148</v>
      </c>
      <c r="C1959" t="n">
        <v>0</v>
      </c>
      <c r="D1959" t="n">
        <v>0</v>
      </c>
      <c r="E1959" t="s">
        <v>1970</v>
      </c>
      <c r="F1959" t="s"/>
      <c r="G1959" t="s"/>
      <c r="H1959" t="s"/>
      <c r="I1959" t="s"/>
      <c r="J1959" t="n">
        <v>-0.296</v>
      </c>
      <c r="K1959" t="n">
        <v>0.306</v>
      </c>
      <c r="L1959" t="n">
        <v>0.694</v>
      </c>
      <c r="M1959" t="n">
        <v>0</v>
      </c>
    </row>
    <row r="1960" spans="1:13">
      <c r="A1960" s="1">
        <f>HYPERLINK("http://www.twitter.com/NathanBLawrence/status/984628788465201152", "984628788465201152")</f>
        <v/>
      </c>
      <c r="B1960" s="2" t="n">
        <v>43203.12929398148</v>
      </c>
      <c r="C1960" t="n">
        <v>1</v>
      </c>
      <c r="D1960" t="n">
        <v>1</v>
      </c>
      <c r="E1960" t="s">
        <v>1971</v>
      </c>
      <c r="F1960" t="s"/>
      <c r="G1960" t="s"/>
      <c r="H1960" t="s"/>
      <c r="I1960" t="s"/>
      <c r="J1960" t="n">
        <v>0</v>
      </c>
      <c r="K1960" t="n">
        <v>0</v>
      </c>
      <c r="L1960" t="n">
        <v>1</v>
      </c>
      <c r="M1960" t="n">
        <v>0</v>
      </c>
    </row>
    <row r="1961" spans="1:13">
      <c r="A1961" s="1">
        <f>HYPERLINK("http://www.twitter.com/NathanBLawrence/status/984628257550159873", "984628257550159873")</f>
        <v/>
      </c>
      <c r="B1961" s="2" t="n">
        <v>43203.12782407407</v>
      </c>
      <c r="C1961" t="n">
        <v>0</v>
      </c>
      <c r="D1961" t="n">
        <v>0</v>
      </c>
      <c r="E1961" t="s">
        <v>1972</v>
      </c>
      <c r="F1961" t="s"/>
      <c r="G1961" t="s"/>
      <c r="H1961" t="s"/>
      <c r="I1961" t="s"/>
      <c r="J1961" t="n">
        <v>-0.7609</v>
      </c>
      <c r="K1961" t="n">
        <v>0.207</v>
      </c>
      <c r="L1961" t="n">
        <v>0.793</v>
      </c>
      <c r="M1961" t="n">
        <v>0</v>
      </c>
    </row>
    <row r="1962" spans="1:13">
      <c r="A1962" s="1">
        <f>HYPERLINK("http://www.twitter.com/NathanBLawrence/status/984627960052371457", "984627960052371457")</f>
        <v/>
      </c>
      <c r="B1962" s="2" t="n">
        <v>43203.12700231482</v>
      </c>
      <c r="C1962" t="n">
        <v>0</v>
      </c>
      <c r="D1962" t="n">
        <v>0</v>
      </c>
      <c r="E1962" t="s">
        <v>1973</v>
      </c>
      <c r="F1962" t="s"/>
      <c r="G1962" t="s"/>
      <c r="H1962" t="s"/>
      <c r="I1962" t="s"/>
      <c r="J1962" t="n">
        <v>0</v>
      </c>
      <c r="K1962" t="n">
        <v>0</v>
      </c>
      <c r="L1962" t="n">
        <v>1</v>
      </c>
      <c r="M1962" t="n">
        <v>0</v>
      </c>
    </row>
    <row r="1963" spans="1:13">
      <c r="A1963" s="1">
        <f>HYPERLINK("http://www.twitter.com/NathanBLawrence/status/984627682074750977", "984627682074750977")</f>
        <v/>
      </c>
      <c r="B1963" s="2" t="n">
        <v>43203.12623842592</v>
      </c>
      <c r="C1963" t="n">
        <v>0</v>
      </c>
      <c r="D1963" t="n">
        <v>0</v>
      </c>
      <c r="E1963" t="s">
        <v>1974</v>
      </c>
      <c r="F1963" t="s"/>
      <c r="G1963" t="s"/>
      <c r="H1963" t="s"/>
      <c r="I1963" t="s"/>
      <c r="J1963" t="n">
        <v>-0.6369</v>
      </c>
      <c r="K1963" t="n">
        <v>0.208</v>
      </c>
      <c r="L1963" t="n">
        <v>0.792</v>
      </c>
      <c r="M1963" t="n">
        <v>0</v>
      </c>
    </row>
    <row r="1964" spans="1:13">
      <c r="A1964" s="1">
        <f>HYPERLINK("http://www.twitter.com/NathanBLawrence/status/984627522959761408", "984627522959761408")</f>
        <v/>
      </c>
      <c r="B1964" s="2" t="n">
        <v>43203.12579861111</v>
      </c>
      <c r="C1964" t="n">
        <v>0</v>
      </c>
      <c r="D1964" t="n">
        <v>0</v>
      </c>
      <c r="E1964" t="s">
        <v>1975</v>
      </c>
      <c r="F1964" t="s"/>
      <c r="G1964" t="s"/>
      <c r="H1964" t="s"/>
      <c r="I1964" t="s"/>
      <c r="J1964" t="n">
        <v>-0.4404</v>
      </c>
      <c r="K1964" t="n">
        <v>0.121</v>
      </c>
      <c r="L1964" t="n">
        <v>0.879</v>
      </c>
      <c r="M1964" t="n">
        <v>0</v>
      </c>
    </row>
    <row r="1965" spans="1:13">
      <c r="A1965" s="1">
        <f>HYPERLINK("http://www.twitter.com/NathanBLawrence/status/984627081999986688", "984627081999986688")</f>
        <v/>
      </c>
      <c r="B1965" s="2" t="n">
        <v>43203.12458333333</v>
      </c>
      <c r="C1965" t="n">
        <v>0</v>
      </c>
      <c r="D1965" t="n">
        <v>0</v>
      </c>
      <c r="E1965" t="s">
        <v>1976</v>
      </c>
      <c r="F1965" t="s"/>
      <c r="G1965" t="s"/>
      <c r="H1965" t="s"/>
      <c r="I1965" t="s"/>
      <c r="J1965" t="n">
        <v>-0.0531</v>
      </c>
      <c r="K1965" t="n">
        <v>0.25</v>
      </c>
      <c r="L1965" t="n">
        <v>0.521</v>
      </c>
      <c r="M1965" t="n">
        <v>0.229</v>
      </c>
    </row>
    <row r="1966" spans="1:13">
      <c r="A1966" s="1">
        <f>HYPERLINK("http://www.twitter.com/NathanBLawrence/status/984612261196173312", "984612261196173312")</f>
        <v/>
      </c>
      <c r="B1966" s="2" t="n">
        <v>43203.08368055556</v>
      </c>
      <c r="C1966" t="n">
        <v>1</v>
      </c>
      <c r="D1966" t="n">
        <v>0</v>
      </c>
      <c r="E1966" t="s">
        <v>1977</v>
      </c>
      <c r="F1966" t="s"/>
      <c r="G1966" t="s"/>
      <c r="H1966" t="s"/>
      <c r="I1966" t="s"/>
      <c r="J1966" t="n">
        <v>-0.9645</v>
      </c>
      <c r="K1966" t="n">
        <v>0.378</v>
      </c>
      <c r="L1966" t="n">
        <v>0.587</v>
      </c>
      <c r="M1966" t="n">
        <v>0.035</v>
      </c>
    </row>
    <row r="1967" spans="1:13">
      <c r="A1967" s="1">
        <f>HYPERLINK("http://www.twitter.com/NathanBLawrence/status/984607300970340354", "984607300970340354")</f>
        <v/>
      </c>
      <c r="B1967" s="2" t="n">
        <v>43203.07</v>
      </c>
      <c r="C1967" t="n">
        <v>0</v>
      </c>
      <c r="D1967" t="n">
        <v>15</v>
      </c>
      <c r="E1967" t="s">
        <v>1978</v>
      </c>
      <c r="F1967" t="s"/>
      <c r="G1967" t="s"/>
      <c r="H1967" t="s"/>
      <c r="I1967" t="s"/>
      <c r="J1967" t="n">
        <v>0</v>
      </c>
      <c r="K1967" t="n">
        <v>0</v>
      </c>
      <c r="L1967" t="n">
        <v>1</v>
      </c>
      <c r="M1967" t="n">
        <v>0</v>
      </c>
    </row>
    <row r="1968" spans="1:13">
      <c r="A1968" s="1">
        <f>HYPERLINK("http://www.twitter.com/NathanBLawrence/status/984579851888840709", "984579851888840709")</f>
        <v/>
      </c>
      <c r="B1968" s="2" t="n">
        <v>43202.99424768519</v>
      </c>
      <c r="C1968" t="n">
        <v>0</v>
      </c>
      <c r="D1968" t="n">
        <v>0</v>
      </c>
      <c r="E1968" t="s">
        <v>1979</v>
      </c>
      <c r="F1968" t="s"/>
      <c r="G1968" t="s"/>
      <c r="H1968" t="s"/>
      <c r="I1968" t="s"/>
      <c r="J1968" t="n">
        <v>0.5106000000000001</v>
      </c>
      <c r="K1968" t="n">
        <v>0</v>
      </c>
      <c r="L1968" t="n">
        <v>0.752</v>
      </c>
      <c r="M1968" t="n">
        <v>0.248</v>
      </c>
    </row>
    <row r="1969" spans="1:13">
      <c r="A1969" s="1">
        <f>HYPERLINK("http://www.twitter.com/NathanBLawrence/status/984536223116070914", "984536223116070914")</f>
        <v/>
      </c>
      <c r="B1969" s="2" t="n">
        <v>43202.87386574074</v>
      </c>
      <c r="C1969" t="n">
        <v>0</v>
      </c>
      <c r="D1969" t="n">
        <v>1</v>
      </c>
      <c r="E1969" t="s">
        <v>1980</v>
      </c>
      <c r="F1969" t="s"/>
      <c r="G1969" t="s"/>
      <c r="H1969" t="s"/>
      <c r="I1969" t="s"/>
      <c r="J1969" t="n">
        <v>0.4019</v>
      </c>
      <c r="K1969" t="n">
        <v>0</v>
      </c>
      <c r="L1969" t="n">
        <v>0.881</v>
      </c>
      <c r="M1969" t="n">
        <v>0.119</v>
      </c>
    </row>
    <row r="1970" spans="1:13">
      <c r="A1970" s="1">
        <f>HYPERLINK("http://www.twitter.com/NathanBLawrence/status/984536106132787201", "984536106132787201")</f>
        <v/>
      </c>
      <c r="B1970" s="2" t="n">
        <v>43202.87354166667</v>
      </c>
      <c r="C1970" t="n">
        <v>0</v>
      </c>
      <c r="D1970" t="n">
        <v>1</v>
      </c>
      <c r="E1970" t="s">
        <v>1981</v>
      </c>
      <c r="F1970" t="s"/>
      <c r="G1970" t="s"/>
      <c r="H1970" t="s"/>
      <c r="I1970" t="s"/>
      <c r="J1970" t="n">
        <v>0</v>
      </c>
      <c r="K1970" t="n">
        <v>0</v>
      </c>
      <c r="L1970" t="n">
        <v>1</v>
      </c>
      <c r="M1970" t="n">
        <v>0</v>
      </c>
    </row>
    <row r="1971" spans="1:13">
      <c r="A1971" s="1">
        <f>HYPERLINK("http://www.twitter.com/NathanBLawrence/status/984535718902018050", "984535718902018050")</f>
        <v/>
      </c>
      <c r="B1971" s="2" t="n">
        <v>43202.87246527777</v>
      </c>
      <c r="C1971" t="n">
        <v>1</v>
      </c>
      <c r="D1971" t="n">
        <v>0</v>
      </c>
      <c r="E1971" t="s">
        <v>1982</v>
      </c>
      <c r="F1971" t="s"/>
      <c r="G1971" t="s"/>
      <c r="H1971" t="s"/>
      <c r="I1971" t="s"/>
      <c r="J1971" t="n">
        <v>0.296</v>
      </c>
      <c r="K1971" t="n">
        <v>0</v>
      </c>
      <c r="L1971" t="n">
        <v>0.761</v>
      </c>
      <c r="M1971" t="n">
        <v>0.239</v>
      </c>
    </row>
    <row r="1972" spans="1:13">
      <c r="A1972" s="1">
        <f>HYPERLINK("http://www.twitter.com/NathanBLawrence/status/984535115643617280", "984535115643617280")</f>
        <v/>
      </c>
      <c r="B1972" s="2" t="n">
        <v>43202.87081018519</v>
      </c>
      <c r="C1972" t="n">
        <v>2</v>
      </c>
      <c r="D1972" t="n">
        <v>0</v>
      </c>
      <c r="E1972" t="s">
        <v>1983</v>
      </c>
      <c r="F1972" t="s"/>
      <c r="G1972" t="s"/>
      <c r="H1972" t="s"/>
      <c r="I1972" t="s"/>
      <c r="J1972" t="n">
        <v>0</v>
      </c>
      <c r="K1972" t="n">
        <v>0</v>
      </c>
      <c r="L1972" t="n">
        <v>1</v>
      </c>
      <c r="M1972" t="n">
        <v>0</v>
      </c>
    </row>
    <row r="1973" spans="1:13">
      <c r="A1973" s="1">
        <f>HYPERLINK("http://www.twitter.com/NathanBLawrence/status/984520024802160651", "984520024802160651")</f>
        <v/>
      </c>
      <c r="B1973" s="2" t="n">
        <v>43202.82916666667</v>
      </c>
      <c r="C1973" t="n">
        <v>1</v>
      </c>
      <c r="D1973" t="n">
        <v>0</v>
      </c>
      <c r="E1973" t="s">
        <v>1984</v>
      </c>
      <c r="F1973" t="s"/>
      <c r="G1973" t="s"/>
      <c r="H1973" t="s"/>
      <c r="I1973" t="s"/>
      <c r="J1973" t="n">
        <v>0</v>
      </c>
      <c r="K1973" t="n">
        <v>0</v>
      </c>
      <c r="L1973" t="n">
        <v>1</v>
      </c>
      <c r="M1973" t="n">
        <v>0</v>
      </c>
    </row>
    <row r="1974" spans="1:13">
      <c r="A1974" s="1">
        <f>HYPERLINK("http://www.twitter.com/NathanBLawrence/status/984517312966529024", "984517312966529024")</f>
        <v/>
      </c>
      <c r="B1974" s="2" t="n">
        <v>43202.82167824074</v>
      </c>
      <c r="C1974" t="n">
        <v>4</v>
      </c>
      <c r="D1974" t="n">
        <v>0</v>
      </c>
      <c r="E1974" t="s">
        <v>1985</v>
      </c>
      <c r="F1974" t="s"/>
      <c r="G1974" t="s"/>
      <c r="H1974" t="s"/>
      <c r="I1974" t="s"/>
      <c r="J1974" t="n">
        <v>-0.944</v>
      </c>
      <c r="K1974" t="n">
        <v>0.266</v>
      </c>
      <c r="L1974" t="n">
        <v>0.734</v>
      </c>
      <c r="M1974" t="n">
        <v>0</v>
      </c>
    </row>
    <row r="1975" spans="1:13">
      <c r="A1975" s="1">
        <f>HYPERLINK("http://www.twitter.com/NathanBLawrence/status/984509468451876864", "984509468451876864")</f>
        <v/>
      </c>
      <c r="B1975" s="2" t="n">
        <v>43202.80003472222</v>
      </c>
      <c r="C1975" t="n">
        <v>1</v>
      </c>
      <c r="D1975" t="n">
        <v>1</v>
      </c>
      <c r="E1975" t="s">
        <v>1986</v>
      </c>
      <c r="F1975" t="s"/>
      <c r="G1975" t="s"/>
      <c r="H1975" t="s"/>
      <c r="I1975" t="s"/>
      <c r="J1975" t="n">
        <v>0</v>
      </c>
      <c r="K1975" t="n">
        <v>0</v>
      </c>
      <c r="L1975" t="n">
        <v>1</v>
      </c>
      <c r="M1975" t="n">
        <v>0</v>
      </c>
    </row>
    <row r="1976" spans="1:13">
      <c r="A1976" s="1">
        <f>HYPERLINK("http://www.twitter.com/NathanBLawrence/status/984508484241719296", "984508484241719296")</f>
        <v/>
      </c>
      <c r="B1976" s="2" t="n">
        <v>43202.79731481482</v>
      </c>
      <c r="C1976" t="n">
        <v>0</v>
      </c>
      <c r="D1976" t="n">
        <v>0</v>
      </c>
      <c r="E1976" t="s">
        <v>1987</v>
      </c>
      <c r="F1976" t="s"/>
      <c r="G1976" t="s"/>
      <c r="H1976" t="s"/>
      <c r="I1976" t="s"/>
      <c r="J1976" t="n">
        <v>0.6744</v>
      </c>
      <c r="K1976" t="n">
        <v>0</v>
      </c>
      <c r="L1976" t="n">
        <v>0.8139999999999999</v>
      </c>
      <c r="M1976" t="n">
        <v>0.186</v>
      </c>
    </row>
    <row r="1977" spans="1:13">
      <c r="A1977" s="1">
        <f>HYPERLINK("http://www.twitter.com/NathanBLawrence/status/984508087892611074", "984508087892611074")</f>
        <v/>
      </c>
      <c r="B1977" s="2" t="n">
        <v>43202.79622685185</v>
      </c>
      <c r="C1977" t="n">
        <v>0</v>
      </c>
      <c r="D1977" t="n">
        <v>0</v>
      </c>
      <c r="E1977" t="s">
        <v>1988</v>
      </c>
      <c r="F1977" t="s"/>
      <c r="G1977" t="s"/>
      <c r="H1977" t="s"/>
      <c r="I1977" t="s"/>
      <c r="J1977" t="n">
        <v>0.9207</v>
      </c>
      <c r="K1977" t="n">
        <v>0.06900000000000001</v>
      </c>
      <c r="L1977" t="n">
        <v>0.655</v>
      </c>
      <c r="M1977" t="n">
        <v>0.276</v>
      </c>
    </row>
    <row r="1978" spans="1:13">
      <c r="A1978" s="1">
        <f>HYPERLINK("http://www.twitter.com/NathanBLawrence/status/984507674028052487", "984507674028052487")</f>
        <v/>
      </c>
      <c r="B1978" s="2" t="n">
        <v>43202.79508101852</v>
      </c>
      <c r="C1978" t="n">
        <v>0</v>
      </c>
      <c r="D1978" t="n">
        <v>0</v>
      </c>
      <c r="E1978" t="s">
        <v>1989</v>
      </c>
      <c r="F1978" t="s"/>
      <c r="G1978" t="s"/>
      <c r="H1978" t="s"/>
      <c r="I1978" t="s"/>
      <c r="J1978" t="n">
        <v>-0.765</v>
      </c>
      <c r="K1978" t="n">
        <v>0.177</v>
      </c>
      <c r="L1978" t="n">
        <v>0.774</v>
      </c>
      <c r="M1978" t="n">
        <v>0.049</v>
      </c>
    </row>
    <row r="1979" spans="1:13">
      <c r="A1979" s="1">
        <f>HYPERLINK("http://www.twitter.com/NathanBLawrence/status/984506160014417922", "984506160014417922")</f>
        <v/>
      </c>
      <c r="B1979" s="2" t="n">
        <v>43202.79090277778</v>
      </c>
      <c r="C1979" t="n">
        <v>1</v>
      </c>
      <c r="D1979" t="n">
        <v>0</v>
      </c>
      <c r="E1979" t="s">
        <v>1990</v>
      </c>
      <c r="F1979" t="s"/>
      <c r="G1979" t="s"/>
      <c r="H1979" t="s"/>
      <c r="I1979" t="s"/>
      <c r="J1979" t="n">
        <v>0</v>
      </c>
      <c r="K1979" t="n">
        <v>0</v>
      </c>
      <c r="L1979" t="n">
        <v>1</v>
      </c>
      <c r="M1979" t="n">
        <v>0</v>
      </c>
    </row>
    <row r="1980" spans="1:13">
      <c r="A1980" s="1">
        <f>HYPERLINK("http://www.twitter.com/NathanBLawrence/status/984500602460876800", "984500602460876800")</f>
        <v/>
      </c>
      <c r="B1980" s="2" t="n">
        <v>43202.77556712963</v>
      </c>
      <c r="C1980" t="n">
        <v>0</v>
      </c>
      <c r="D1980" t="n">
        <v>0</v>
      </c>
      <c r="E1980" t="s">
        <v>1991</v>
      </c>
      <c r="F1980" t="s"/>
      <c r="G1980" t="s"/>
      <c r="H1980" t="s"/>
      <c r="I1980" t="s"/>
      <c r="J1980" t="n">
        <v>0.6808</v>
      </c>
      <c r="K1980" t="n">
        <v>0</v>
      </c>
      <c r="L1980" t="n">
        <v>0.577</v>
      </c>
      <c r="M1980" t="n">
        <v>0.423</v>
      </c>
    </row>
    <row r="1981" spans="1:13">
      <c r="A1981" s="1">
        <f>HYPERLINK("http://www.twitter.com/NathanBLawrence/status/984499186266591232", "984499186266591232")</f>
        <v/>
      </c>
      <c r="B1981" s="2" t="n">
        <v>43202.77165509259</v>
      </c>
      <c r="C1981" t="n">
        <v>0</v>
      </c>
      <c r="D1981" t="n">
        <v>0</v>
      </c>
      <c r="E1981" t="s">
        <v>1992</v>
      </c>
      <c r="F1981" t="s"/>
      <c r="G1981" t="s"/>
      <c r="H1981" t="s"/>
      <c r="I1981" t="s"/>
      <c r="J1981" t="n">
        <v>0.6997</v>
      </c>
      <c r="K1981" t="n">
        <v>0.032</v>
      </c>
      <c r="L1981" t="n">
        <v>0.8</v>
      </c>
      <c r="M1981" t="n">
        <v>0.169</v>
      </c>
    </row>
    <row r="1982" spans="1:13">
      <c r="A1982" s="1">
        <f>HYPERLINK("http://www.twitter.com/NathanBLawrence/status/984498688050462720", "984498688050462720")</f>
        <v/>
      </c>
      <c r="B1982" s="2" t="n">
        <v>43202.77027777778</v>
      </c>
      <c r="C1982" t="n">
        <v>2</v>
      </c>
      <c r="D1982" t="n">
        <v>0</v>
      </c>
      <c r="E1982" t="s">
        <v>1993</v>
      </c>
      <c r="F1982" t="s"/>
      <c r="G1982" t="s"/>
      <c r="H1982" t="s"/>
      <c r="I1982" t="s"/>
      <c r="J1982" t="n">
        <v>0.7088</v>
      </c>
      <c r="K1982" t="n">
        <v>0</v>
      </c>
      <c r="L1982" t="n">
        <v>0.727</v>
      </c>
      <c r="M1982" t="n">
        <v>0.273</v>
      </c>
    </row>
    <row r="1983" spans="1:13">
      <c r="A1983" s="1">
        <f>HYPERLINK("http://www.twitter.com/NathanBLawrence/status/984498273305145344", "984498273305145344")</f>
        <v/>
      </c>
      <c r="B1983" s="2" t="n">
        <v>43202.76914351852</v>
      </c>
      <c r="C1983" t="n">
        <v>0</v>
      </c>
      <c r="D1983" t="n">
        <v>8</v>
      </c>
      <c r="E1983" t="s">
        <v>1994</v>
      </c>
      <c r="F1983" t="s"/>
      <c r="G1983" t="s"/>
      <c r="H1983" t="s"/>
      <c r="I1983" t="s"/>
      <c r="J1983" t="n">
        <v>0</v>
      </c>
      <c r="K1983" t="n">
        <v>0</v>
      </c>
      <c r="L1983" t="n">
        <v>1</v>
      </c>
      <c r="M1983" t="n">
        <v>0</v>
      </c>
    </row>
    <row r="1984" spans="1:13">
      <c r="A1984" s="1">
        <f>HYPERLINK("http://www.twitter.com/NathanBLawrence/status/984498183991693314", "984498183991693314")</f>
        <v/>
      </c>
      <c r="B1984" s="2" t="n">
        <v>43202.76888888889</v>
      </c>
      <c r="C1984" t="n">
        <v>1</v>
      </c>
      <c r="D1984" t="n">
        <v>1</v>
      </c>
      <c r="E1984" t="s">
        <v>1995</v>
      </c>
      <c r="F1984">
        <f>HYPERLINK("http://pbs.twimg.com/media/Damj4PoV4AIhYJd.jpg", "http://pbs.twimg.com/media/Damj4PoV4AIhYJd.jpg")</f>
        <v/>
      </c>
      <c r="G1984" t="s"/>
      <c r="H1984" t="s"/>
      <c r="I1984" t="s"/>
      <c r="J1984" t="n">
        <v>0</v>
      </c>
      <c r="K1984" t="n">
        <v>0</v>
      </c>
      <c r="L1984" t="n">
        <v>1</v>
      </c>
      <c r="M1984" t="n">
        <v>0</v>
      </c>
    </row>
    <row r="1985" spans="1:13">
      <c r="A1985" s="1">
        <f>HYPERLINK("http://www.twitter.com/NathanBLawrence/status/984497853870563333", "984497853870563333")</f>
        <v/>
      </c>
      <c r="B1985" s="2" t="n">
        <v>43202.76798611111</v>
      </c>
      <c r="C1985" t="n">
        <v>0</v>
      </c>
      <c r="D1985" t="n">
        <v>0</v>
      </c>
      <c r="E1985" t="s">
        <v>1996</v>
      </c>
      <c r="F1985" t="s"/>
      <c r="G1985" t="s"/>
      <c r="H1985" t="s"/>
      <c r="I1985" t="s"/>
      <c r="J1985" t="n">
        <v>0</v>
      </c>
      <c r="K1985" t="n">
        <v>0.068</v>
      </c>
      <c r="L1985" t="n">
        <v>0.863</v>
      </c>
      <c r="M1985" t="n">
        <v>0.068</v>
      </c>
    </row>
    <row r="1986" spans="1:13">
      <c r="A1986" s="1">
        <f>HYPERLINK("http://www.twitter.com/NathanBLawrence/status/984497358737207296", "984497358737207296")</f>
        <v/>
      </c>
      <c r="B1986" s="2" t="n">
        <v>43202.76662037037</v>
      </c>
      <c r="C1986" t="n">
        <v>2</v>
      </c>
      <c r="D1986" t="n">
        <v>0</v>
      </c>
      <c r="E1986" t="s">
        <v>1997</v>
      </c>
      <c r="F1986">
        <f>HYPERLINK("http://pbs.twimg.com/media/DamjINxVwAEP4m-.jpg", "http://pbs.twimg.com/media/DamjINxVwAEP4m-.jpg")</f>
        <v/>
      </c>
      <c r="G1986" t="s"/>
      <c r="H1986" t="s"/>
      <c r="I1986" t="s"/>
      <c r="J1986" t="n">
        <v>0</v>
      </c>
      <c r="K1986" t="n">
        <v>0</v>
      </c>
      <c r="L1986" t="n">
        <v>1</v>
      </c>
      <c r="M1986" t="n">
        <v>0</v>
      </c>
    </row>
    <row r="1987" spans="1:13">
      <c r="A1987" s="1">
        <f>HYPERLINK("http://www.twitter.com/NathanBLawrence/status/984496444739674113", "984496444739674113")</f>
        <v/>
      </c>
      <c r="B1987" s="2" t="n">
        <v>43202.76409722222</v>
      </c>
      <c r="C1987" t="n">
        <v>0</v>
      </c>
      <c r="D1987" t="n">
        <v>0</v>
      </c>
      <c r="E1987" t="s">
        <v>1998</v>
      </c>
      <c r="F1987" t="s"/>
      <c r="G1987" t="s"/>
      <c r="H1987" t="s"/>
      <c r="I1987" t="s"/>
      <c r="J1987" t="n">
        <v>-0.8591</v>
      </c>
      <c r="K1987" t="n">
        <v>0.16</v>
      </c>
      <c r="L1987" t="n">
        <v>0.84</v>
      </c>
      <c r="M1987" t="n">
        <v>0</v>
      </c>
    </row>
    <row r="1988" spans="1:13">
      <c r="A1988" s="1">
        <f>HYPERLINK("http://www.twitter.com/NathanBLawrence/status/984493740898291712", "984493740898291712")</f>
        <v/>
      </c>
      <c r="B1988" s="2" t="n">
        <v>43202.75663194444</v>
      </c>
      <c r="C1988" t="n">
        <v>0</v>
      </c>
      <c r="D1988" t="n">
        <v>0</v>
      </c>
      <c r="E1988" t="s">
        <v>1999</v>
      </c>
      <c r="F1988" t="s"/>
      <c r="G1988" t="s"/>
      <c r="H1988" t="s"/>
      <c r="I1988" t="s"/>
      <c r="J1988" t="n">
        <v>-0.7934</v>
      </c>
      <c r="K1988" t="n">
        <v>0.201</v>
      </c>
      <c r="L1988" t="n">
        <v>0.799</v>
      </c>
      <c r="M1988" t="n">
        <v>0</v>
      </c>
    </row>
    <row r="1989" spans="1:13">
      <c r="A1989" s="1">
        <f>HYPERLINK("http://www.twitter.com/NathanBLawrence/status/984492860086026241", "984492860086026241")</f>
        <v/>
      </c>
      <c r="B1989" s="2" t="n">
        <v>43202.75420138889</v>
      </c>
      <c r="C1989" t="n">
        <v>0</v>
      </c>
      <c r="D1989" t="n">
        <v>0</v>
      </c>
      <c r="E1989" t="s">
        <v>2000</v>
      </c>
      <c r="F1989" t="s"/>
      <c r="G1989" t="s"/>
      <c r="H1989" t="s"/>
      <c r="I1989" t="s"/>
      <c r="J1989" t="n">
        <v>-0.5589</v>
      </c>
      <c r="K1989" t="n">
        <v>0.182</v>
      </c>
      <c r="L1989" t="n">
        <v>0.734</v>
      </c>
      <c r="M1989" t="n">
        <v>0.08400000000000001</v>
      </c>
    </row>
    <row r="1990" spans="1:13">
      <c r="A1990" s="1">
        <f>HYPERLINK("http://www.twitter.com/NathanBLawrence/status/984492458519212032", "984492458519212032")</f>
        <v/>
      </c>
      <c r="B1990" s="2" t="n">
        <v>43202.75309027778</v>
      </c>
      <c r="C1990" t="n">
        <v>0</v>
      </c>
      <c r="D1990" t="n">
        <v>0</v>
      </c>
      <c r="E1990" t="s">
        <v>2001</v>
      </c>
      <c r="F1990" t="s"/>
      <c r="G1990" t="s"/>
      <c r="H1990" t="s"/>
      <c r="I1990" t="s"/>
      <c r="J1990" t="n">
        <v>-0.8955</v>
      </c>
      <c r="K1990" t="n">
        <v>0.288</v>
      </c>
      <c r="L1990" t="n">
        <v>0.66</v>
      </c>
      <c r="M1990" t="n">
        <v>0.052</v>
      </c>
    </row>
    <row r="1991" spans="1:13">
      <c r="A1991" s="1">
        <f>HYPERLINK("http://www.twitter.com/NathanBLawrence/status/984491974936940544", "984491974936940544")</f>
        <v/>
      </c>
      <c r="B1991" s="2" t="n">
        <v>43202.75175925926</v>
      </c>
      <c r="C1991" t="n">
        <v>0</v>
      </c>
      <c r="D1991" t="n">
        <v>0</v>
      </c>
      <c r="E1991" t="s">
        <v>2002</v>
      </c>
      <c r="F1991" t="s"/>
      <c r="G1991" t="s"/>
      <c r="H1991" t="s"/>
      <c r="I1991" t="s"/>
      <c r="J1991" t="n">
        <v>-0.8918</v>
      </c>
      <c r="K1991" t="n">
        <v>0.26</v>
      </c>
      <c r="L1991" t="n">
        <v>0.644</v>
      </c>
      <c r="M1991" t="n">
        <v>0.097</v>
      </c>
    </row>
    <row r="1992" spans="1:13">
      <c r="A1992" s="1">
        <f>HYPERLINK("http://www.twitter.com/NathanBLawrence/status/984473137751449601", "984473137751449601")</f>
        <v/>
      </c>
      <c r="B1992" s="2" t="n">
        <v>43202.69978009259</v>
      </c>
      <c r="C1992" t="n">
        <v>2</v>
      </c>
      <c r="D1992" t="n">
        <v>1</v>
      </c>
      <c r="E1992" t="s">
        <v>2003</v>
      </c>
      <c r="F1992" t="s"/>
      <c r="G1992" t="s"/>
      <c r="H1992" t="s"/>
      <c r="I1992" t="s"/>
      <c r="J1992" t="n">
        <v>0.2732</v>
      </c>
      <c r="K1992" t="n">
        <v>0</v>
      </c>
      <c r="L1992" t="n">
        <v>0.913</v>
      </c>
      <c r="M1992" t="n">
        <v>0.08699999999999999</v>
      </c>
    </row>
    <row r="1993" spans="1:13">
      <c r="A1993" s="1">
        <f>HYPERLINK("http://www.twitter.com/NathanBLawrence/status/984471754428084224", "984471754428084224")</f>
        <v/>
      </c>
      <c r="B1993" s="2" t="n">
        <v>43202.69596064815</v>
      </c>
      <c r="C1993" t="n">
        <v>3</v>
      </c>
      <c r="D1993" t="n">
        <v>1</v>
      </c>
      <c r="E1993" t="s">
        <v>2004</v>
      </c>
      <c r="F1993" t="s"/>
      <c r="G1993" t="s"/>
      <c r="H1993" t="s"/>
      <c r="I1993" t="s"/>
      <c r="J1993" t="n">
        <v>-0.2732</v>
      </c>
      <c r="K1993" t="n">
        <v>0.095</v>
      </c>
      <c r="L1993" t="n">
        <v>0.905</v>
      </c>
      <c r="M1993" t="n">
        <v>0</v>
      </c>
    </row>
    <row r="1994" spans="1:13">
      <c r="A1994" s="1">
        <f>HYPERLINK("http://www.twitter.com/NathanBLawrence/status/984470024801878017", "984470024801878017")</f>
        <v/>
      </c>
      <c r="B1994" s="2" t="n">
        <v>43202.69119212963</v>
      </c>
      <c r="C1994" t="n">
        <v>7</v>
      </c>
      <c r="D1994" t="n">
        <v>3</v>
      </c>
      <c r="E1994" t="s">
        <v>2005</v>
      </c>
      <c r="F1994" t="s"/>
      <c r="G1994" t="s"/>
      <c r="H1994" t="s"/>
      <c r="I1994" t="s"/>
      <c r="J1994" t="n">
        <v>0.9062</v>
      </c>
      <c r="K1994" t="n">
        <v>0.038</v>
      </c>
      <c r="L1994" t="n">
        <v>0.694</v>
      </c>
      <c r="M1994" t="n">
        <v>0.268</v>
      </c>
    </row>
    <row r="1995" spans="1:13">
      <c r="A1995" s="1">
        <f>HYPERLINK("http://www.twitter.com/NathanBLawrence/status/984462143939645440", "984462143939645440")</f>
        <v/>
      </c>
      <c r="B1995" s="2" t="n">
        <v>43202.66944444444</v>
      </c>
      <c r="C1995" t="n">
        <v>0</v>
      </c>
      <c r="D1995" t="n">
        <v>3</v>
      </c>
      <c r="E1995" t="s">
        <v>2006</v>
      </c>
      <c r="F1995" t="s"/>
      <c r="G1995" t="s"/>
      <c r="H1995" t="s"/>
      <c r="I1995" t="s"/>
      <c r="J1995" t="n">
        <v>0</v>
      </c>
      <c r="K1995" t="n">
        <v>0</v>
      </c>
      <c r="L1995" t="n">
        <v>1</v>
      </c>
      <c r="M1995" t="n">
        <v>0</v>
      </c>
    </row>
    <row r="1996" spans="1:13">
      <c r="A1996" s="1">
        <f>HYPERLINK("http://www.twitter.com/NathanBLawrence/status/984461979657080832", "984461979657080832")</f>
        <v/>
      </c>
      <c r="B1996" s="2" t="n">
        <v>43202.66899305556</v>
      </c>
      <c r="C1996" t="n">
        <v>4</v>
      </c>
      <c r="D1996" t="n">
        <v>3</v>
      </c>
      <c r="E1996" t="s">
        <v>2007</v>
      </c>
      <c r="F1996" t="s"/>
      <c r="G1996" t="s"/>
      <c r="H1996" t="s"/>
      <c r="I1996" t="s"/>
      <c r="J1996" t="n">
        <v>0</v>
      </c>
      <c r="K1996" t="n">
        <v>0</v>
      </c>
      <c r="L1996" t="n">
        <v>1</v>
      </c>
      <c r="M1996" t="n">
        <v>0</v>
      </c>
    </row>
    <row r="1997" spans="1:13">
      <c r="A1997" s="1">
        <f>HYPERLINK("http://www.twitter.com/NathanBLawrence/status/984461340931747840", "984461340931747840")</f>
        <v/>
      </c>
      <c r="B1997" s="2" t="n">
        <v>43202.66722222222</v>
      </c>
      <c r="C1997" t="n">
        <v>0</v>
      </c>
      <c r="D1997" t="n">
        <v>20</v>
      </c>
      <c r="E1997" t="s">
        <v>2008</v>
      </c>
      <c r="F1997" t="s"/>
      <c r="G1997" t="s"/>
      <c r="H1997" t="s"/>
      <c r="I1997" t="s"/>
      <c r="J1997" t="n">
        <v>0.0516</v>
      </c>
      <c r="K1997" t="n">
        <v>0.15</v>
      </c>
      <c r="L1997" t="n">
        <v>0.6919999999999999</v>
      </c>
      <c r="M1997" t="n">
        <v>0.158</v>
      </c>
    </row>
    <row r="1998" spans="1:13">
      <c r="A1998" s="1">
        <f>HYPERLINK("http://www.twitter.com/NathanBLawrence/status/984447356442734595", "984447356442734595")</f>
        <v/>
      </c>
      <c r="B1998" s="2" t="n">
        <v>43202.62863425926</v>
      </c>
      <c r="C1998" t="n">
        <v>3</v>
      </c>
      <c r="D1998" t="n">
        <v>1</v>
      </c>
      <c r="E1998" t="s">
        <v>2009</v>
      </c>
      <c r="F1998" t="s"/>
      <c r="G1998" t="s"/>
      <c r="H1998" t="s"/>
      <c r="I1998" t="s"/>
      <c r="J1998" t="n">
        <v>0.3164</v>
      </c>
      <c r="K1998" t="n">
        <v>0.098</v>
      </c>
      <c r="L1998" t="n">
        <v>0.73</v>
      </c>
      <c r="M1998" t="n">
        <v>0.171</v>
      </c>
    </row>
    <row r="1999" spans="1:13">
      <c r="A1999" s="1">
        <f>HYPERLINK("http://www.twitter.com/NathanBLawrence/status/984446511370194944", "984446511370194944")</f>
        <v/>
      </c>
      <c r="B1999" s="2" t="n">
        <v>43202.62630787037</v>
      </c>
      <c r="C1999" t="n">
        <v>1</v>
      </c>
      <c r="D1999" t="n">
        <v>0</v>
      </c>
      <c r="E1999" t="s">
        <v>2010</v>
      </c>
      <c r="F1999" t="s"/>
      <c r="G1999" t="s"/>
      <c r="H1999" t="s"/>
      <c r="I1999" t="s"/>
      <c r="J1999" t="n">
        <v>0</v>
      </c>
      <c r="K1999" t="n">
        <v>0</v>
      </c>
      <c r="L1999" t="n">
        <v>1</v>
      </c>
      <c r="M1999" t="n">
        <v>0</v>
      </c>
    </row>
    <row r="2000" spans="1:13">
      <c r="A2000" s="1">
        <f>HYPERLINK("http://www.twitter.com/NathanBLawrence/status/984446384140095488", "984446384140095488")</f>
        <v/>
      </c>
      <c r="B2000" s="2" t="n">
        <v>43202.62594907408</v>
      </c>
      <c r="C2000" t="n">
        <v>4</v>
      </c>
      <c r="D2000" t="n">
        <v>0</v>
      </c>
      <c r="E2000" t="s">
        <v>2011</v>
      </c>
      <c r="F2000" t="s"/>
      <c r="G2000" t="s"/>
      <c r="H2000" t="s"/>
      <c r="I2000" t="s"/>
      <c r="J2000" t="n">
        <v>0.3612</v>
      </c>
      <c r="K2000" t="n">
        <v>0</v>
      </c>
      <c r="L2000" t="n">
        <v>0.928</v>
      </c>
      <c r="M2000" t="n">
        <v>0.07199999999999999</v>
      </c>
    </row>
    <row r="2001" spans="1:13">
      <c r="A2001" s="1">
        <f>HYPERLINK("http://www.twitter.com/NathanBLawrence/status/984445963162083329", "984445963162083329")</f>
        <v/>
      </c>
      <c r="B2001" s="2" t="n">
        <v>43202.62479166667</v>
      </c>
      <c r="C2001" t="n">
        <v>3</v>
      </c>
      <c r="D2001" t="n">
        <v>0</v>
      </c>
      <c r="E2001" t="s">
        <v>2012</v>
      </c>
      <c r="F2001" t="s"/>
      <c r="G2001" t="s"/>
      <c r="H2001" t="s"/>
      <c r="I2001" t="s"/>
      <c r="J2001" t="n">
        <v>-0.25</v>
      </c>
      <c r="K2001" t="n">
        <v>0.175</v>
      </c>
      <c r="L2001" t="n">
        <v>0.7</v>
      </c>
      <c r="M2001" t="n">
        <v>0.125</v>
      </c>
    </row>
    <row r="2002" spans="1:13">
      <c r="A2002" s="1">
        <f>HYPERLINK("http://www.twitter.com/NathanBLawrence/status/984445746706636800", "984445746706636800")</f>
        <v/>
      </c>
      <c r="B2002" s="2" t="n">
        <v>43202.62418981481</v>
      </c>
      <c r="C2002" t="n">
        <v>8</v>
      </c>
      <c r="D2002" t="n">
        <v>0</v>
      </c>
      <c r="E2002" t="s">
        <v>2013</v>
      </c>
      <c r="F2002" t="s"/>
      <c r="G2002" t="s"/>
      <c r="H2002" t="s"/>
      <c r="I2002" t="s"/>
      <c r="J2002" t="n">
        <v>0.8622</v>
      </c>
      <c r="K2002" t="n">
        <v>0</v>
      </c>
      <c r="L2002" t="n">
        <v>0.764</v>
      </c>
      <c r="M2002" t="n">
        <v>0.236</v>
      </c>
    </row>
    <row r="2003" spans="1:13">
      <c r="A2003" s="1">
        <f>HYPERLINK("http://www.twitter.com/NathanBLawrence/status/984445197407965184", "984445197407965184")</f>
        <v/>
      </c>
      <c r="B2003" s="2" t="n">
        <v>43202.62267361111</v>
      </c>
      <c r="C2003" t="n">
        <v>2</v>
      </c>
      <c r="D2003" t="n">
        <v>3</v>
      </c>
      <c r="E2003" t="s">
        <v>2014</v>
      </c>
      <c r="F2003" t="s"/>
      <c r="G2003" t="s"/>
      <c r="H2003" t="s"/>
      <c r="I2003" t="s"/>
      <c r="J2003" t="n">
        <v>0</v>
      </c>
      <c r="K2003" t="n">
        <v>0</v>
      </c>
      <c r="L2003" t="n">
        <v>1</v>
      </c>
      <c r="M2003" t="n">
        <v>0</v>
      </c>
    </row>
    <row r="2004" spans="1:13">
      <c r="A2004" s="1">
        <f>HYPERLINK("http://www.twitter.com/NathanBLawrence/status/984443905839165441", "984443905839165441")</f>
        <v/>
      </c>
      <c r="B2004" s="2" t="n">
        <v>43202.61910879629</v>
      </c>
      <c r="C2004" t="n">
        <v>1</v>
      </c>
      <c r="D2004" t="n">
        <v>2</v>
      </c>
      <c r="E2004" t="s">
        <v>2015</v>
      </c>
      <c r="F2004" t="s"/>
      <c r="G2004" t="s"/>
      <c r="H2004" t="s"/>
      <c r="I2004" t="s"/>
      <c r="J2004" t="n">
        <v>-0.264</v>
      </c>
      <c r="K2004" t="n">
        <v>0.11</v>
      </c>
      <c r="L2004" t="n">
        <v>0.8149999999999999</v>
      </c>
      <c r="M2004" t="n">
        <v>0.075</v>
      </c>
    </row>
    <row r="2005" spans="1:13">
      <c r="A2005" s="1">
        <f>HYPERLINK("http://www.twitter.com/NathanBLawrence/status/984442126191734784", "984442126191734784")</f>
        <v/>
      </c>
      <c r="B2005" s="2" t="n">
        <v>43202.61420138889</v>
      </c>
      <c r="C2005" t="n">
        <v>3</v>
      </c>
      <c r="D2005" t="n">
        <v>0</v>
      </c>
      <c r="E2005" t="s">
        <v>2016</v>
      </c>
      <c r="F2005" t="s"/>
      <c r="G2005" t="s"/>
      <c r="H2005" t="s"/>
      <c r="I2005" t="s"/>
      <c r="J2005" t="n">
        <v>0</v>
      </c>
      <c r="K2005" t="n">
        <v>0</v>
      </c>
      <c r="L2005" t="n">
        <v>1</v>
      </c>
      <c r="M2005" t="n">
        <v>0</v>
      </c>
    </row>
    <row r="2006" spans="1:13">
      <c r="A2006" s="1">
        <f>HYPERLINK("http://www.twitter.com/NathanBLawrence/status/984441889096159232", "984441889096159232")</f>
        <v/>
      </c>
      <c r="B2006" s="2" t="n">
        <v>43202.61355324074</v>
      </c>
      <c r="C2006" t="n">
        <v>9</v>
      </c>
      <c r="D2006" t="n">
        <v>3</v>
      </c>
      <c r="E2006" t="s">
        <v>2017</v>
      </c>
      <c r="F2006" t="s"/>
      <c r="G2006" t="s"/>
      <c r="H2006" t="s"/>
      <c r="I2006" t="s"/>
      <c r="J2006" t="n">
        <v>0.3182</v>
      </c>
      <c r="K2006" t="n">
        <v>0</v>
      </c>
      <c r="L2006" t="n">
        <v>0.901</v>
      </c>
      <c r="M2006" t="n">
        <v>0.099</v>
      </c>
    </row>
    <row r="2007" spans="1:13">
      <c r="A2007" s="1">
        <f>HYPERLINK("http://www.twitter.com/NathanBLawrence/status/984440723352190976", "984440723352190976")</f>
        <v/>
      </c>
      <c r="B2007" s="2" t="n">
        <v>43202.61033564815</v>
      </c>
      <c r="C2007" t="n">
        <v>1</v>
      </c>
      <c r="D2007" t="n">
        <v>1</v>
      </c>
      <c r="E2007" t="s">
        <v>2018</v>
      </c>
      <c r="F2007" t="s"/>
      <c r="G2007" t="s"/>
      <c r="H2007" t="s"/>
      <c r="I2007" t="s"/>
      <c r="J2007" t="n">
        <v>0</v>
      </c>
      <c r="K2007" t="n">
        <v>0</v>
      </c>
      <c r="L2007" t="n">
        <v>1</v>
      </c>
      <c r="M2007" t="n">
        <v>0</v>
      </c>
    </row>
    <row r="2008" spans="1:13">
      <c r="A2008" s="1">
        <f>HYPERLINK("http://www.twitter.com/NathanBLawrence/status/984433394242211840", "984433394242211840")</f>
        <v/>
      </c>
      <c r="B2008" s="2" t="n">
        <v>43202.59010416667</v>
      </c>
      <c r="C2008" t="n">
        <v>0</v>
      </c>
      <c r="D2008" t="n">
        <v>0</v>
      </c>
      <c r="E2008" t="s">
        <v>2019</v>
      </c>
      <c r="F2008" t="s"/>
      <c r="G2008" t="s"/>
      <c r="H2008" t="s"/>
      <c r="I2008" t="s"/>
      <c r="J2008" t="n">
        <v>0</v>
      </c>
      <c r="K2008" t="n">
        <v>0</v>
      </c>
      <c r="L2008" t="n">
        <v>1</v>
      </c>
      <c r="M2008" t="n">
        <v>0</v>
      </c>
    </row>
    <row r="2009" spans="1:13">
      <c r="A2009" s="1">
        <f>HYPERLINK("http://www.twitter.com/NathanBLawrence/status/984433186049593346", "984433186049593346")</f>
        <v/>
      </c>
      <c r="B2009" s="2" t="n">
        <v>43202.58953703703</v>
      </c>
      <c r="C2009" t="n">
        <v>1</v>
      </c>
      <c r="D2009" t="n">
        <v>0</v>
      </c>
      <c r="E2009" t="s">
        <v>2020</v>
      </c>
      <c r="F2009" t="s"/>
      <c r="G2009" t="s"/>
      <c r="H2009" t="s"/>
      <c r="I2009" t="s"/>
      <c r="J2009" t="n">
        <v>0.0001</v>
      </c>
      <c r="K2009" t="n">
        <v>0.119</v>
      </c>
      <c r="L2009" t="n">
        <v>0.732</v>
      </c>
      <c r="M2009" t="n">
        <v>0.149</v>
      </c>
    </row>
    <row r="2010" spans="1:13">
      <c r="A2010" s="1">
        <f>HYPERLINK("http://www.twitter.com/NathanBLawrence/status/984432864228933632", "984432864228933632")</f>
        <v/>
      </c>
      <c r="B2010" s="2" t="n">
        <v>43202.58864583333</v>
      </c>
      <c r="C2010" t="n">
        <v>9</v>
      </c>
      <c r="D2010" t="n">
        <v>4</v>
      </c>
      <c r="E2010" t="s">
        <v>2021</v>
      </c>
      <c r="F2010" t="s"/>
      <c r="G2010" t="s"/>
      <c r="H2010" t="s"/>
      <c r="I2010" t="s"/>
      <c r="J2010" t="n">
        <v>-0.6369</v>
      </c>
      <c r="K2010" t="n">
        <v>0.156</v>
      </c>
      <c r="L2010" t="n">
        <v>0.788</v>
      </c>
      <c r="M2010" t="n">
        <v>0.056</v>
      </c>
    </row>
    <row r="2011" spans="1:13">
      <c r="A2011" s="1">
        <f>HYPERLINK("http://www.twitter.com/NathanBLawrence/status/984431594877353984", "984431594877353984")</f>
        <v/>
      </c>
      <c r="B2011" s="2" t="n">
        <v>43202.58513888889</v>
      </c>
      <c r="C2011" t="n">
        <v>15</v>
      </c>
      <c r="D2011" t="n">
        <v>7</v>
      </c>
      <c r="E2011" t="s">
        <v>2022</v>
      </c>
      <c r="F2011">
        <f>HYPERLINK("http://pbs.twimg.com/media/DalnTmOU8AEMXUu.jpg", "http://pbs.twimg.com/media/DalnTmOU8AEMXUu.jpg")</f>
        <v/>
      </c>
      <c r="G2011" t="s"/>
      <c r="H2011" t="s"/>
      <c r="I2011" t="s"/>
      <c r="J2011" t="n">
        <v>0.4939</v>
      </c>
      <c r="K2011" t="n">
        <v>0</v>
      </c>
      <c r="L2011" t="n">
        <v>0.842</v>
      </c>
      <c r="M2011" t="n">
        <v>0.158</v>
      </c>
    </row>
    <row r="2012" spans="1:13">
      <c r="A2012" s="1">
        <f>HYPERLINK("http://www.twitter.com/NathanBLawrence/status/984430821904920576", "984430821904920576")</f>
        <v/>
      </c>
      <c r="B2012" s="2" t="n">
        <v>43202.58300925926</v>
      </c>
      <c r="C2012" t="n">
        <v>3</v>
      </c>
      <c r="D2012" t="n">
        <v>0</v>
      </c>
      <c r="E2012" t="s">
        <v>2023</v>
      </c>
      <c r="F2012" t="s"/>
      <c r="G2012" t="s"/>
      <c r="H2012" t="s"/>
      <c r="I2012" t="s"/>
      <c r="J2012" t="n">
        <v>-0.2732</v>
      </c>
      <c r="K2012" t="n">
        <v>0.122</v>
      </c>
      <c r="L2012" t="n">
        <v>0.792</v>
      </c>
      <c r="M2012" t="n">
        <v>0.08599999999999999</v>
      </c>
    </row>
    <row r="2013" spans="1:13">
      <c r="A2013" s="1">
        <f>HYPERLINK("http://www.twitter.com/NathanBLawrence/status/984428473916776448", "984428473916776448")</f>
        <v/>
      </c>
      <c r="B2013" s="2" t="n">
        <v>43202.57652777778</v>
      </c>
      <c r="C2013" t="n">
        <v>1</v>
      </c>
      <c r="D2013" t="n">
        <v>0</v>
      </c>
      <c r="E2013" t="s">
        <v>2024</v>
      </c>
      <c r="F2013" t="s"/>
      <c r="G2013" t="s"/>
      <c r="H2013" t="s"/>
      <c r="I2013" t="s"/>
      <c r="J2013" t="n">
        <v>0.3506</v>
      </c>
      <c r="K2013" t="n">
        <v>0.06900000000000001</v>
      </c>
      <c r="L2013" t="n">
        <v>0.776</v>
      </c>
      <c r="M2013" t="n">
        <v>0.155</v>
      </c>
    </row>
    <row r="2014" spans="1:13">
      <c r="A2014" s="1">
        <f>HYPERLINK("http://www.twitter.com/NathanBLawrence/status/984428139538472961", "984428139538472961")</f>
        <v/>
      </c>
      <c r="B2014" s="2" t="n">
        <v>43202.57560185185</v>
      </c>
      <c r="C2014" t="n">
        <v>4</v>
      </c>
      <c r="D2014" t="n">
        <v>0</v>
      </c>
      <c r="E2014" t="s">
        <v>2025</v>
      </c>
      <c r="F2014" t="s"/>
      <c r="G2014" t="s"/>
      <c r="H2014" t="s"/>
      <c r="I2014" t="s"/>
      <c r="J2014" t="n">
        <v>0</v>
      </c>
      <c r="K2014" t="n">
        <v>0.062</v>
      </c>
      <c r="L2014" t="n">
        <v>0.875</v>
      </c>
      <c r="M2014" t="n">
        <v>0.062</v>
      </c>
    </row>
    <row r="2015" spans="1:13">
      <c r="A2015" s="1">
        <f>HYPERLINK("http://www.twitter.com/NathanBLawrence/status/984427502234947584", "984427502234947584")</f>
        <v/>
      </c>
      <c r="B2015" s="2" t="n">
        <v>43202.5738425926</v>
      </c>
      <c r="C2015" t="n">
        <v>8</v>
      </c>
      <c r="D2015" t="n">
        <v>5</v>
      </c>
      <c r="E2015" t="s">
        <v>2026</v>
      </c>
      <c r="F2015" t="s"/>
      <c r="G2015" t="s"/>
      <c r="H2015" t="s"/>
      <c r="I2015" t="s"/>
      <c r="J2015" t="n">
        <v>-0.9431</v>
      </c>
      <c r="K2015" t="n">
        <v>0.347</v>
      </c>
      <c r="L2015" t="n">
        <v>0.653</v>
      </c>
      <c r="M2015" t="n">
        <v>0</v>
      </c>
    </row>
    <row r="2016" spans="1:13">
      <c r="A2016" s="1">
        <f>HYPERLINK("http://www.twitter.com/NathanBLawrence/status/984426960418951168", "984426960418951168")</f>
        <v/>
      </c>
      <c r="B2016" s="2" t="n">
        <v>43202.57234953704</v>
      </c>
      <c r="C2016" t="n">
        <v>3</v>
      </c>
      <c r="D2016" t="n">
        <v>0</v>
      </c>
      <c r="E2016" t="s">
        <v>2027</v>
      </c>
      <c r="F2016" t="s"/>
      <c r="G2016" t="s"/>
      <c r="H2016" t="s"/>
      <c r="I2016" t="s"/>
      <c r="J2016" t="n">
        <v>-0.634</v>
      </c>
      <c r="K2016" t="n">
        <v>0.206</v>
      </c>
      <c r="L2016" t="n">
        <v>0.715</v>
      </c>
      <c r="M2016" t="n">
        <v>0.079</v>
      </c>
    </row>
    <row r="2017" spans="1:13">
      <c r="A2017" s="1">
        <f>HYPERLINK("http://www.twitter.com/NathanBLawrence/status/984426433480220672", "984426433480220672")</f>
        <v/>
      </c>
      <c r="B2017" s="2" t="n">
        <v>43202.57090277778</v>
      </c>
      <c r="C2017" t="n">
        <v>2</v>
      </c>
      <c r="D2017" t="n">
        <v>0</v>
      </c>
      <c r="E2017" t="s">
        <v>2028</v>
      </c>
      <c r="F2017" t="s"/>
      <c r="G2017" t="s"/>
      <c r="H2017" t="s"/>
      <c r="I2017" t="s"/>
      <c r="J2017" t="n">
        <v>0.2732</v>
      </c>
      <c r="K2017" t="n">
        <v>0</v>
      </c>
      <c r="L2017" t="n">
        <v>0.9370000000000001</v>
      </c>
      <c r="M2017" t="n">
        <v>0.063</v>
      </c>
    </row>
    <row r="2018" spans="1:13">
      <c r="A2018" s="1">
        <f>HYPERLINK("http://www.twitter.com/NathanBLawrence/status/984425727020892160", "984425727020892160")</f>
        <v/>
      </c>
      <c r="B2018" s="2" t="n">
        <v>43202.56894675926</v>
      </c>
      <c r="C2018" t="n">
        <v>0</v>
      </c>
      <c r="D2018" t="n">
        <v>7</v>
      </c>
      <c r="E2018" t="s">
        <v>2029</v>
      </c>
      <c r="F2018">
        <f>HYPERLINK("http://pbs.twimg.com/media/DaleM49VAAAtgbs.jpg", "http://pbs.twimg.com/media/DaleM49VAAAtgbs.jpg")</f>
        <v/>
      </c>
      <c r="G2018" t="s"/>
      <c r="H2018" t="s"/>
      <c r="I2018" t="s"/>
      <c r="J2018" t="n">
        <v>0.7717000000000001</v>
      </c>
      <c r="K2018" t="n">
        <v>0</v>
      </c>
      <c r="L2018" t="n">
        <v>0.705</v>
      </c>
      <c r="M2018" t="n">
        <v>0.295</v>
      </c>
    </row>
    <row r="2019" spans="1:13">
      <c r="A2019" s="1">
        <f>HYPERLINK("http://www.twitter.com/NathanBLawrence/status/984422059060101120", "984422059060101120")</f>
        <v/>
      </c>
      <c r="B2019" s="2" t="n">
        <v>43202.55883101852</v>
      </c>
      <c r="C2019" t="n">
        <v>0</v>
      </c>
      <c r="D2019" t="n">
        <v>297</v>
      </c>
      <c r="E2019" t="s">
        <v>2030</v>
      </c>
      <c r="F2019">
        <f>HYPERLINK("https://video.twimg.com/ext_tw_video/984413536888807426/pu/vid/1280x720/ay0s8cZ4IcjHSBXc.mp4?tag=2", "https://video.twimg.com/ext_tw_video/984413536888807426/pu/vid/1280x720/ay0s8cZ4IcjHSBXc.mp4?tag=2")</f>
        <v/>
      </c>
      <c r="G2019" t="s"/>
      <c r="H2019" t="s"/>
      <c r="I2019" t="s"/>
      <c r="J2019" t="n">
        <v>-0.4588</v>
      </c>
      <c r="K2019" t="n">
        <v>0.143</v>
      </c>
      <c r="L2019" t="n">
        <v>0.857</v>
      </c>
      <c r="M2019" t="n">
        <v>0</v>
      </c>
    </row>
    <row r="2020" spans="1:13">
      <c r="A2020" s="1">
        <f>HYPERLINK("http://www.twitter.com/NathanBLawrence/status/984417649252864000", "984417649252864000")</f>
        <v/>
      </c>
      <c r="B2020" s="2" t="n">
        <v>43202.54665509259</v>
      </c>
      <c r="C2020" t="n">
        <v>2</v>
      </c>
      <c r="D2020" t="n">
        <v>2</v>
      </c>
      <c r="E2020" t="s">
        <v>2031</v>
      </c>
      <c r="F2020">
        <f>HYPERLINK("http://pbs.twimg.com/media/DalaoQ-UwAATL1a.jpg", "http://pbs.twimg.com/media/DalaoQ-UwAATL1a.jpg")</f>
        <v/>
      </c>
      <c r="G2020" t="s"/>
      <c r="H2020" t="s"/>
      <c r="I2020" t="s"/>
      <c r="J2020" t="n">
        <v>-0.5349</v>
      </c>
      <c r="K2020" t="n">
        <v>0.083</v>
      </c>
      <c r="L2020" t="n">
        <v>0.917</v>
      </c>
      <c r="M2020" t="n">
        <v>0</v>
      </c>
    </row>
    <row r="2021" spans="1:13">
      <c r="A2021" s="1">
        <f>HYPERLINK("http://www.twitter.com/NathanBLawrence/status/984416880780873729", "984416880780873729")</f>
        <v/>
      </c>
      <c r="B2021" s="2" t="n">
        <v>43202.54453703704</v>
      </c>
      <c r="C2021" t="n">
        <v>0</v>
      </c>
      <c r="D2021" t="n">
        <v>169</v>
      </c>
      <c r="E2021" t="s">
        <v>2032</v>
      </c>
      <c r="F2021" t="s"/>
      <c r="G2021" t="s"/>
      <c r="H2021" t="s"/>
      <c r="I2021" t="s"/>
      <c r="J2021" t="n">
        <v>-0.7351</v>
      </c>
      <c r="K2021" t="n">
        <v>0.246</v>
      </c>
      <c r="L2021" t="n">
        <v>0.754</v>
      </c>
      <c r="M2021" t="n">
        <v>0</v>
      </c>
    </row>
    <row r="2022" spans="1:13">
      <c r="A2022" s="1">
        <f>HYPERLINK("http://www.twitter.com/NathanBLawrence/status/984416440198582272", "984416440198582272")</f>
        <v/>
      </c>
      <c r="B2022" s="2" t="n">
        <v>43202.54332175926</v>
      </c>
      <c r="C2022" t="n">
        <v>1</v>
      </c>
      <c r="D2022" t="n">
        <v>0</v>
      </c>
      <c r="E2022" t="s">
        <v>2033</v>
      </c>
      <c r="F2022" t="s"/>
      <c r="G2022" t="s"/>
      <c r="H2022" t="s"/>
      <c r="I2022" t="s"/>
      <c r="J2022" t="n">
        <v>0</v>
      </c>
      <c r="K2022" t="n">
        <v>0</v>
      </c>
      <c r="L2022" t="n">
        <v>1</v>
      </c>
      <c r="M2022" t="n">
        <v>0</v>
      </c>
    </row>
    <row r="2023" spans="1:13">
      <c r="A2023" s="1">
        <f>HYPERLINK("http://www.twitter.com/NathanBLawrence/status/984413051947487232", "984413051947487232")</f>
        <v/>
      </c>
      <c r="B2023" s="2" t="n">
        <v>43202.53396990741</v>
      </c>
      <c r="C2023" t="n">
        <v>2</v>
      </c>
      <c r="D2023" t="n">
        <v>0</v>
      </c>
      <c r="E2023" t="s">
        <v>2034</v>
      </c>
      <c r="F2023" t="s"/>
      <c r="G2023" t="s"/>
      <c r="H2023" t="s"/>
      <c r="I2023" t="s"/>
      <c r="J2023" t="n">
        <v>-0.5962</v>
      </c>
      <c r="K2023" t="n">
        <v>0.159</v>
      </c>
      <c r="L2023" t="n">
        <v>0.776</v>
      </c>
      <c r="M2023" t="n">
        <v>0.066</v>
      </c>
    </row>
    <row r="2024" spans="1:13">
      <c r="A2024" s="1">
        <f>HYPERLINK("http://www.twitter.com/NathanBLawrence/status/984410071508582401", "984410071508582401")</f>
        <v/>
      </c>
      <c r="B2024" s="2" t="n">
        <v>43202.52575231482</v>
      </c>
      <c r="C2024" t="n">
        <v>0</v>
      </c>
      <c r="D2024" t="n">
        <v>5802</v>
      </c>
      <c r="E2024" t="s">
        <v>2035</v>
      </c>
      <c r="F2024">
        <f>HYPERLINK("http://pbs.twimg.com/media/C8kvto3UAAE0SrC.jpg", "http://pbs.twimg.com/media/C8kvto3UAAE0SrC.jpg")</f>
        <v/>
      </c>
      <c r="G2024" t="s"/>
      <c r="H2024" t="s"/>
      <c r="I2024" t="s"/>
      <c r="J2024" t="n">
        <v>0</v>
      </c>
      <c r="K2024" t="n">
        <v>0</v>
      </c>
      <c r="L2024" t="n">
        <v>1</v>
      </c>
      <c r="M2024" t="n">
        <v>0</v>
      </c>
    </row>
    <row r="2025" spans="1:13">
      <c r="A2025" s="1">
        <f>HYPERLINK("http://www.twitter.com/NathanBLawrence/status/984407338256871429", "984407338256871429")</f>
        <v/>
      </c>
      <c r="B2025" s="2" t="n">
        <v>43202.51820601852</v>
      </c>
      <c r="C2025" t="n">
        <v>8</v>
      </c>
      <c r="D2025" t="n">
        <v>9</v>
      </c>
      <c r="E2025" t="s">
        <v>2036</v>
      </c>
      <c r="F2025" t="s"/>
      <c r="G2025" t="s"/>
      <c r="H2025" t="s"/>
      <c r="I2025" t="s"/>
      <c r="J2025" t="n">
        <v>0.5881999999999999</v>
      </c>
      <c r="K2025" t="n">
        <v>0</v>
      </c>
      <c r="L2025" t="n">
        <v>0.833</v>
      </c>
      <c r="M2025" t="n">
        <v>0.167</v>
      </c>
    </row>
    <row r="2026" spans="1:13">
      <c r="A2026" s="1">
        <f>HYPERLINK("http://www.twitter.com/NathanBLawrence/status/984406634184179712", "984406634184179712")</f>
        <v/>
      </c>
      <c r="B2026" s="2" t="n">
        <v>43202.51626157408</v>
      </c>
      <c r="C2026" t="n">
        <v>1</v>
      </c>
      <c r="D2026" t="n">
        <v>1</v>
      </c>
      <c r="E2026" t="s">
        <v>2037</v>
      </c>
      <c r="F2026" t="s"/>
      <c r="G2026" t="s"/>
      <c r="H2026" t="s"/>
      <c r="I2026" t="s"/>
      <c r="J2026" t="n">
        <v>-0.8442</v>
      </c>
      <c r="K2026" t="n">
        <v>0.204</v>
      </c>
      <c r="L2026" t="n">
        <v>0.752</v>
      </c>
      <c r="M2026" t="n">
        <v>0.044</v>
      </c>
    </row>
    <row r="2027" spans="1:13">
      <c r="A2027" s="1">
        <f>HYPERLINK("http://www.twitter.com/NathanBLawrence/status/984399902691287040", "984399902691287040")</f>
        <v/>
      </c>
      <c r="B2027" s="2" t="n">
        <v>43202.49768518518</v>
      </c>
      <c r="C2027" t="n">
        <v>8</v>
      </c>
      <c r="D2027" t="n">
        <v>0</v>
      </c>
      <c r="E2027" t="s">
        <v>2038</v>
      </c>
      <c r="F2027" t="s"/>
      <c r="G2027" t="s"/>
      <c r="H2027" t="s"/>
      <c r="I2027" t="s"/>
      <c r="J2027" t="n">
        <v>-0.8636</v>
      </c>
      <c r="K2027" t="n">
        <v>0.194</v>
      </c>
      <c r="L2027" t="n">
        <v>0.806</v>
      </c>
      <c r="M2027" t="n">
        <v>0</v>
      </c>
    </row>
    <row r="2028" spans="1:13">
      <c r="A2028" s="1">
        <f>HYPERLINK("http://www.twitter.com/NathanBLawrence/status/984395120278679552", "984395120278679552")</f>
        <v/>
      </c>
      <c r="B2028" s="2" t="n">
        <v>43202.48449074074</v>
      </c>
      <c r="C2028" t="n">
        <v>1</v>
      </c>
      <c r="D2028" t="n">
        <v>0</v>
      </c>
      <c r="E2028" t="s">
        <v>2039</v>
      </c>
      <c r="F2028" t="s"/>
      <c r="G2028" t="s"/>
      <c r="H2028" t="s"/>
      <c r="I2028" t="s"/>
      <c r="J2028" t="n">
        <v>-0.7761</v>
      </c>
      <c r="K2028" t="n">
        <v>0.211</v>
      </c>
      <c r="L2028" t="n">
        <v>0.722</v>
      </c>
      <c r="M2028" t="n">
        <v>0.067</v>
      </c>
    </row>
    <row r="2029" spans="1:13">
      <c r="A2029" s="1">
        <f>HYPERLINK("http://www.twitter.com/NathanBLawrence/status/984394543289204736", "984394543289204736")</f>
        <v/>
      </c>
      <c r="B2029" s="2" t="n">
        <v>43202.48289351852</v>
      </c>
      <c r="C2029" t="n">
        <v>1</v>
      </c>
      <c r="D2029" t="n">
        <v>1</v>
      </c>
      <c r="E2029" t="s">
        <v>2040</v>
      </c>
      <c r="F2029" t="s"/>
      <c r="G2029" t="s"/>
      <c r="H2029" t="s"/>
      <c r="I2029" t="s"/>
      <c r="J2029" t="n">
        <v>0</v>
      </c>
      <c r="K2029" t="n">
        <v>0</v>
      </c>
      <c r="L2029" t="n">
        <v>1</v>
      </c>
      <c r="M2029" t="n">
        <v>0</v>
      </c>
    </row>
    <row r="2030" spans="1:13">
      <c r="A2030" s="1">
        <f>HYPERLINK("http://www.twitter.com/NathanBLawrence/status/984393964202741762", "984393964202741762")</f>
        <v/>
      </c>
      <c r="B2030" s="2" t="n">
        <v>43202.4812962963</v>
      </c>
      <c r="C2030" t="n">
        <v>0</v>
      </c>
      <c r="D2030" t="n">
        <v>4</v>
      </c>
      <c r="E2030" t="s">
        <v>2041</v>
      </c>
      <c r="F2030" t="s"/>
      <c r="G2030" t="s"/>
      <c r="H2030" t="s"/>
      <c r="I2030" t="s"/>
      <c r="J2030" t="n">
        <v>0.1779</v>
      </c>
      <c r="K2030" t="n">
        <v>0.242</v>
      </c>
      <c r="L2030" t="n">
        <v>0.44</v>
      </c>
      <c r="M2030" t="n">
        <v>0.319</v>
      </c>
    </row>
    <row r="2031" spans="1:13">
      <c r="A2031" s="1">
        <f>HYPERLINK("http://www.twitter.com/NathanBLawrence/status/984392432325455873", "984392432325455873")</f>
        <v/>
      </c>
      <c r="B2031" s="2" t="n">
        <v>43202.47707175926</v>
      </c>
      <c r="C2031" t="n">
        <v>0</v>
      </c>
      <c r="D2031" t="n">
        <v>1</v>
      </c>
      <c r="E2031" t="s">
        <v>2042</v>
      </c>
      <c r="F2031" t="s"/>
      <c r="G2031" t="s"/>
      <c r="H2031" t="s"/>
      <c r="I2031" t="s"/>
      <c r="J2031" t="n">
        <v>0</v>
      </c>
      <c r="K2031" t="n">
        <v>0</v>
      </c>
      <c r="L2031" t="n">
        <v>1</v>
      </c>
      <c r="M2031" t="n">
        <v>0</v>
      </c>
    </row>
    <row r="2032" spans="1:13">
      <c r="A2032" s="1">
        <f>HYPERLINK("http://www.twitter.com/NathanBLawrence/status/984392266826608640", "984392266826608640")</f>
        <v/>
      </c>
      <c r="B2032" s="2" t="n">
        <v>43202.47662037037</v>
      </c>
      <c r="C2032" t="n">
        <v>0</v>
      </c>
      <c r="D2032" t="n">
        <v>3</v>
      </c>
      <c r="E2032" t="s">
        <v>2043</v>
      </c>
      <c r="F2032" t="s"/>
      <c r="G2032" t="s"/>
      <c r="H2032" t="s"/>
      <c r="I2032" t="s"/>
      <c r="J2032" t="n">
        <v>0</v>
      </c>
      <c r="K2032" t="n">
        <v>0</v>
      </c>
      <c r="L2032" t="n">
        <v>1</v>
      </c>
      <c r="M2032" t="n">
        <v>0</v>
      </c>
    </row>
    <row r="2033" spans="1:13">
      <c r="A2033" s="1">
        <f>HYPERLINK("http://www.twitter.com/NathanBLawrence/status/984273484414095360", "984273484414095360")</f>
        <v/>
      </c>
      <c r="B2033" s="2" t="n">
        <v>43202.14884259259</v>
      </c>
      <c r="C2033" t="n">
        <v>0</v>
      </c>
      <c r="D2033" t="n">
        <v>1</v>
      </c>
      <c r="E2033" t="s">
        <v>2044</v>
      </c>
      <c r="F2033" t="s"/>
      <c r="G2033" t="s"/>
      <c r="H2033" t="s"/>
      <c r="I2033" t="s"/>
      <c r="J2033" t="n">
        <v>0</v>
      </c>
      <c r="K2033" t="n">
        <v>0</v>
      </c>
      <c r="L2033" t="n">
        <v>1</v>
      </c>
      <c r="M2033" t="n">
        <v>0</v>
      </c>
    </row>
    <row r="2034" spans="1:13">
      <c r="A2034" s="1">
        <f>HYPERLINK("http://www.twitter.com/NathanBLawrence/status/984272605158035456", "984272605158035456")</f>
        <v/>
      </c>
      <c r="B2034" s="2" t="n">
        <v>43202.14641203704</v>
      </c>
      <c r="C2034" t="n">
        <v>0</v>
      </c>
      <c r="D2034" t="n">
        <v>3</v>
      </c>
      <c r="E2034" t="s">
        <v>2045</v>
      </c>
      <c r="F2034" t="s"/>
      <c r="G2034" t="s"/>
      <c r="H2034" t="s"/>
      <c r="I2034" t="s"/>
      <c r="J2034" t="n">
        <v>0</v>
      </c>
      <c r="K2034" t="n">
        <v>0</v>
      </c>
      <c r="L2034" t="n">
        <v>1</v>
      </c>
      <c r="M2034" t="n">
        <v>0</v>
      </c>
    </row>
    <row r="2035" spans="1:13">
      <c r="A2035" s="1">
        <f>HYPERLINK("http://www.twitter.com/NathanBLawrence/status/984272434537881600", "984272434537881600")</f>
        <v/>
      </c>
      <c r="B2035" s="2" t="n">
        <v>43202.1459375</v>
      </c>
      <c r="C2035" t="n">
        <v>0</v>
      </c>
      <c r="D2035" t="n">
        <v>12</v>
      </c>
      <c r="E2035" t="s">
        <v>2046</v>
      </c>
      <c r="F2035" t="s"/>
      <c r="G2035" t="s"/>
      <c r="H2035" t="s"/>
      <c r="I2035" t="s"/>
      <c r="J2035" t="n">
        <v>0</v>
      </c>
      <c r="K2035" t="n">
        <v>0</v>
      </c>
      <c r="L2035" t="n">
        <v>1</v>
      </c>
      <c r="M2035" t="n">
        <v>0</v>
      </c>
    </row>
    <row r="2036" spans="1:13">
      <c r="A2036" s="1">
        <f>HYPERLINK("http://www.twitter.com/NathanBLawrence/status/984271625712435200", "984271625712435200")</f>
        <v/>
      </c>
      <c r="B2036" s="2" t="n">
        <v>43202.14371527778</v>
      </c>
      <c r="C2036" t="n">
        <v>0</v>
      </c>
      <c r="D2036" t="n">
        <v>1881</v>
      </c>
      <c r="E2036" t="s">
        <v>2047</v>
      </c>
      <c r="F2036">
        <f>HYPERLINK("https://video.twimg.com/ext_tw_video/984264089227669504/pu/vid/1280x720/1gYoW-hTub6YwfAl.mp4?tag=2", "https://video.twimg.com/ext_tw_video/984264089227669504/pu/vid/1280x720/1gYoW-hTub6YwfAl.mp4?tag=2")</f>
        <v/>
      </c>
      <c r="G2036" t="s"/>
      <c r="H2036" t="s"/>
      <c r="I2036" t="s"/>
      <c r="J2036" t="n">
        <v>0.6705</v>
      </c>
      <c r="K2036" t="n">
        <v>0</v>
      </c>
      <c r="L2036" t="n">
        <v>0.776</v>
      </c>
      <c r="M2036" t="n">
        <v>0.224</v>
      </c>
    </row>
    <row r="2037" spans="1:13">
      <c r="A2037" s="1">
        <f>HYPERLINK("http://www.twitter.com/NathanBLawrence/status/984270314178834432", "984270314178834432")</f>
        <v/>
      </c>
      <c r="B2037" s="2" t="n">
        <v>43202.14009259259</v>
      </c>
      <c r="C2037" t="n">
        <v>0</v>
      </c>
      <c r="D2037" t="n">
        <v>6</v>
      </c>
      <c r="E2037" t="s">
        <v>2048</v>
      </c>
      <c r="F2037">
        <f>HYPERLINK("http://pbs.twimg.com/media/DaeorfQVAAESSjk.jpg", "http://pbs.twimg.com/media/DaeorfQVAAESSjk.jpg")</f>
        <v/>
      </c>
      <c r="G2037" t="s"/>
      <c r="H2037" t="s"/>
      <c r="I2037" t="s"/>
      <c r="J2037" t="n">
        <v>-0.5242</v>
      </c>
      <c r="K2037" t="n">
        <v>0.151</v>
      </c>
      <c r="L2037" t="n">
        <v>0.849</v>
      </c>
      <c r="M2037" t="n">
        <v>0</v>
      </c>
    </row>
    <row r="2038" spans="1:13">
      <c r="A2038" s="1">
        <f>HYPERLINK("http://www.twitter.com/NathanBLawrence/status/984254883917418497", "984254883917418497")</f>
        <v/>
      </c>
      <c r="B2038" s="2" t="n">
        <v>43202.09751157407</v>
      </c>
      <c r="C2038" t="n">
        <v>0</v>
      </c>
      <c r="D2038" t="n">
        <v>21</v>
      </c>
      <c r="E2038" t="s">
        <v>2049</v>
      </c>
      <c r="F2038">
        <f>HYPERLINK("http://pbs.twimg.com/media/DagCd6GVMAAtyDD.jpg", "http://pbs.twimg.com/media/DagCd6GVMAAtyDD.jpg")</f>
        <v/>
      </c>
      <c r="G2038" t="s"/>
      <c r="H2038" t="s"/>
      <c r="I2038" t="s"/>
      <c r="J2038" t="n">
        <v>0</v>
      </c>
      <c r="K2038" t="n">
        <v>0</v>
      </c>
      <c r="L2038" t="n">
        <v>1</v>
      </c>
      <c r="M2038" t="n">
        <v>0</v>
      </c>
    </row>
    <row r="2039" spans="1:13">
      <c r="A2039" s="1">
        <f>HYPERLINK("http://www.twitter.com/NathanBLawrence/status/984253939653730304", "984253939653730304")</f>
        <v/>
      </c>
      <c r="B2039" s="2" t="n">
        <v>43202.09490740741</v>
      </c>
      <c r="C2039" t="n">
        <v>4</v>
      </c>
      <c r="D2039" t="n">
        <v>1</v>
      </c>
      <c r="E2039" t="s">
        <v>2050</v>
      </c>
      <c r="F2039">
        <f>HYPERLINK("http://pbs.twimg.com/media/DajFvXkVAAAAJ4g.jpg", "http://pbs.twimg.com/media/DajFvXkVAAAAJ4g.jpg")</f>
        <v/>
      </c>
      <c r="G2039" t="s"/>
      <c r="H2039" t="s"/>
      <c r="I2039" t="s"/>
      <c r="J2039" t="n">
        <v>0.223</v>
      </c>
      <c r="K2039" t="n">
        <v>0.163</v>
      </c>
      <c r="L2039" t="n">
        <v>0.653</v>
      </c>
      <c r="M2039" t="n">
        <v>0.184</v>
      </c>
    </row>
    <row r="2040" spans="1:13">
      <c r="A2040" s="1">
        <f>HYPERLINK("http://www.twitter.com/NathanBLawrence/status/984252905908776961", "984252905908776961")</f>
        <v/>
      </c>
      <c r="B2040" s="2" t="n">
        <v>43202.09204861111</v>
      </c>
      <c r="C2040" t="n">
        <v>3</v>
      </c>
      <c r="D2040" t="n">
        <v>1</v>
      </c>
      <c r="E2040" t="s">
        <v>2051</v>
      </c>
      <c r="F2040">
        <f>HYPERLINK("http://pbs.twimg.com/media/DajEy8cUQAAt80A.jpg", "http://pbs.twimg.com/media/DajEy8cUQAAt80A.jpg")</f>
        <v/>
      </c>
      <c r="G2040" t="s"/>
      <c r="H2040" t="s"/>
      <c r="I2040" t="s"/>
      <c r="J2040" t="n">
        <v>0</v>
      </c>
      <c r="K2040" t="n">
        <v>0</v>
      </c>
      <c r="L2040" t="n">
        <v>1</v>
      </c>
      <c r="M2040" t="n">
        <v>0</v>
      </c>
    </row>
    <row r="2041" spans="1:13">
      <c r="A2041" s="1">
        <f>HYPERLINK("http://www.twitter.com/NathanBLawrence/status/984252774866128896", "984252774866128896")</f>
        <v/>
      </c>
      <c r="B2041" s="2" t="n">
        <v>43202.09168981481</v>
      </c>
      <c r="C2041" t="n">
        <v>1</v>
      </c>
      <c r="D2041" t="n">
        <v>0</v>
      </c>
      <c r="E2041" t="s">
        <v>2052</v>
      </c>
      <c r="F2041" t="s"/>
      <c r="G2041" t="s"/>
      <c r="H2041" t="s"/>
      <c r="I2041" t="s"/>
      <c r="J2041" t="n">
        <v>0</v>
      </c>
      <c r="K2041" t="n">
        <v>0</v>
      </c>
      <c r="L2041" t="n">
        <v>1</v>
      </c>
      <c r="M2041" t="n">
        <v>0</v>
      </c>
    </row>
    <row r="2042" spans="1:13">
      <c r="A2042" s="1">
        <f>HYPERLINK("http://www.twitter.com/NathanBLawrence/status/984239362895380480", "984239362895380480")</f>
        <v/>
      </c>
      <c r="B2042" s="2" t="n">
        <v>43202.0546875</v>
      </c>
      <c r="C2042" t="n">
        <v>1</v>
      </c>
      <c r="D2042" t="n">
        <v>1</v>
      </c>
      <c r="E2042" t="s">
        <v>2053</v>
      </c>
      <c r="F2042" t="s"/>
      <c r="G2042" t="s"/>
      <c r="H2042" t="s"/>
      <c r="I2042" t="s"/>
      <c r="J2042" t="n">
        <v>0.3612</v>
      </c>
      <c r="K2042" t="n">
        <v>0</v>
      </c>
      <c r="L2042" t="n">
        <v>0.8149999999999999</v>
      </c>
      <c r="M2042" t="n">
        <v>0.185</v>
      </c>
    </row>
    <row r="2043" spans="1:13">
      <c r="A2043" s="1">
        <f>HYPERLINK("http://www.twitter.com/NathanBLawrence/status/984239121249001475", "984239121249001475")</f>
        <v/>
      </c>
      <c r="B2043" s="2" t="n">
        <v>43202.05401620371</v>
      </c>
      <c r="C2043" t="n">
        <v>0</v>
      </c>
      <c r="D2043" t="n">
        <v>649</v>
      </c>
      <c r="E2043" t="s">
        <v>2054</v>
      </c>
      <c r="F2043">
        <f>HYPERLINK("https://video.twimg.com/ext_tw_video/984217842462568448/pu/vid/480x480/ZqPmfZh6xLpw6Pp2.mp4?tag=2", "https://video.twimg.com/ext_tw_video/984217842462568448/pu/vid/480x480/ZqPmfZh6xLpw6Pp2.mp4?tag=2")</f>
        <v/>
      </c>
      <c r="G2043" t="s"/>
      <c r="H2043" t="s"/>
      <c r="I2043" t="s"/>
      <c r="J2043" t="n">
        <v>0.0772</v>
      </c>
      <c r="K2043" t="n">
        <v>0</v>
      </c>
      <c r="L2043" t="n">
        <v>0.944</v>
      </c>
      <c r="M2043" t="n">
        <v>0.056</v>
      </c>
    </row>
    <row r="2044" spans="1:13">
      <c r="A2044" s="1">
        <f>HYPERLINK("http://www.twitter.com/NathanBLawrence/status/984238165438410752", "984238165438410752")</f>
        <v/>
      </c>
      <c r="B2044" s="2" t="n">
        <v>43202.05137731481</v>
      </c>
      <c r="C2044" t="n">
        <v>0</v>
      </c>
      <c r="D2044" t="n">
        <v>6</v>
      </c>
      <c r="E2044" t="s">
        <v>2055</v>
      </c>
      <c r="F2044">
        <f>HYPERLINK("http://pbs.twimg.com/media/DaiVB5yXcAIPh25.jpg", "http://pbs.twimg.com/media/DaiVB5yXcAIPh25.jpg")</f>
        <v/>
      </c>
      <c r="G2044" t="s"/>
      <c r="H2044" t="s"/>
      <c r="I2044" t="s"/>
      <c r="J2044" t="n">
        <v>0</v>
      </c>
      <c r="K2044" t="n">
        <v>0</v>
      </c>
      <c r="L2044" t="n">
        <v>1</v>
      </c>
      <c r="M2044" t="n">
        <v>0</v>
      </c>
    </row>
    <row r="2045" spans="1:13">
      <c r="A2045" s="1">
        <f>HYPERLINK("http://www.twitter.com/NathanBLawrence/status/984237799363801089", "984237799363801089")</f>
        <v/>
      </c>
      <c r="B2045" s="2" t="n">
        <v>43202.05037037037</v>
      </c>
      <c r="C2045" t="n">
        <v>0</v>
      </c>
      <c r="D2045" t="n">
        <v>0</v>
      </c>
      <c r="E2045" t="s">
        <v>2056</v>
      </c>
      <c r="F2045" t="s"/>
      <c r="G2045" t="s"/>
      <c r="H2045" t="s"/>
      <c r="I2045" t="s"/>
      <c r="J2045" t="n">
        <v>0</v>
      </c>
      <c r="K2045" t="n">
        <v>0</v>
      </c>
      <c r="L2045" t="n">
        <v>1</v>
      </c>
      <c r="M2045" t="n">
        <v>0</v>
      </c>
    </row>
    <row r="2046" spans="1:13">
      <c r="A2046" s="1">
        <f>HYPERLINK("http://www.twitter.com/NathanBLawrence/status/984221784936509442", "984221784936509442")</f>
        <v/>
      </c>
      <c r="B2046" s="2" t="n">
        <v>43202.00618055555</v>
      </c>
      <c r="C2046" t="n">
        <v>2</v>
      </c>
      <c r="D2046" t="n">
        <v>0</v>
      </c>
      <c r="E2046" t="s">
        <v>2057</v>
      </c>
      <c r="F2046" t="s"/>
      <c r="G2046" t="s"/>
      <c r="H2046" t="s"/>
      <c r="I2046" t="s"/>
      <c r="J2046" t="n">
        <v>0.6114000000000001</v>
      </c>
      <c r="K2046" t="n">
        <v>0</v>
      </c>
      <c r="L2046" t="n">
        <v>0.501</v>
      </c>
      <c r="M2046" t="n">
        <v>0.499</v>
      </c>
    </row>
    <row r="2047" spans="1:13">
      <c r="A2047" s="1">
        <f>HYPERLINK("http://www.twitter.com/NathanBLawrence/status/984221698634534912", "984221698634534912")</f>
        <v/>
      </c>
      <c r="B2047" s="2" t="n">
        <v>43202.0059375</v>
      </c>
      <c r="C2047" t="n">
        <v>2</v>
      </c>
      <c r="D2047" t="n">
        <v>1</v>
      </c>
      <c r="E2047" t="s">
        <v>2058</v>
      </c>
      <c r="F2047" t="s"/>
      <c r="G2047" t="s"/>
      <c r="H2047" t="s"/>
      <c r="I2047" t="s"/>
      <c r="J2047" t="n">
        <v>-0.6114000000000001</v>
      </c>
      <c r="K2047" t="n">
        <v>0.117</v>
      </c>
      <c r="L2047" t="n">
        <v>0.883</v>
      </c>
      <c r="M2047" t="n">
        <v>0</v>
      </c>
    </row>
    <row r="2048" spans="1:13">
      <c r="A2048" s="1">
        <f>HYPERLINK("http://www.twitter.com/NathanBLawrence/status/984221349060206592", "984221349060206592")</f>
        <v/>
      </c>
      <c r="B2048" s="2" t="n">
        <v>43202.00497685185</v>
      </c>
      <c r="C2048" t="n">
        <v>1</v>
      </c>
      <c r="D2048" t="n">
        <v>0</v>
      </c>
      <c r="E2048" t="s">
        <v>2059</v>
      </c>
      <c r="F2048" t="s"/>
      <c r="G2048" t="s"/>
      <c r="H2048" t="s"/>
      <c r="I2048" t="s"/>
      <c r="J2048" t="n">
        <v>0</v>
      </c>
      <c r="K2048" t="n">
        <v>0</v>
      </c>
      <c r="L2048" t="n">
        <v>1</v>
      </c>
      <c r="M2048" t="n">
        <v>0</v>
      </c>
    </row>
    <row r="2049" spans="1:13">
      <c r="A2049" s="1">
        <f>HYPERLINK("http://www.twitter.com/NathanBLawrence/status/984217075920011264", "984217075920011264")</f>
        <v/>
      </c>
      <c r="B2049" s="2" t="n">
        <v>43201.99318287037</v>
      </c>
      <c r="C2049" t="n">
        <v>4</v>
      </c>
      <c r="D2049" t="n">
        <v>1</v>
      </c>
      <c r="E2049" t="s">
        <v>2060</v>
      </c>
      <c r="F2049" t="s"/>
      <c r="G2049" t="s"/>
      <c r="H2049" t="s"/>
      <c r="I2049" t="s"/>
      <c r="J2049" t="n">
        <v>-0.5095</v>
      </c>
      <c r="K2049" t="n">
        <v>0.121</v>
      </c>
      <c r="L2049" t="n">
        <v>0.879</v>
      </c>
      <c r="M2049" t="n">
        <v>0</v>
      </c>
    </row>
    <row r="2050" spans="1:13">
      <c r="A2050" s="1">
        <f>HYPERLINK("http://www.twitter.com/NathanBLawrence/status/984216633349689344", "984216633349689344")</f>
        <v/>
      </c>
      <c r="B2050" s="2" t="n">
        <v>43201.99195601852</v>
      </c>
      <c r="C2050" t="n">
        <v>1</v>
      </c>
      <c r="D2050" t="n">
        <v>0</v>
      </c>
      <c r="E2050" t="s">
        <v>2061</v>
      </c>
      <c r="F2050" t="s"/>
      <c r="G2050" t="s"/>
      <c r="H2050" t="s"/>
      <c r="I2050" t="s"/>
      <c r="J2050" t="n">
        <v>-0.4939</v>
      </c>
      <c r="K2050" t="n">
        <v>0.516</v>
      </c>
      <c r="L2050" t="n">
        <v>0.484</v>
      </c>
      <c r="M2050" t="n">
        <v>0</v>
      </c>
    </row>
    <row r="2051" spans="1:13">
      <c r="A2051" s="1">
        <f>HYPERLINK("http://www.twitter.com/NathanBLawrence/status/984215935652331520", "984215935652331520")</f>
        <v/>
      </c>
      <c r="B2051" s="2" t="n">
        <v>43201.99003472222</v>
      </c>
      <c r="C2051" t="n">
        <v>1</v>
      </c>
      <c r="D2051" t="n">
        <v>0</v>
      </c>
      <c r="E2051" t="s">
        <v>2062</v>
      </c>
      <c r="F2051" t="s"/>
      <c r="G2051" t="s"/>
      <c r="H2051" t="s"/>
      <c r="I2051" t="s"/>
      <c r="J2051" t="n">
        <v>-0.7184</v>
      </c>
      <c r="K2051" t="n">
        <v>0.545</v>
      </c>
      <c r="L2051" t="n">
        <v>0.455</v>
      </c>
      <c r="M2051" t="n">
        <v>0</v>
      </c>
    </row>
    <row r="2052" spans="1:13">
      <c r="A2052" s="1">
        <f>HYPERLINK("http://www.twitter.com/NathanBLawrence/status/984215765535608832", "984215765535608832")</f>
        <v/>
      </c>
      <c r="B2052" s="2" t="n">
        <v>43201.98957175926</v>
      </c>
      <c r="C2052" t="n">
        <v>1</v>
      </c>
      <c r="D2052" t="n">
        <v>0</v>
      </c>
      <c r="E2052" t="s">
        <v>2063</v>
      </c>
      <c r="F2052" t="s"/>
      <c r="G2052" t="s"/>
      <c r="H2052" t="s"/>
      <c r="I2052" t="s"/>
      <c r="J2052" t="n">
        <v>0.34</v>
      </c>
      <c r="K2052" t="n">
        <v>0.081</v>
      </c>
      <c r="L2052" t="n">
        <v>0.75</v>
      </c>
      <c r="M2052" t="n">
        <v>0.169</v>
      </c>
    </row>
    <row r="2053" spans="1:13">
      <c r="A2053" s="1">
        <f>HYPERLINK("http://www.twitter.com/NathanBLawrence/status/984208560191131649", "984208560191131649")</f>
        <v/>
      </c>
      <c r="B2053" s="2" t="n">
        <v>43201.9696875</v>
      </c>
      <c r="C2053" t="n">
        <v>0</v>
      </c>
      <c r="D2053" t="n">
        <v>0</v>
      </c>
      <c r="E2053" t="s">
        <v>2064</v>
      </c>
      <c r="F2053" t="s"/>
      <c r="G2053" t="s"/>
      <c r="H2053" t="s"/>
      <c r="I2053" t="s"/>
      <c r="J2053" t="n">
        <v>0.8122</v>
      </c>
      <c r="K2053" t="n">
        <v>0</v>
      </c>
      <c r="L2053" t="n">
        <v>0.819</v>
      </c>
      <c r="M2053" t="n">
        <v>0.181</v>
      </c>
    </row>
    <row r="2054" spans="1:13">
      <c r="A2054" s="1">
        <f>HYPERLINK("http://www.twitter.com/NathanBLawrence/status/984206633948667912", "984206633948667912")</f>
        <v/>
      </c>
      <c r="B2054" s="2" t="n">
        <v>43201.96436342593</v>
      </c>
      <c r="C2054" t="n">
        <v>1</v>
      </c>
      <c r="D2054" t="n">
        <v>0</v>
      </c>
      <c r="E2054" t="s">
        <v>2065</v>
      </c>
      <c r="F2054" t="s"/>
      <c r="G2054" t="s"/>
      <c r="H2054" t="s"/>
      <c r="I2054" t="s"/>
      <c r="J2054" t="n">
        <v>-0.4019</v>
      </c>
      <c r="K2054" t="n">
        <v>0.153</v>
      </c>
      <c r="L2054" t="n">
        <v>0.847</v>
      </c>
      <c r="M2054" t="n">
        <v>0</v>
      </c>
    </row>
    <row r="2055" spans="1:13">
      <c r="A2055" s="1">
        <f>HYPERLINK("http://www.twitter.com/NathanBLawrence/status/984206152203427841", "984206152203427841")</f>
        <v/>
      </c>
      <c r="B2055" s="2" t="n">
        <v>43201.96304398148</v>
      </c>
      <c r="C2055" t="n">
        <v>3</v>
      </c>
      <c r="D2055" t="n">
        <v>0</v>
      </c>
      <c r="E2055" t="s">
        <v>2066</v>
      </c>
      <c r="F2055" t="s"/>
      <c r="G2055" t="s"/>
      <c r="H2055" t="s"/>
      <c r="I2055" t="s"/>
      <c r="J2055" t="n">
        <v>0.508</v>
      </c>
      <c r="K2055" t="n">
        <v>0</v>
      </c>
      <c r="L2055" t="n">
        <v>0.785</v>
      </c>
      <c r="M2055" t="n">
        <v>0.215</v>
      </c>
    </row>
    <row r="2056" spans="1:13">
      <c r="A2056" s="1">
        <f>HYPERLINK("http://www.twitter.com/NathanBLawrence/status/984194753750360068", "984194753750360068")</f>
        <v/>
      </c>
      <c r="B2056" s="2" t="n">
        <v>43201.93158564815</v>
      </c>
      <c r="C2056" t="n">
        <v>0</v>
      </c>
      <c r="D2056" t="n">
        <v>756</v>
      </c>
      <c r="E2056" t="s">
        <v>2067</v>
      </c>
      <c r="F2056" t="s"/>
      <c r="G2056" t="s"/>
      <c r="H2056" t="s"/>
      <c r="I2056" t="s"/>
      <c r="J2056" t="n">
        <v>0.296</v>
      </c>
      <c r="K2056" t="n">
        <v>0</v>
      </c>
      <c r="L2056" t="n">
        <v>0.909</v>
      </c>
      <c r="M2056" t="n">
        <v>0.091</v>
      </c>
    </row>
    <row r="2057" spans="1:13">
      <c r="A2057" s="1">
        <f>HYPERLINK("http://www.twitter.com/NathanBLawrence/status/984188748320657408", "984188748320657408")</f>
        <v/>
      </c>
      <c r="B2057" s="2" t="n">
        <v>43201.91501157408</v>
      </c>
      <c r="C2057" t="n">
        <v>0</v>
      </c>
      <c r="D2057" t="n">
        <v>0</v>
      </c>
      <c r="E2057" t="s">
        <v>2068</v>
      </c>
      <c r="F2057" t="s"/>
      <c r="G2057" t="s"/>
      <c r="H2057" t="s"/>
      <c r="I2057" t="s"/>
      <c r="J2057" t="n">
        <v>0.6916</v>
      </c>
      <c r="K2057" t="n">
        <v>0</v>
      </c>
      <c r="L2057" t="n">
        <v>0.782</v>
      </c>
      <c r="M2057" t="n">
        <v>0.218</v>
      </c>
    </row>
    <row r="2058" spans="1:13">
      <c r="A2058" s="1">
        <f>HYPERLINK("http://www.twitter.com/NathanBLawrence/status/984173085761863682", "984173085761863682")</f>
        <v/>
      </c>
      <c r="B2058" s="2" t="n">
        <v>43201.87179398148</v>
      </c>
      <c r="C2058" t="n">
        <v>0</v>
      </c>
      <c r="D2058" t="n">
        <v>0</v>
      </c>
      <c r="E2058" t="s">
        <v>2069</v>
      </c>
      <c r="F2058" t="s"/>
      <c r="G2058" t="s"/>
      <c r="H2058" t="s"/>
      <c r="I2058" t="s"/>
      <c r="J2058" t="n">
        <v>0</v>
      </c>
      <c r="K2058" t="n">
        <v>0</v>
      </c>
      <c r="L2058" t="n">
        <v>1</v>
      </c>
      <c r="M2058" t="n">
        <v>0</v>
      </c>
    </row>
    <row r="2059" spans="1:13">
      <c r="A2059" s="1">
        <f>HYPERLINK("http://www.twitter.com/NathanBLawrence/status/984172866605408256", "984172866605408256")</f>
        <v/>
      </c>
      <c r="B2059" s="2" t="n">
        <v>43201.87119212963</v>
      </c>
      <c r="C2059" t="n">
        <v>0</v>
      </c>
      <c r="D2059" t="n">
        <v>0</v>
      </c>
      <c r="E2059" t="s">
        <v>2070</v>
      </c>
      <c r="F2059" t="s"/>
      <c r="G2059" t="s"/>
      <c r="H2059" t="s"/>
      <c r="I2059" t="s"/>
      <c r="J2059" t="n">
        <v>0.7469</v>
      </c>
      <c r="K2059" t="n">
        <v>0.059</v>
      </c>
      <c r="L2059" t="n">
        <v>0.694</v>
      </c>
      <c r="M2059" t="n">
        <v>0.246</v>
      </c>
    </row>
    <row r="2060" spans="1:13">
      <c r="A2060" s="1">
        <f>HYPERLINK("http://www.twitter.com/NathanBLawrence/status/984172372457639938", "984172372457639938")</f>
        <v/>
      </c>
      <c r="B2060" s="2" t="n">
        <v>43201.86982638889</v>
      </c>
      <c r="C2060" t="n">
        <v>1</v>
      </c>
      <c r="D2060" t="n">
        <v>2</v>
      </c>
      <c r="E2060" t="s">
        <v>2071</v>
      </c>
      <c r="F2060" t="s"/>
      <c r="G2060" t="s"/>
      <c r="H2060" t="s"/>
      <c r="I2060" t="s"/>
      <c r="J2060" t="n">
        <v>0</v>
      </c>
      <c r="K2060" t="n">
        <v>0</v>
      </c>
      <c r="L2060" t="n">
        <v>1</v>
      </c>
      <c r="M2060" t="n">
        <v>0</v>
      </c>
    </row>
    <row r="2061" spans="1:13">
      <c r="A2061" s="1">
        <f>HYPERLINK("http://www.twitter.com/NathanBLawrence/status/984171938368118784", "984171938368118784")</f>
        <v/>
      </c>
      <c r="B2061" s="2" t="n">
        <v>43201.86862268519</v>
      </c>
      <c r="C2061" t="n">
        <v>1</v>
      </c>
      <c r="D2061" t="n">
        <v>0</v>
      </c>
      <c r="E2061" t="s">
        <v>2072</v>
      </c>
      <c r="F2061" t="s"/>
      <c r="G2061" t="s"/>
      <c r="H2061" t="s"/>
      <c r="I2061" t="s"/>
      <c r="J2061" t="n">
        <v>0</v>
      </c>
      <c r="K2061" t="n">
        <v>0</v>
      </c>
      <c r="L2061" t="n">
        <v>1</v>
      </c>
      <c r="M2061" t="n">
        <v>0</v>
      </c>
    </row>
    <row r="2062" spans="1:13">
      <c r="A2062" s="1">
        <f>HYPERLINK("http://www.twitter.com/NathanBLawrence/status/984164748739665920", "984164748739665920")</f>
        <v/>
      </c>
      <c r="B2062" s="2" t="n">
        <v>43201.84878472222</v>
      </c>
      <c r="C2062" t="n">
        <v>23</v>
      </c>
      <c r="D2062" t="n">
        <v>6</v>
      </c>
      <c r="E2062" t="s">
        <v>2073</v>
      </c>
      <c r="F2062">
        <f>HYPERLINK("http://pbs.twimg.com/media/Dah0nc6VwAEbvB_.jpg", "http://pbs.twimg.com/media/Dah0nc6VwAEbvB_.jpg")</f>
        <v/>
      </c>
      <c r="G2062" t="s"/>
      <c r="H2062" t="s"/>
      <c r="I2062" t="s"/>
      <c r="J2062" t="n">
        <v>0.4939</v>
      </c>
      <c r="K2062" t="n">
        <v>0</v>
      </c>
      <c r="L2062" t="n">
        <v>0.894</v>
      </c>
      <c r="M2062" t="n">
        <v>0.106</v>
      </c>
    </row>
    <row r="2063" spans="1:13">
      <c r="A2063" s="1">
        <f>HYPERLINK("http://www.twitter.com/NathanBLawrence/status/984151376036007937", "984151376036007937")</f>
        <v/>
      </c>
      <c r="B2063" s="2" t="n">
        <v>43201.81188657408</v>
      </c>
      <c r="C2063" t="n">
        <v>0</v>
      </c>
      <c r="D2063" t="n">
        <v>0</v>
      </c>
      <c r="E2063" t="s">
        <v>2074</v>
      </c>
      <c r="F2063" t="s"/>
      <c r="G2063" t="s"/>
      <c r="H2063" t="s"/>
      <c r="I2063" t="s"/>
      <c r="J2063" t="n">
        <v>0.7409</v>
      </c>
      <c r="K2063" t="n">
        <v>0.166</v>
      </c>
      <c r="L2063" t="n">
        <v>0.555</v>
      </c>
      <c r="M2063" t="n">
        <v>0.279</v>
      </c>
    </row>
    <row r="2064" spans="1:13">
      <c r="A2064" s="1">
        <f>HYPERLINK("http://www.twitter.com/NathanBLawrence/status/984150790691581953", "984150790691581953")</f>
        <v/>
      </c>
      <c r="B2064" s="2" t="n">
        <v>43201.81026620371</v>
      </c>
      <c r="C2064" t="n">
        <v>0</v>
      </c>
      <c r="D2064" t="n">
        <v>0</v>
      </c>
      <c r="E2064" t="s">
        <v>2075</v>
      </c>
      <c r="F2064" t="s"/>
      <c r="G2064" t="s"/>
      <c r="H2064" t="s"/>
      <c r="I2064" t="s"/>
      <c r="J2064" t="n">
        <v>-0.6645</v>
      </c>
      <c r="K2064" t="n">
        <v>0.162</v>
      </c>
      <c r="L2064" t="n">
        <v>0.838</v>
      </c>
      <c r="M2064" t="n">
        <v>0</v>
      </c>
    </row>
    <row r="2065" spans="1:13">
      <c r="A2065" s="1">
        <f>HYPERLINK("http://www.twitter.com/NathanBLawrence/status/984150442908246016", "984150442908246016")</f>
        <v/>
      </c>
      <c r="B2065" s="2" t="n">
        <v>43201.80930555556</v>
      </c>
      <c r="C2065" t="n">
        <v>0</v>
      </c>
      <c r="D2065" t="n">
        <v>0</v>
      </c>
      <c r="E2065" t="s">
        <v>2076</v>
      </c>
      <c r="F2065" t="s"/>
      <c r="G2065" t="s"/>
      <c r="H2065" t="s"/>
      <c r="I2065" t="s"/>
      <c r="J2065" t="n">
        <v>-0.6124000000000001</v>
      </c>
      <c r="K2065" t="n">
        <v>0.129</v>
      </c>
      <c r="L2065" t="n">
        <v>0.871</v>
      </c>
      <c r="M2065" t="n">
        <v>0</v>
      </c>
    </row>
    <row r="2066" spans="1:13">
      <c r="A2066" s="1">
        <f>HYPERLINK("http://www.twitter.com/NathanBLawrence/status/984150063218855936", "984150063218855936")</f>
        <v/>
      </c>
      <c r="B2066" s="2" t="n">
        <v>43201.80826388889</v>
      </c>
      <c r="C2066" t="n">
        <v>0</v>
      </c>
      <c r="D2066" t="n">
        <v>0</v>
      </c>
      <c r="E2066" t="s">
        <v>2077</v>
      </c>
      <c r="F2066" t="s"/>
      <c r="G2066" t="s"/>
      <c r="H2066" t="s"/>
      <c r="I2066" t="s"/>
      <c r="J2066" t="n">
        <v>-0.7269</v>
      </c>
      <c r="K2066" t="n">
        <v>0.169</v>
      </c>
      <c r="L2066" t="n">
        <v>0.831</v>
      </c>
      <c r="M2066" t="n">
        <v>0</v>
      </c>
    </row>
    <row r="2067" spans="1:13">
      <c r="A2067" s="1">
        <f>HYPERLINK("http://www.twitter.com/NathanBLawrence/status/984149723043987459", "984149723043987459")</f>
        <v/>
      </c>
      <c r="B2067" s="2" t="n">
        <v>43201.80732638889</v>
      </c>
      <c r="C2067" t="n">
        <v>4</v>
      </c>
      <c r="D2067" t="n">
        <v>3</v>
      </c>
      <c r="E2067" t="s">
        <v>2078</v>
      </c>
      <c r="F2067" t="s"/>
      <c r="G2067" t="s"/>
      <c r="H2067" t="s"/>
      <c r="I2067" t="s"/>
      <c r="J2067" t="n">
        <v>-0.8479</v>
      </c>
      <c r="K2067" t="n">
        <v>0.261</v>
      </c>
      <c r="L2067" t="n">
        <v>0.739</v>
      </c>
      <c r="M2067" t="n">
        <v>0</v>
      </c>
    </row>
    <row r="2068" spans="1:13">
      <c r="A2068" s="1">
        <f>HYPERLINK("http://www.twitter.com/NathanBLawrence/status/984148898800455681", "984148898800455681")</f>
        <v/>
      </c>
      <c r="B2068" s="2" t="n">
        <v>43201.80504629629</v>
      </c>
      <c r="C2068" t="n">
        <v>0</v>
      </c>
      <c r="D2068" t="n">
        <v>0</v>
      </c>
      <c r="E2068" t="s">
        <v>2079</v>
      </c>
      <c r="F2068" t="s"/>
      <c r="G2068" t="s"/>
      <c r="H2068" t="s"/>
      <c r="I2068" t="s"/>
      <c r="J2068" t="n">
        <v>0.886</v>
      </c>
      <c r="K2068" t="n">
        <v>0.034</v>
      </c>
      <c r="L2068" t="n">
        <v>0.779</v>
      </c>
      <c r="M2068" t="n">
        <v>0.187</v>
      </c>
    </row>
    <row r="2069" spans="1:13">
      <c r="A2069" s="1">
        <f>HYPERLINK("http://www.twitter.com/NathanBLawrence/status/984147836848824321", "984147836848824321")</f>
        <v/>
      </c>
      <c r="B2069" s="2" t="n">
        <v>43201.80211805556</v>
      </c>
      <c r="C2069" t="n">
        <v>1</v>
      </c>
      <c r="D2069" t="n">
        <v>0</v>
      </c>
      <c r="E2069" t="s">
        <v>2080</v>
      </c>
      <c r="F2069" t="s"/>
      <c r="G2069" t="s"/>
      <c r="H2069" t="s"/>
      <c r="I2069" t="s"/>
      <c r="J2069" t="n">
        <v>-0.4767</v>
      </c>
      <c r="K2069" t="n">
        <v>0.163</v>
      </c>
      <c r="L2069" t="n">
        <v>0.837</v>
      </c>
      <c r="M2069" t="n">
        <v>0</v>
      </c>
    </row>
    <row r="2070" spans="1:13">
      <c r="A2070" s="1">
        <f>HYPERLINK("http://www.twitter.com/NathanBLawrence/status/984108930807881728", "984108930807881728")</f>
        <v/>
      </c>
      <c r="B2070" s="2" t="n">
        <v>43201.69475694445</v>
      </c>
      <c r="C2070" t="n">
        <v>5</v>
      </c>
      <c r="D2070" t="n">
        <v>1</v>
      </c>
      <c r="E2070" t="s">
        <v>2081</v>
      </c>
      <c r="F2070" t="s"/>
      <c r="G2070" t="s"/>
      <c r="H2070" t="s"/>
      <c r="I2070" t="s"/>
      <c r="J2070" t="n">
        <v>-0.2801</v>
      </c>
      <c r="K2070" t="n">
        <v>0.101</v>
      </c>
      <c r="L2070" t="n">
        <v>0.844</v>
      </c>
      <c r="M2070" t="n">
        <v>0.055</v>
      </c>
    </row>
    <row r="2071" spans="1:13">
      <c r="A2071" s="1">
        <f>HYPERLINK("http://www.twitter.com/NathanBLawrence/status/984108575860645888", "984108575860645888")</f>
        <v/>
      </c>
      <c r="B2071" s="2" t="n">
        <v>43201.69377314814</v>
      </c>
      <c r="C2071" t="n">
        <v>1</v>
      </c>
      <c r="D2071" t="n">
        <v>0</v>
      </c>
      <c r="E2071" t="s">
        <v>2082</v>
      </c>
      <c r="F2071" t="s"/>
      <c r="G2071" t="s"/>
      <c r="H2071" t="s"/>
      <c r="I2071" t="s"/>
      <c r="J2071" t="n">
        <v>0.6868</v>
      </c>
      <c r="K2071" t="n">
        <v>0.045</v>
      </c>
      <c r="L2071" t="n">
        <v>0.795</v>
      </c>
      <c r="M2071" t="n">
        <v>0.16</v>
      </c>
    </row>
    <row r="2072" spans="1:13">
      <c r="A2072" s="1">
        <f>HYPERLINK("http://www.twitter.com/NathanBLawrence/status/984107948300488704", "984107948300488704")</f>
        <v/>
      </c>
      <c r="B2072" s="2" t="n">
        <v>43201.69204861111</v>
      </c>
      <c r="C2072" t="n">
        <v>0</v>
      </c>
      <c r="D2072" t="n">
        <v>4</v>
      </c>
      <c r="E2072" t="s">
        <v>2083</v>
      </c>
      <c r="F2072" t="s"/>
      <c r="G2072" t="s"/>
      <c r="H2072" t="s"/>
      <c r="I2072" t="s"/>
      <c r="J2072" t="n">
        <v>0</v>
      </c>
      <c r="K2072" t="n">
        <v>0</v>
      </c>
      <c r="L2072" t="n">
        <v>1</v>
      </c>
      <c r="M2072" t="n">
        <v>0</v>
      </c>
    </row>
    <row r="2073" spans="1:13">
      <c r="A2073" s="1">
        <f>HYPERLINK("http://www.twitter.com/NathanBLawrence/status/984107780201205760", "984107780201205760")</f>
        <v/>
      </c>
      <c r="B2073" s="2" t="n">
        <v>43201.69158564815</v>
      </c>
      <c r="C2073" t="n">
        <v>0</v>
      </c>
      <c r="D2073" t="n">
        <v>1</v>
      </c>
      <c r="E2073" t="s">
        <v>2084</v>
      </c>
      <c r="F2073" t="s"/>
      <c r="G2073" t="s"/>
      <c r="H2073" t="s"/>
      <c r="I2073" t="s"/>
      <c r="J2073" t="n">
        <v>0</v>
      </c>
      <c r="K2073" t="n">
        <v>0</v>
      </c>
      <c r="L2073" t="n">
        <v>1</v>
      </c>
      <c r="M2073" t="n">
        <v>0</v>
      </c>
    </row>
    <row r="2074" spans="1:13">
      <c r="A2074" s="1">
        <f>HYPERLINK("http://www.twitter.com/NathanBLawrence/status/984107624789630976", "984107624789630976")</f>
        <v/>
      </c>
      <c r="B2074" s="2" t="n">
        <v>43201.6911574074</v>
      </c>
      <c r="C2074" t="n">
        <v>0</v>
      </c>
      <c r="D2074" t="n">
        <v>51</v>
      </c>
      <c r="E2074" t="s">
        <v>2085</v>
      </c>
      <c r="F2074" t="s"/>
      <c r="G2074" t="s"/>
      <c r="H2074" t="s"/>
      <c r="I2074" t="s"/>
      <c r="J2074" t="n">
        <v>0.6494</v>
      </c>
      <c r="K2074" t="n">
        <v>0.161</v>
      </c>
      <c r="L2074" t="n">
        <v>0.5570000000000001</v>
      </c>
      <c r="M2074" t="n">
        <v>0.281</v>
      </c>
    </row>
    <row r="2075" spans="1:13">
      <c r="A2075" s="1">
        <f>HYPERLINK("http://www.twitter.com/NathanBLawrence/status/984107497970655232", "984107497970655232")</f>
        <v/>
      </c>
      <c r="B2075" s="2" t="n">
        <v>43201.69081018519</v>
      </c>
      <c r="C2075" t="n">
        <v>0</v>
      </c>
      <c r="D2075" t="n">
        <v>1</v>
      </c>
      <c r="E2075" t="s">
        <v>2086</v>
      </c>
      <c r="F2075" t="s"/>
      <c r="G2075" t="s"/>
      <c r="H2075" t="s"/>
      <c r="I2075" t="s"/>
      <c r="J2075" t="n">
        <v>-0.4003</v>
      </c>
      <c r="K2075" t="n">
        <v>0.231</v>
      </c>
      <c r="L2075" t="n">
        <v>0.632</v>
      </c>
      <c r="M2075" t="n">
        <v>0.137</v>
      </c>
    </row>
    <row r="2076" spans="1:13">
      <c r="A2076" s="1">
        <f>HYPERLINK("http://www.twitter.com/NathanBLawrence/status/984107436742270977", "984107436742270977")</f>
        <v/>
      </c>
      <c r="B2076" s="2" t="n">
        <v>43201.69063657407</v>
      </c>
      <c r="C2076" t="n">
        <v>0</v>
      </c>
      <c r="D2076" t="n">
        <v>1</v>
      </c>
      <c r="E2076" t="s">
        <v>2087</v>
      </c>
      <c r="F2076" t="s"/>
      <c r="G2076" t="s"/>
      <c r="H2076" t="s"/>
      <c r="I2076" t="s"/>
      <c r="J2076" t="n">
        <v>-0.7327</v>
      </c>
      <c r="K2076" t="n">
        <v>0.238</v>
      </c>
      <c r="L2076" t="n">
        <v>0.677</v>
      </c>
      <c r="M2076" t="n">
        <v>0.08500000000000001</v>
      </c>
    </row>
    <row r="2077" spans="1:13">
      <c r="A2077" s="1">
        <f>HYPERLINK("http://www.twitter.com/NathanBLawrence/status/984104841172717569", "984104841172717569")</f>
        <v/>
      </c>
      <c r="B2077" s="2" t="n">
        <v>43201.68347222222</v>
      </c>
      <c r="C2077" t="n">
        <v>1</v>
      </c>
      <c r="D2077" t="n">
        <v>0</v>
      </c>
      <c r="E2077" t="s">
        <v>2088</v>
      </c>
      <c r="F2077" t="s"/>
      <c r="G2077" t="s"/>
      <c r="H2077" t="s"/>
      <c r="I2077" t="s"/>
      <c r="J2077" t="n">
        <v>0</v>
      </c>
      <c r="K2077" t="n">
        <v>0</v>
      </c>
      <c r="L2077" t="n">
        <v>1</v>
      </c>
      <c r="M2077" t="n">
        <v>0</v>
      </c>
    </row>
    <row r="2078" spans="1:13">
      <c r="A2078" s="1">
        <f>HYPERLINK("http://www.twitter.com/NathanBLawrence/status/984084990651715584", "984084990651715584")</f>
        <v/>
      </c>
      <c r="B2078" s="2" t="n">
        <v>43201.62869212963</v>
      </c>
      <c r="C2078" t="n">
        <v>0</v>
      </c>
      <c r="D2078" t="n">
        <v>0</v>
      </c>
      <c r="E2078" t="s">
        <v>2089</v>
      </c>
      <c r="F2078" t="s"/>
      <c r="G2078" t="s"/>
      <c r="H2078" t="s"/>
      <c r="I2078" t="s"/>
      <c r="J2078" t="n">
        <v>0</v>
      </c>
      <c r="K2078" t="n">
        <v>0</v>
      </c>
      <c r="L2078" t="n">
        <v>1</v>
      </c>
      <c r="M2078" t="n">
        <v>0</v>
      </c>
    </row>
    <row r="2079" spans="1:13">
      <c r="A2079" s="1">
        <f>HYPERLINK("http://www.twitter.com/NathanBLawrence/status/984076176166674433", "984076176166674433")</f>
        <v/>
      </c>
      <c r="B2079" s="2" t="n">
        <v>43201.604375</v>
      </c>
      <c r="C2079" t="n">
        <v>3</v>
      </c>
      <c r="D2079" t="n">
        <v>1</v>
      </c>
      <c r="E2079" t="s">
        <v>2090</v>
      </c>
      <c r="F2079" t="s"/>
      <c r="G2079" t="s"/>
      <c r="H2079" t="s"/>
      <c r="I2079" t="s"/>
      <c r="J2079" t="n">
        <v>0.743</v>
      </c>
      <c r="K2079" t="n">
        <v>0.109</v>
      </c>
      <c r="L2079" t="n">
        <v>0.665</v>
      </c>
      <c r="M2079" t="n">
        <v>0.226</v>
      </c>
    </row>
    <row r="2080" spans="1:13">
      <c r="A2080" s="1">
        <f>HYPERLINK("http://www.twitter.com/NathanBLawrence/status/984071466013642754", "984071466013642754")</f>
        <v/>
      </c>
      <c r="B2080" s="2" t="n">
        <v>43201.59137731481</v>
      </c>
      <c r="C2080" t="n">
        <v>4</v>
      </c>
      <c r="D2080" t="n">
        <v>1</v>
      </c>
      <c r="E2080" t="s">
        <v>2091</v>
      </c>
      <c r="F2080" t="s"/>
      <c r="G2080" t="s"/>
      <c r="H2080" t="s"/>
      <c r="I2080" t="s"/>
      <c r="J2080" t="n">
        <v>-0.7936</v>
      </c>
      <c r="K2080" t="n">
        <v>0.235</v>
      </c>
      <c r="L2080" t="n">
        <v>0.6889999999999999</v>
      </c>
      <c r="M2080" t="n">
        <v>0.077</v>
      </c>
    </row>
    <row r="2081" spans="1:13">
      <c r="A2081" s="1">
        <f>HYPERLINK("http://www.twitter.com/NathanBLawrence/status/984070842777833472", "984070842777833472")</f>
        <v/>
      </c>
      <c r="B2081" s="2" t="n">
        <v>43201.58965277778</v>
      </c>
      <c r="C2081" t="n">
        <v>2</v>
      </c>
      <c r="D2081" t="n">
        <v>1</v>
      </c>
      <c r="E2081" t="s">
        <v>2092</v>
      </c>
      <c r="F2081">
        <f>HYPERLINK("http://pbs.twimg.com/media/DagfNWfU0AAE9YU.jpg", "http://pbs.twimg.com/media/DagfNWfU0AAE9YU.jpg")</f>
        <v/>
      </c>
      <c r="G2081" t="s"/>
      <c r="H2081" t="s"/>
      <c r="I2081" t="s"/>
      <c r="J2081" t="n">
        <v>-0.91</v>
      </c>
      <c r="K2081" t="n">
        <v>0.273</v>
      </c>
      <c r="L2081" t="n">
        <v>0.668</v>
      </c>
      <c r="M2081" t="n">
        <v>0.059</v>
      </c>
    </row>
    <row r="2082" spans="1:13">
      <c r="A2082" s="1">
        <f>HYPERLINK("http://www.twitter.com/NathanBLawrence/status/984068733340667904", "984068733340667904")</f>
        <v/>
      </c>
      <c r="B2082" s="2" t="n">
        <v>43201.58383101852</v>
      </c>
      <c r="C2082" t="n">
        <v>1</v>
      </c>
      <c r="D2082" t="n">
        <v>0</v>
      </c>
      <c r="E2082" t="s">
        <v>2093</v>
      </c>
      <c r="F2082">
        <f>HYPERLINK("http://pbs.twimg.com/media/DagdM-oVAAAI-8N.jpg", "http://pbs.twimg.com/media/DagdM-oVAAAI-8N.jpg")</f>
        <v/>
      </c>
      <c r="G2082" t="s"/>
      <c r="H2082" t="s"/>
      <c r="I2082" t="s"/>
      <c r="J2082" t="n">
        <v>-0.9396</v>
      </c>
      <c r="K2082" t="n">
        <v>0.259</v>
      </c>
      <c r="L2082" t="n">
        <v>0.741</v>
      </c>
      <c r="M2082" t="n">
        <v>0</v>
      </c>
    </row>
    <row r="2083" spans="1:13">
      <c r="A2083" s="1">
        <f>HYPERLINK("http://www.twitter.com/NathanBLawrence/status/984067235961561091", "984067235961561091")</f>
        <v/>
      </c>
      <c r="B2083" s="2" t="n">
        <v>43201.57969907407</v>
      </c>
      <c r="C2083" t="n">
        <v>1</v>
      </c>
      <c r="D2083" t="n">
        <v>0</v>
      </c>
      <c r="E2083" t="s">
        <v>2094</v>
      </c>
      <c r="F2083" t="s"/>
      <c r="G2083" t="s"/>
      <c r="H2083" t="s"/>
      <c r="I2083" t="s"/>
      <c r="J2083" t="n">
        <v>-0.9755</v>
      </c>
      <c r="K2083" t="n">
        <v>0.377</v>
      </c>
      <c r="L2083" t="n">
        <v>0.623</v>
      </c>
      <c r="M2083" t="n">
        <v>0</v>
      </c>
    </row>
    <row r="2084" spans="1:13">
      <c r="A2084" s="1">
        <f>HYPERLINK("http://www.twitter.com/NathanBLawrence/status/984066413508923392", "984066413508923392")</f>
        <v/>
      </c>
      <c r="B2084" s="2" t="n">
        <v>43201.57743055555</v>
      </c>
      <c r="C2084" t="n">
        <v>1</v>
      </c>
      <c r="D2084" t="n">
        <v>0</v>
      </c>
      <c r="E2084" t="s">
        <v>2095</v>
      </c>
      <c r="F2084">
        <f>HYPERLINK("http://pbs.twimg.com/media/DagbF1gX0AALoJP.jpg", "http://pbs.twimg.com/media/DagbF1gX0AALoJP.jpg")</f>
        <v/>
      </c>
      <c r="G2084" t="s"/>
      <c r="H2084" t="s"/>
      <c r="I2084" t="s"/>
      <c r="J2084" t="n">
        <v>0.3336</v>
      </c>
      <c r="K2084" t="n">
        <v>0</v>
      </c>
      <c r="L2084" t="n">
        <v>0.944</v>
      </c>
      <c r="M2084" t="n">
        <v>0.056</v>
      </c>
    </row>
    <row r="2085" spans="1:13">
      <c r="A2085" s="1">
        <f>HYPERLINK("http://www.twitter.com/NathanBLawrence/status/984065652431474688", "984065652431474688")</f>
        <v/>
      </c>
      <c r="B2085" s="2" t="n">
        <v>43201.57533564815</v>
      </c>
      <c r="C2085" t="n">
        <v>0</v>
      </c>
      <c r="D2085" t="n">
        <v>0</v>
      </c>
      <c r="E2085" t="s">
        <v>2096</v>
      </c>
      <c r="F2085">
        <f>HYPERLINK("http://pbs.twimg.com/media/DagafYSWkAEHt9J.jpg", "http://pbs.twimg.com/media/DagafYSWkAEHt9J.jpg")</f>
        <v/>
      </c>
      <c r="G2085" t="s"/>
      <c r="H2085" t="s"/>
      <c r="I2085" t="s"/>
      <c r="J2085" t="n">
        <v>-0.9377</v>
      </c>
      <c r="K2085" t="n">
        <v>0.277</v>
      </c>
      <c r="L2085" t="n">
        <v>0.673</v>
      </c>
      <c r="M2085" t="n">
        <v>0.05</v>
      </c>
    </row>
    <row r="2086" spans="1:13">
      <c r="A2086" s="1">
        <f>HYPERLINK("http://www.twitter.com/NathanBLawrence/status/984064379002945536", "984064379002945536")</f>
        <v/>
      </c>
      <c r="B2086" s="2" t="n">
        <v>43201.57181712963</v>
      </c>
      <c r="C2086" t="n">
        <v>3</v>
      </c>
      <c r="D2086" t="n">
        <v>0</v>
      </c>
      <c r="E2086" t="s">
        <v>2097</v>
      </c>
      <c r="F2086" t="s"/>
      <c r="G2086" t="s"/>
      <c r="H2086" t="s"/>
      <c r="I2086" t="s"/>
      <c r="J2086" t="n">
        <v>0.3612</v>
      </c>
      <c r="K2086" t="n">
        <v>0</v>
      </c>
      <c r="L2086" t="n">
        <v>0.915</v>
      </c>
      <c r="M2086" t="n">
        <v>0.08500000000000001</v>
      </c>
    </row>
    <row r="2087" spans="1:13">
      <c r="A2087" s="1">
        <f>HYPERLINK("http://www.twitter.com/NathanBLawrence/status/984063303625445376", "984063303625445376")</f>
        <v/>
      </c>
      <c r="B2087" s="2" t="n">
        <v>43201.56885416667</v>
      </c>
      <c r="C2087" t="n">
        <v>0</v>
      </c>
      <c r="D2087" t="n">
        <v>10</v>
      </c>
      <c r="E2087" t="s">
        <v>2098</v>
      </c>
      <c r="F2087">
        <f>HYPERLINK("http://pbs.twimg.com/media/DagS5x3WsAYYo6q.jpg", "http://pbs.twimg.com/media/DagS5x3WsAYYo6q.jpg")</f>
        <v/>
      </c>
      <c r="G2087" t="s"/>
      <c r="H2087" t="s"/>
      <c r="I2087" t="s"/>
      <c r="J2087" t="n">
        <v>0</v>
      </c>
      <c r="K2087" t="n">
        <v>0</v>
      </c>
      <c r="L2087" t="n">
        <v>1</v>
      </c>
      <c r="M2087" t="n">
        <v>0</v>
      </c>
    </row>
    <row r="2088" spans="1:13">
      <c r="A2088" s="1">
        <f>HYPERLINK("http://www.twitter.com/NathanBLawrence/status/984061943613935616", "984061943613935616")</f>
        <v/>
      </c>
      <c r="B2088" s="2" t="n">
        <v>43201.56510416666</v>
      </c>
      <c r="C2088" t="n">
        <v>0</v>
      </c>
      <c r="D2088" t="n">
        <v>2074</v>
      </c>
      <c r="E2088" t="s">
        <v>2099</v>
      </c>
      <c r="F2088" t="s"/>
      <c r="G2088" t="s"/>
      <c r="H2088" t="s"/>
      <c r="I2088" t="s"/>
      <c r="J2088" t="n">
        <v>-0.7764</v>
      </c>
      <c r="K2088" t="n">
        <v>0.213</v>
      </c>
      <c r="L2088" t="n">
        <v>0.787</v>
      </c>
      <c r="M2088" t="n">
        <v>0</v>
      </c>
    </row>
    <row r="2089" spans="1:13">
      <c r="A2089" s="1">
        <f>HYPERLINK("http://www.twitter.com/NathanBLawrence/status/984061377550659584", "984061377550659584")</f>
        <v/>
      </c>
      <c r="B2089" s="2" t="n">
        <v>43201.56354166667</v>
      </c>
      <c r="C2089" t="n">
        <v>0</v>
      </c>
      <c r="D2089" t="n">
        <v>0</v>
      </c>
      <c r="E2089" t="s">
        <v>2100</v>
      </c>
      <c r="F2089" t="s"/>
      <c r="G2089" t="s"/>
      <c r="H2089" t="s"/>
      <c r="I2089" t="s"/>
      <c r="J2089" t="n">
        <v>-0.296</v>
      </c>
      <c r="K2089" t="n">
        <v>0.196</v>
      </c>
      <c r="L2089" t="n">
        <v>0.804</v>
      </c>
      <c r="M2089" t="n">
        <v>0</v>
      </c>
    </row>
    <row r="2090" spans="1:13">
      <c r="A2090" s="1">
        <f>HYPERLINK("http://www.twitter.com/NathanBLawrence/status/984059398124339201", "984059398124339201")</f>
        <v/>
      </c>
      <c r="B2090" s="2" t="n">
        <v>43201.5580787037</v>
      </c>
      <c r="C2090" t="n">
        <v>2</v>
      </c>
      <c r="D2090" t="n">
        <v>0</v>
      </c>
      <c r="E2090" t="s">
        <v>2101</v>
      </c>
      <c r="F2090">
        <f>HYPERLINK("http://pbs.twimg.com/media/DagUzV7UMAAHdKd.jpg", "http://pbs.twimg.com/media/DagUzV7UMAAHdKd.jpg")</f>
        <v/>
      </c>
      <c r="G2090" t="s"/>
      <c r="H2090" t="s"/>
      <c r="I2090" t="s"/>
      <c r="J2090" t="n">
        <v>0.4939</v>
      </c>
      <c r="K2090" t="n">
        <v>0</v>
      </c>
      <c r="L2090" t="n">
        <v>0.929</v>
      </c>
      <c r="M2090" t="n">
        <v>0.07099999999999999</v>
      </c>
    </row>
    <row r="2091" spans="1:13">
      <c r="A2091" s="1">
        <f>HYPERLINK("http://www.twitter.com/NathanBLawrence/status/984049741876129792", "984049741876129792")</f>
        <v/>
      </c>
      <c r="B2091" s="2" t="n">
        <v>43201.53142361111</v>
      </c>
      <c r="C2091" t="n">
        <v>0</v>
      </c>
      <c r="D2091" t="n">
        <v>0</v>
      </c>
      <c r="E2091" t="s">
        <v>2102</v>
      </c>
      <c r="F2091" t="s"/>
      <c r="G2091" t="s"/>
      <c r="H2091" t="s"/>
      <c r="I2091" t="s"/>
      <c r="J2091" t="n">
        <v>-0.9674</v>
      </c>
      <c r="K2091" t="n">
        <v>0.356</v>
      </c>
      <c r="L2091" t="n">
        <v>0.644</v>
      </c>
      <c r="M2091" t="n">
        <v>0</v>
      </c>
    </row>
    <row r="2092" spans="1:13">
      <c r="A2092" s="1">
        <f>HYPERLINK("http://www.twitter.com/NathanBLawrence/status/984048644784644098", "984048644784644098")</f>
        <v/>
      </c>
      <c r="B2092" s="2" t="n">
        <v>43201.52840277777</v>
      </c>
      <c r="C2092" t="n">
        <v>4</v>
      </c>
      <c r="D2092" t="n">
        <v>0</v>
      </c>
      <c r="E2092" t="s">
        <v>2103</v>
      </c>
      <c r="F2092">
        <f>HYPERLINK("http://pbs.twimg.com/media/DagLBU_UwAIx4Wr.jpg", "http://pbs.twimg.com/media/DagLBU_UwAIx4Wr.jpg")</f>
        <v/>
      </c>
      <c r="G2092" t="s"/>
      <c r="H2092" t="s"/>
      <c r="I2092" t="s"/>
      <c r="J2092" t="n">
        <v>-0.5994</v>
      </c>
      <c r="K2092" t="n">
        <v>0.5649999999999999</v>
      </c>
      <c r="L2092" t="n">
        <v>0.435</v>
      </c>
      <c r="M2092" t="n">
        <v>0</v>
      </c>
    </row>
    <row r="2093" spans="1:13">
      <c r="A2093" s="1">
        <f>HYPERLINK("http://www.twitter.com/NathanBLawrence/status/981507612574396416", "981507612574396416")</f>
        <v/>
      </c>
      <c r="B2093" s="2" t="n">
        <v>43194.51649305555</v>
      </c>
      <c r="C2093" t="n">
        <v>0</v>
      </c>
      <c r="D2093" t="n">
        <v>591</v>
      </c>
      <c r="E2093" t="s">
        <v>2104</v>
      </c>
      <c r="F2093">
        <f>HYPERLINK("https://video.twimg.com/ext_tw_video/981213330818744320/pu/vid/480x360/FeEpd0lBD_d7zLya.mp4?tag=2", "https://video.twimg.com/ext_tw_video/981213330818744320/pu/vid/480x360/FeEpd0lBD_d7zLya.mp4?tag=2")</f>
        <v/>
      </c>
      <c r="G2093" t="s"/>
      <c r="H2093" t="s"/>
      <c r="I2093" t="s"/>
      <c r="J2093" t="n">
        <v>0.6908</v>
      </c>
      <c r="K2093" t="n">
        <v>0</v>
      </c>
      <c r="L2093" t="n">
        <v>0.759</v>
      </c>
      <c r="M2093" t="n">
        <v>0.241</v>
      </c>
    </row>
    <row r="2094" spans="1:13">
      <c r="A2094" s="1">
        <f>HYPERLINK("http://www.twitter.com/NathanBLawrence/status/981497292602691584", "981497292602691584")</f>
        <v/>
      </c>
      <c r="B2094" s="2" t="n">
        <v>43194.48800925926</v>
      </c>
      <c r="C2094" t="n">
        <v>1</v>
      </c>
      <c r="D2094" t="n">
        <v>0</v>
      </c>
      <c r="E2094" t="s">
        <v>2105</v>
      </c>
      <c r="F2094" t="s"/>
      <c r="G2094" t="s"/>
      <c r="H2094" t="s"/>
      <c r="I2094" t="s"/>
      <c r="J2094" t="n">
        <v>-0.1027</v>
      </c>
      <c r="K2094" t="n">
        <v>0.219</v>
      </c>
      <c r="L2094" t="n">
        <v>0.781</v>
      </c>
      <c r="M2094" t="n">
        <v>0</v>
      </c>
    </row>
    <row r="2095" spans="1:13">
      <c r="A2095" s="1">
        <f>HYPERLINK("http://www.twitter.com/NathanBLawrence/status/981497100604268544", "981497100604268544")</f>
        <v/>
      </c>
      <c r="B2095" s="2" t="n">
        <v>43194.48747685185</v>
      </c>
      <c r="C2095" t="n">
        <v>2</v>
      </c>
      <c r="D2095" t="n">
        <v>0</v>
      </c>
      <c r="E2095" t="s">
        <v>2106</v>
      </c>
      <c r="F2095" t="s"/>
      <c r="G2095" t="s"/>
      <c r="H2095" t="s"/>
      <c r="I2095" t="s"/>
      <c r="J2095" t="n">
        <v>0</v>
      </c>
      <c r="K2095" t="n">
        <v>0</v>
      </c>
      <c r="L2095" t="n">
        <v>1</v>
      </c>
      <c r="M2095" t="n">
        <v>0</v>
      </c>
    </row>
    <row r="2096" spans="1:13">
      <c r="A2096" s="1">
        <f>HYPERLINK("http://www.twitter.com/NathanBLawrence/status/981496208370864130", "981496208370864130")</f>
        <v/>
      </c>
      <c r="B2096" s="2" t="n">
        <v>43194.48502314815</v>
      </c>
      <c r="C2096" t="n">
        <v>0</v>
      </c>
      <c r="D2096" t="n">
        <v>0</v>
      </c>
      <c r="E2096" t="s">
        <v>2107</v>
      </c>
      <c r="F2096" t="s"/>
      <c r="G2096" t="s"/>
      <c r="H2096" t="s"/>
      <c r="I2096" t="s"/>
      <c r="J2096" t="n">
        <v>0.4019</v>
      </c>
      <c r="K2096" t="n">
        <v>0</v>
      </c>
      <c r="L2096" t="n">
        <v>0.828</v>
      </c>
      <c r="M2096" t="n">
        <v>0.172</v>
      </c>
    </row>
    <row r="2097" spans="1:13">
      <c r="A2097" s="1">
        <f>HYPERLINK("http://www.twitter.com/NathanBLawrence/status/981380853002620928", "981380853002620928")</f>
        <v/>
      </c>
      <c r="B2097" s="2" t="n">
        <v>43194.16670138889</v>
      </c>
      <c r="C2097" t="n">
        <v>1</v>
      </c>
      <c r="D2097" t="n">
        <v>0</v>
      </c>
      <c r="E2097" t="s">
        <v>2108</v>
      </c>
      <c r="F2097" t="s"/>
      <c r="G2097" t="s"/>
      <c r="H2097" t="s"/>
      <c r="I2097" t="s"/>
      <c r="J2097" t="n">
        <v>0</v>
      </c>
      <c r="K2097" t="n">
        <v>0</v>
      </c>
      <c r="L2097" t="n">
        <v>1</v>
      </c>
      <c r="M2097" t="n">
        <v>0</v>
      </c>
    </row>
    <row r="2098" spans="1:13">
      <c r="A2098" s="1">
        <f>HYPERLINK("http://www.twitter.com/NathanBLawrence/status/981380463817306112", "981380463817306112")</f>
        <v/>
      </c>
      <c r="B2098" s="2" t="n">
        <v>43194.165625</v>
      </c>
      <c r="C2098" t="n">
        <v>0</v>
      </c>
      <c r="D2098" t="n">
        <v>1</v>
      </c>
      <c r="E2098" t="s">
        <v>2109</v>
      </c>
      <c r="F2098" t="s"/>
      <c r="G2098" t="s"/>
      <c r="H2098" t="s"/>
      <c r="I2098" t="s"/>
      <c r="J2098" t="n">
        <v>-0.729</v>
      </c>
      <c r="K2098" t="n">
        <v>0.339</v>
      </c>
      <c r="L2098" t="n">
        <v>0.661</v>
      </c>
      <c r="M2098" t="n">
        <v>0</v>
      </c>
    </row>
    <row r="2099" spans="1:13">
      <c r="A2099" s="1">
        <f>HYPERLINK("http://www.twitter.com/NathanBLawrence/status/981380188071190528", "981380188071190528")</f>
        <v/>
      </c>
      <c r="B2099" s="2" t="n">
        <v>43194.16486111111</v>
      </c>
      <c r="C2099" t="n">
        <v>0</v>
      </c>
      <c r="D2099" t="n">
        <v>0</v>
      </c>
      <c r="E2099" t="s">
        <v>2110</v>
      </c>
      <c r="F2099" t="s"/>
      <c r="G2099" t="s"/>
      <c r="H2099" t="s"/>
      <c r="I2099" t="s"/>
      <c r="J2099" t="n">
        <v>0</v>
      </c>
      <c r="K2099" t="n">
        <v>0</v>
      </c>
      <c r="L2099" t="n">
        <v>1</v>
      </c>
      <c r="M2099" t="n">
        <v>0</v>
      </c>
    </row>
    <row r="2100" spans="1:13">
      <c r="A2100" s="1">
        <f>HYPERLINK("http://www.twitter.com/NathanBLawrence/status/981378758711136261", "981378758711136261")</f>
        <v/>
      </c>
      <c r="B2100" s="2" t="n">
        <v>43194.16091435185</v>
      </c>
      <c r="C2100" t="n">
        <v>0</v>
      </c>
      <c r="D2100" t="n">
        <v>85</v>
      </c>
      <c r="E2100" t="s">
        <v>2111</v>
      </c>
      <c r="F2100">
        <f>HYPERLINK("http://pbs.twimg.com/media/DZ6Gck1W4AAiEUz.jpg", "http://pbs.twimg.com/media/DZ6Gck1W4AAiEUz.jpg")</f>
        <v/>
      </c>
      <c r="G2100">
        <f>HYPERLINK("http://pbs.twimg.com/media/DZ6Gck9W4AAWaAj.jpg", "http://pbs.twimg.com/media/DZ6Gck9W4AAWaAj.jpg")</f>
        <v/>
      </c>
      <c r="H2100" t="s"/>
      <c r="I2100" t="s"/>
      <c r="J2100" t="n">
        <v>0</v>
      </c>
      <c r="K2100" t="n">
        <v>0</v>
      </c>
      <c r="L2100" t="n">
        <v>1</v>
      </c>
      <c r="M2100" t="n">
        <v>0</v>
      </c>
    </row>
    <row r="2101" spans="1:13">
      <c r="A2101" s="1">
        <f>HYPERLINK("http://www.twitter.com/NathanBLawrence/status/981378640981188608", "981378640981188608")</f>
        <v/>
      </c>
      <c r="B2101" s="2" t="n">
        <v>43194.16059027778</v>
      </c>
      <c r="C2101" t="n">
        <v>1</v>
      </c>
      <c r="D2101" t="n">
        <v>0</v>
      </c>
      <c r="E2101" t="s">
        <v>2112</v>
      </c>
      <c r="F2101" t="s"/>
      <c r="G2101" t="s"/>
      <c r="H2101" t="s"/>
      <c r="I2101" t="s"/>
      <c r="J2101" t="n">
        <v>0</v>
      </c>
      <c r="K2101" t="n">
        <v>0</v>
      </c>
      <c r="L2101" t="n">
        <v>1</v>
      </c>
      <c r="M2101" t="n">
        <v>0</v>
      </c>
    </row>
    <row r="2102" spans="1:13">
      <c r="A2102" s="1">
        <f>HYPERLINK("http://www.twitter.com/NathanBLawrence/status/981378004390641664", "981378004390641664")</f>
        <v/>
      </c>
      <c r="B2102" s="2" t="n">
        <v>43194.15884259259</v>
      </c>
      <c r="C2102" t="n">
        <v>2</v>
      </c>
      <c r="D2102" t="n">
        <v>1</v>
      </c>
      <c r="E2102" t="s">
        <v>2113</v>
      </c>
      <c r="F2102" t="s"/>
      <c r="G2102" t="s"/>
      <c r="H2102" t="s"/>
      <c r="I2102" t="s"/>
      <c r="J2102" t="n">
        <v>0.8997000000000001</v>
      </c>
      <c r="K2102" t="n">
        <v>0</v>
      </c>
      <c r="L2102" t="n">
        <v>0.675</v>
      </c>
      <c r="M2102" t="n">
        <v>0.325</v>
      </c>
    </row>
    <row r="2103" spans="1:13">
      <c r="A2103" s="1">
        <f>HYPERLINK("http://www.twitter.com/NathanBLawrence/status/981377051339960321", "981377051339960321")</f>
        <v/>
      </c>
      <c r="B2103" s="2" t="n">
        <v>43194.1562037037</v>
      </c>
      <c r="C2103" t="n">
        <v>0</v>
      </c>
      <c r="D2103" t="n">
        <v>1</v>
      </c>
      <c r="E2103" t="s">
        <v>2114</v>
      </c>
      <c r="F2103" t="s"/>
      <c r="G2103" t="s"/>
      <c r="H2103" t="s"/>
      <c r="I2103" t="s"/>
      <c r="J2103" t="n">
        <v>-0.6486</v>
      </c>
      <c r="K2103" t="n">
        <v>0.169</v>
      </c>
      <c r="L2103" t="n">
        <v>0.831</v>
      </c>
      <c r="M2103" t="n">
        <v>0</v>
      </c>
    </row>
    <row r="2104" spans="1:13">
      <c r="A2104" s="1">
        <f>HYPERLINK("http://www.twitter.com/NathanBLawrence/status/981373767577493504", "981373767577493504")</f>
        <v/>
      </c>
      <c r="B2104" s="2" t="n">
        <v>43194.14714120371</v>
      </c>
      <c r="C2104" t="n">
        <v>1</v>
      </c>
      <c r="D2104" t="n">
        <v>0</v>
      </c>
      <c r="E2104" t="s">
        <v>2115</v>
      </c>
      <c r="F2104" t="s"/>
      <c r="G2104" t="s"/>
      <c r="H2104" t="s"/>
      <c r="I2104" t="s"/>
      <c r="J2104" t="n">
        <v>0</v>
      </c>
      <c r="K2104" t="n">
        <v>0</v>
      </c>
      <c r="L2104" t="n">
        <v>1</v>
      </c>
      <c r="M2104" t="n">
        <v>0</v>
      </c>
    </row>
    <row r="2105" spans="1:13">
      <c r="A2105" s="1">
        <f>HYPERLINK("http://www.twitter.com/NathanBLawrence/status/981348743319564290", "981348743319564290")</f>
        <v/>
      </c>
      <c r="B2105" s="2" t="n">
        <v>43194.07809027778</v>
      </c>
      <c r="C2105" t="n">
        <v>1</v>
      </c>
      <c r="D2105" t="n">
        <v>0</v>
      </c>
      <c r="E2105" t="s">
        <v>2116</v>
      </c>
      <c r="F2105" t="s"/>
      <c r="G2105" t="s"/>
      <c r="H2105" t="s"/>
      <c r="I2105" t="s"/>
      <c r="J2105" t="n">
        <v>0</v>
      </c>
      <c r="K2105" t="n">
        <v>0</v>
      </c>
      <c r="L2105" t="n">
        <v>1</v>
      </c>
      <c r="M2105" t="n">
        <v>0</v>
      </c>
    </row>
    <row r="2106" spans="1:13">
      <c r="A2106" s="1">
        <f>HYPERLINK("http://www.twitter.com/NathanBLawrence/status/981347911182188544", "981347911182188544")</f>
        <v/>
      </c>
      <c r="B2106" s="2" t="n">
        <v>43194.07579861111</v>
      </c>
      <c r="C2106" t="n">
        <v>2</v>
      </c>
      <c r="D2106" t="n">
        <v>0</v>
      </c>
      <c r="E2106" t="s">
        <v>2117</v>
      </c>
      <c r="F2106" t="s"/>
      <c r="G2106" t="s"/>
      <c r="H2106" t="s"/>
      <c r="I2106" t="s"/>
      <c r="J2106" t="n">
        <v>0</v>
      </c>
      <c r="K2106" t="n">
        <v>0</v>
      </c>
      <c r="L2106" t="n">
        <v>1</v>
      </c>
      <c r="M2106" t="n">
        <v>0</v>
      </c>
    </row>
    <row r="2107" spans="1:13">
      <c r="A2107" s="1">
        <f>HYPERLINK("http://www.twitter.com/NathanBLawrence/status/981344162942537729", "981344162942537729")</f>
        <v/>
      </c>
      <c r="B2107" s="2" t="n">
        <v>43194.06545138889</v>
      </c>
      <c r="C2107" t="n">
        <v>3</v>
      </c>
      <c r="D2107" t="n">
        <v>0</v>
      </c>
      <c r="E2107" t="s">
        <v>2118</v>
      </c>
      <c r="F2107" t="s"/>
      <c r="G2107" t="s"/>
      <c r="H2107" t="s"/>
      <c r="I2107" t="s"/>
      <c r="J2107" t="n">
        <v>0</v>
      </c>
      <c r="K2107" t="n">
        <v>0</v>
      </c>
      <c r="L2107" t="n">
        <v>1</v>
      </c>
      <c r="M2107" t="n">
        <v>0</v>
      </c>
    </row>
    <row r="2108" spans="1:13">
      <c r="A2108" s="1">
        <f>HYPERLINK("http://www.twitter.com/NathanBLawrence/status/981338595637256192", "981338595637256192")</f>
        <v/>
      </c>
      <c r="B2108" s="2" t="n">
        <v>43194.0500925926</v>
      </c>
      <c r="C2108" t="n">
        <v>2</v>
      </c>
      <c r="D2108" t="n">
        <v>0</v>
      </c>
      <c r="E2108" t="s">
        <v>2119</v>
      </c>
      <c r="F2108" t="s"/>
      <c r="G2108" t="s"/>
      <c r="H2108" t="s"/>
      <c r="I2108" t="s"/>
      <c r="J2108" t="n">
        <v>0.5106000000000001</v>
      </c>
      <c r="K2108" t="n">
        <v>0</v>
      </c>
      <c r="L2108" t="n">
        <v>0.875</v>
      </c>
      <c r="M2108" t="n">
        <v>0.125</v>
      </c>
    </row>
    <row r="2109" spans="1:13">
      <c r="A2109" s="1">
        <f>HYPERLINK("http://www.twitter.com/NathanBLawrence/status/981338240694280192", "981338240694280192")</f>
        <v/>
      </c>
      <c r="B2109" s="2" t="n">
        <v>43194.04910879629</v>
      </c>
      <c r="C2109" t="n">
        <v>2</v>
      </c>
      <c r="D2109" t="n">
        <v>0</v>
      </c>
      <c r="E2109" t="s">
        <v>2120</v>
      </c>
      <c r="F2109" t="s"/>
      <c r="G2109" t="s"/>
      <c r="H2109" t="s"/>
      <c r="I2109" t="s"/>
      <c r="J2109" t="n">
        <v>-0.1779</v>
      </c>
      <c r="K2109" t="n">
        <v>0.066</v>
      </c>
      <c r="L2109" t="n">
        <v>0.9340000000000001</v>
      </c>
      <c r="M2109" t="n">
        <v>0</v>
      </c>
    </row>
    <row r="2110" spans="1:13">
      <c r="A2110" s="1">
        <f>HYPERLINK("http://www.twitter.com/NathanBLawrence/status/981334346283081730", "981334346283081730")</f>
        <v/>
      </c>
      <c r="B2110" s="2" t="n">
        <v>43194.03836805555</v>
      </c>
      <c r="C2110" t="n">
        <v>3</v>
      </c>
      <c r="D2110" t="n">
        <v>0</v>
      </c>
      <c r="E2110" t="s">
        <v>2121</v>
      </c>
      <c r="F2110" t="s"/>
      <c r="G2110" t="s"/>
      <c r="H2110" t="s"/>
      <c r="I2110" t="s"/>
      <c r="J2110" t="n">
        <v>0.6514</v>
      </c>
      <c r="K2110" t="n">
        <v>0</v>
      </c>
      <c r="L2110" t="n">
        <v>0.735</v>
      </c>
      <c r="M2110" t="n">
        <v>0.265</v>
      </c>
    </row>
    <row r="2111" spans="1:13">
      <c r="A2111" s="1">
        <f>HYPERLINK("http://www.twitter.com/NathanBLawrence/status/981322167433474048", "981322167433474048")</f>
        <v/>
      </c>
      <c r="B2111" s="2" t="n">
        <v>43194.00475694444</v>
      </c>
      <c r="C2111" t="n">
        <v>4</v>
      </c>
      <c r="D2111" t="n">
        <v>2</v>
      </c>
      <c r="E2111" t="s">
        <v>2122</v>
      </c>
      <c r="F2111" t="s"/>
      <c r="G2111" t="s"/>
      <c r="H2111" t="s"/>
      <c r="I2111" t="s"/>
      <c r="J2111" t="n">
        <v>0</v>
      </c>
      <c r="K2111" t="n">
        <v>0</v>
      </c>
      <c r="L2111" t="n">
        <v>1</v>
      </c>
      <c r="M2111" t="n">
        <v>0</v>
      </c>
    </row>
    <row r="2112" spans="1:13">
      <c r="A2112" s="1">
        <f>HYPERLINK("http://www.twitter.com/NathanBLawrence/status/981320409734963200", "981320409734963200")</f>
        <v/>
      </c>
      <c r="B2112" s="2" t="n">
        <v>43193.99990740741</v>
      </c>
      <c r="C2112" t="n">
        <v>0</v>
      </c>
      <c r="D2112" t="n">
        <v>114</v>
      </c>
      <c r="E2112" t="s">
        <v>2123</v>
      </c>
      <c r="F2112">
        <f>HYPERLINK("http://pbs.twimg.com/media/DZ5Uiv8VoAA6zpS.jpg", "http://pbs.twimg.com/media/DZ5Uiv8VoAA6zpS.jpg")</f>
        <v/>
      </c>
      <c r="G2112" t="s"/>
      <c r="H2112" t="s"/>
      <c r="I2112" t="s"/>
      <c r="J2112" t="n">
        <v>-0.8439</v>
      </c>
      <c r="K2112" t="n">
        <v>0.362</v>
      </c>
      <c r="L2112" t="n">
        <v>0.638</v>
      </c>
      <c r="M2112" t="n">
        <v>0</v>
      </c>
    </row>
    <row r="2113" spans="1:13">
      <c r="A2113" s="1">
        <f>HYPERLINK("http://www.twitter.com/NathanBLawrence/status/981314210071306241", "981314210071306241")</f>
        <v/>
      </c>
      <c r="B2113" s="2" t="n">
        <v>43193.98280092593</v>
      </c>
      <c r="C2113" t="n">
        <v>0</v>
      </c>
      <c r="D2113" t="n">
        <v>584</v>
      </c>
      <c r="E2113" t="s">
        <v>2124</v>
      </c>
      <c r="F2113">
        <f>HYPERLINK("http://pbs.twimg.com/media/DZ0dBeqXcAAZE0S.jpg", "http://pbs.twimg.com/media/DZ0dBeqXcAAZE0S.jpg")</f>
        <v/>
      </c>
      <c r="G2113" t="s"/>
      <c r="H2113" t="s"/>
      <c r="I2113" t="s"/>
      <c r="J2113" t="n">
        <v>0.5106000000000001</v>
      </c>
      <c r="K2113" t="n">
        <v>0</v>
      </c>
      <c r="L2113" t="n">
        <v>0.708</v>
      </c>
      <c r="M2113" t="n">
        <v>0.292</v>
      </c>
    </row>
    <row r="2114" spans="1:13">
      <c r="A2114" s="1">
        <f>HYPERLINK("http://www.twitter.com/NathanBLawrence/status/981313936850063361", "981313936850063361")</f>
        <v/>
      </c>
      <c r="B2114" s="2" t="n">
        <v>43193.98204861111</v>
      </c>
      <c r="C2114" t="n">
        <v>0</v>
      </c>
      <c r="D2114" t="n">
        <v>1</v>
      </c>
      <c r="E2114" t="s">
        <v>2125</v>
      </c>
      <c r="F2114" t="s"/>
      <c r="G2114" t="s"/>
      <c r="H2114" t="s"/>
      <c r="I2114" t="s"/>
      <c r="J2114" t="n">
        <v>0</v>
      </c>
      <c r="K2114" t="n">
        <v>0</v>
      </c>
      <c r="L2114" t="n">
        <v>1</v>
      </c>
      <c r="M2114" t="n">
        <v>0</v>
      </c>
    </row>
    <row r="2115" spans="1:13">
      <c r="A2115" s="1">
        <f>HYPERLINK("http://www.twitter.com/NathanBLawrence/status/981313772412383232", "981313772412383232")</f>
        <v/>
      </c>
      <c r="B2115" s="2" t="n">
        <v>43193.98158564815</v>
      </c>
      <c r="C2115" t="n">
        <v>0</v>
      </c>
      <c r="D2115" t="n">
        <v>2</v>
      </c>
      <c r="E2115" t="s">
        <v>2126</v>
      </c>
      <c r="F2115" t="s"/>
      <c r="G2115" t="s"/>
      <c r="H2115" t="s"/>
      <c r="I2115" t="s"/>
      <c r="J2115" t="n">
        <v>0</v>
      </c>
      <c r="K2115" t="n">
        <v>0</v>
      </c>
      <c r="L2115" t="n">
        <v>1</v>
      </c>
      <c r="M2115" t="n">
        <v>0</v>
      </c>
    </row>
    <row r="2116" spans="1:13">
      <c r="A2116" s="1">
        <f>HYPERLINK("http://www.twitter.com/NathanBLawrence/status/981313250926256128", "981313250926256128")</f>
        <v/>
      </c>
      <c r="B2116" s="2" t="n">
        <v>43193.98015046296</v>
      </c>
      <c r="C2116" t="n">
        <v>3</v>
      </c>
      <c r="D2116" t="n">
        <v>0</v>
      </c>
      <c r="E2116" t="s">
        <v>2127</v>
      </c>
      <c r="F2116" t="s"/>
      <c r="G2116" t="s"/>
      <c r="H2116" t="s"/>
      <c r="I2116" t="s"/>
      <c r="J2116" t="n">
        <v>0</v>
      </c>
      <c r="K2116" t="n">
        <v>0</v>
      </c>
      <c r="L2116" t="n">
        <v>1</v>
      </c>
      <c r="M2116" t="n">
        <v>0</v>
      </c>
    </row>
    <row r="2117" spans="1:13">
      <c r="A2117" s="1">
        <f>HYPERLINK("http://www.twitter.com/NathanBLawrence/status/981313024463134720", "981313024463134720")</f>
        <v/>
      </c>
      <c r="B2117" s="2" t="n">
        <v>43193.97952546296</v>
      </c>
      <c r="C2117" t="n">
        <v>1</v>
      </c>
      <c r="D2117" t="n">
        <v>0</v>
      </c>
      <c r="E2117" t="s">
        <v>2128</v>
      </c>
      <c r="F2117" t="s"/>
      <c r="G2117" t="s"/>
      <c r="H2117" t="s"/>
      <c r="I2117" t="s"/>
      <c r="J2117" t="n">
        <v>-0.4404</v>
      </c>
      <c r="K2117" t="n">
        <v>0.172</v>
      </c>
      <c r="L2117" t="n">
        <v>0.828</v>
      </c>
      <c r="M2117" t="n">
        <v>0</v>
      </c>
    </row>
    <row r="2118" spans="1:13">
      <c r="A2118" s="1">
        <f>HYPERLINK("http://www.twitter.com/NathanBLawrence/status/981312591157903360", "981312591157903360")</f>
        <v/>
      </c>
      <c r="B2118" s="2" t="n">
        <v>43193.97833333333</v>
      </c>
      <c r="C2118" t="n">
        <v>0</v>
      </c>
      <c r="D2118" t="n">
        <v>1</v>
      </c>
      <c r="E2118" t="s">
        <v>2129</v>
      </c>
      <c r="F2118" t="s"/>
      <c r="G2118" t="s"/>
      <c r="H2118" t="s"/>
      <c r="I2118" t="s"/>
      <c r="J2118" t="n">
        <v>-0.7345</v>
      </c>
      <c r="K2118" t="n">
        <v>0.34</v>
      </c>
      <c r="L2118" t="n">
        <v>0.66</v>
      </c>
      <c r="M2118" t="n">
        <v>0</v>
      </c>
    </row>
    <row r="2119" spans="1:13">
      <c r="A2119" s="1">
        <f>HYPERLINK("http://www.twitter.com/NathanBLawrence/status/981312059475464193", "981312059475464193")</f>
        <v/>
      </c>
      <c r="B2119" s="2" t="n">
        <v>43193.97686342592</v>
      </c>
      <c r="C2119" t="n">
        <v>0</v>
      </c>
      <c r="D2119" t="n">
        <v>134</v>
      </c>
      <c r="E2119" t="s">
        <v>2130</v>
      </c>
      <c r="F2119" t="s"/>
      <c r="G2119" t="s"/>
      <c r="H2119" t="s"/>
      <c r="I2119" t="s"/>
      <c r="J2119" t="n">
        <v>-0.6497000000000001</v>
      </c>
      <c r="K2119" t="n">
        <v>0.223</v>
      </c>
      <c r="L2119" t="n">
        <v>0.777</v>
      </c>
      <c r="M2119" t="n">
        <v>0</v>
      </c>
    </row>
    <row r="2120" spans="1:13">
      <c r="A2120" s="1">
        <f>HYPERLINK("http://www.twitter.com/NathanBLawrence/status/981311765173555200", "981311765173555200")</f>
        <v/>
      </c>
      <c r="B2120" s="2" t="n">
        <v>43193.97605324074</v>
      </c>
      <c r="C2120" t="n">
        <v>0</v>
      </c>
      <c r="D2120" t="n">
        <v>1</v>
      </c>
      <c r="E2120" t="s">
        <v>2131</v>
      </c>
      <c r="F2120" t="s"/>
      <c r="G2120" t="s"/>
      <c r="H2120" t="s"/>
      <c r="I2120" t="s"/>
      <c r="J2120" t="n">
        <v>0.5574</v>
      </c>
      <c r="K2120" t="n">
        <v>0</v>
      </c>
      <c r="L2120" t="n">
        <v>0.806</v>
      </c>
      <c r="M2120" t="n">
        <v>0.194</v>
      </c>
    </row>
    <row r="2121" spans="1:13">
      <c r="A2121" s="1">
        <f>HYPERLINK("http://www.twitter.com/NathanBLawrence/status/981309020668604416", "981309020668604416")</f>
        <v/>
      </c>
      <c r="B2121" s="2" t="n">
        <v>43193.9684837963</v>
      </c>
      <c r="C2121" t="n">
        <v>0</v>
      </c>
      <c r="D2121" t="n">
        <v>1214</v>
      </c>
      <c r="E2121" t="s">
        <v>2132</v>
      </c>
      <c r="F2121">
        <f>HYPERLINK("http://pbs.twimg.com/amplify_video_thumb/981178957818101760/img/k6_6tQRmeBEG-7DA.jpg", "http://pbs.twimg.com/amplify_video_thumb/981178957818101760/img/k6_6tQRmeBEG-7DA.jpg")</f>
        <v/>
      </c>
      <c r="G2121" t="s"/>
      <c r="H2121" t="s"/>
      <c r="I2121" t="s"/>
      <c r="J2121" t="n">
        <v>0</v>
      </c>
      <c r="K2121" t="n">
        <v>0</v>
      </c>
      <c r="L2121" t="n">
        <v>1</v>
      </c>
      <c r="M2121" t="n">
        <v>0</v>
      </c>
    </row>
    <row r="2122" spans="1:13">
      <c r="A2122" s="1">
        <f>HYPERLINK("http://www.twitter.com/NathanBLawrence/status/981307374110691328", "981307374110691328")</f>
        <v/>
      </c>
      <c r="B2122" s="2" t="n">
        <v>43193.96393518519</v>
      </c>
      <c r="C2122" t="n">
        <v>0</v>
      </c>
      <c r="D2122" t="n">
        <v>0</v>
      </c>
      <c r="E2122" t="s">
        <v>2133</v>
      </c>
      <c r="F2122" t="s"/>
      <c r="G2122" t="s"/>
      <c r="H2122" t="s"/>
      <c r="I2122" t="s"/>
      <c r="J2122" t="n">
        <v>0</v>
      </c>
      <c r="K2122" t="n">
        <v>0</v>
      </c>
      <c r="L2122" t="n">
        <v>1</v>
      </c>
      <c r="M2122" t="n">
        <v>0</v>
      </c>
    </row>
    <row r="2123" spans="1:13">
      <c r="A2123" s="1">
        <f>HYPERLINK("http://www.twitter.com/NathanBLawrence/status/981307173451042817", "981307173451042817")</f>
        <v/>
      </c>
      <c r="B2123" s="2" t="n">
        <v>43193.96337962963</v>
      </c>
      <c r="C2123" t="n">
        <v>0</v>
      </c>
      <c r="D2123" t="n">
        <v>2</v>
      </c>
      <c r="E2123" t="s">
        <v>2134</v>
      </c>
      <c r="F2123" t="s"/>
      <c r="G2123" t="s"/>
      <c r="H2123" t="s"/>
      <c r="I2123" t="s"/>
      <c r="J2123" t="n">
        <v>0</v>
      </c>
      <c r="K2123" t="n">
        <v>0</v>
      </c>
      <c r="L2123" t="n">
        <v>1</v>
      </c>
      <c r="M2123" t="n">
        <v>0</v>
      </c>
    </row>
    <row r="2124" spans="1:13">
      <c r="A2124" s="1">
        <f>HYPERLINK("http://www.twitter.com/NathanBLawrence/status/981305424883281920", "981305424883281920")</f>
        <v/>
      </c>
      <c r="B2124" s="2" t="n">
        <v>43193.95855324074</v>
      </c>
      <c r="C2124" t="n">
        <v>0</v>
      </c>
      <c r="D2124" t="n">
        <v>0</v>
      </c>
      <c r="E2124" t="s">
        <v>2135</v>
      </c>
      <c r="F2124" t="s"/>
      <c r="G2124" t="s"/>
      <c r="H2124" t="s"/>
      <c r="I2124" t="s"/>
      <c r="J2124" t="n">
        <v>0</v>
      </c>
      <c r="K2124" t="n">
        <v>0</v>
      </c>
      <c r="L2124" t="n">
        <v>1</v>
      </c>
      <c r="M2124" t="n">
        <v>0</v>
      </c>
    </row>
    <row r="2125" spans="1:13">
      <c r="A2125" s="1">
        <f>HYPERLINK("http://www.twitter.com/NathanBLawrence/status/981305173015396352", "981305173015396352")</f>
        <v/>
      </c>
      <c r="B2125" s="2" t="n">
        <v>43193.9578587963</v>
      </c>
      <c r="C2125" t="n">
        <v>0</v>
      </c>
      <c r="D2125" t="n">
        <v>0</v>
      </c>
      <c r="E2125" t="s">
        <v>2136</v>
      </c>
      <c r="F2125" t="s"/>
      <c r="G2125" t="s"/>
      <c r="H2125" t="s"/>
      <c r="I2125" t="s"/>
      <c r="J2125" t="n">
        <v>-0.8516</v>
      </c>
      <c r="K2125" t="n">
        <v>0.482</v>
      </c>
      <c r="L2125" t="n">
        <v>0.518</v>
      </c>
      <c r="M2125" t="n">
        <v>0</v>
      </c>
    </row>
    <row r="2126" spans="1:13">
      <c r="A2126" s="1">
        <f>HYPERLINK("http://www.twitter.com/NathanBLawrence/status/981285183881179136", "981285183881179136")</f>
        <v/>
      </c>
      <c r="B2126" s="2" t="n">
        <v>43193.90269675926</v>
      </c>
      <c r="C2126" t="n">
        <v>0</v>
      </c>
      <c r="D2126" t="n">
        <v>0</v>
      </c>
      <c r="E2126" t="s">
        <v>2137</v>
      </c>
      <c r="F2126">
        <f>HYPERLINK("http://pbs.twimg.com/media/DZ45qnwV4AATyDM.jpg", "http://pbs.twimg.com/media/DZ45qnwV4AATyDM.jpg")</f>
        <v/>
      </c>
      <c r="G2126" t="s"/>
      <c r="H2126" t="s"/>
      <c r="I2126" t="s"/>
      <c r="J2126" t="n">
        <v>0</v>
      </c>
      <c r="K2126" t="n">
        <v>0</v>
      </c>
      <c r="L2126" t="n">
        <v>1</v>
      </c>
      <c r="M2126" t="n">
        <v>0</v>
      </c>
    </row>
    <row r="2127" spans="1:13">
      <c r="A2127" s="1">
        <f>HYPERLINK("http://www.twitter.com/NathanBLawrence/status/981285183788855303", "981285183788855303")</f>
        <v/>
      </c>
      <c r="B2127" s="2" t="n">
        <v>43193.90269675926</v>
      </c>
      <c r="C2127" t="n">
        <v>0</v>
      </c>
      <c r="D2127" t="n">
        <v>0</v>
      </c>
      <c r="E2127" t="s">
        <v>2138</v>
      </c>
      <c r="F2127">
        <f>HYPERLINK("http://pbs.twimg.com/media/DZ45qnuVMAAuS6p.jpg", "http://pbs.twimg.com/media/DZ45qnuVMAAuS6p.jpg")</f>
        <v/>
      </c>
      <c r="G2127" t="s"/>
      <c r="H2127" t="s"/>
      <c r="I2127" t="s"/>
      <c r="J2127" t="n">
        <v>0.5106000000000001</v>
      </c>
      <c r="K2127" t="n">
        <v>0</v>
      </c>
      <c r="L2127" t="n">
        <v>0.769</v>
      </c>
      <c r="M2127" t="n">
        <v>0.231</v>
      </c>
    </row>
    <row r="2128" spans="1:13">
      <c r="A2128" s="1">
        <f>HYPERLINK("http://www.twitter.com/NathanBLawrence/status/981285177988132866", "981285177988132866")</f>
        <v/>
      </c>
      <c r="B2128" s="2" t="n">
        <v>43193.90268518519</v>
      </c>
      <c r="C2128" t="n">
        <v>1</v>
      </c>
      <c r="D2128" t="n">
        <v>1</v>
      </c>
      <c r="E2128" t="s">
        <v>2139</v>
      </c>
      <c r="F2128">
        <f>HYPERLINK("http://pbs.twimg.com/media/DZ45qoxVQAE0NRn.jpg", "http://pbs.twimg.com/media/DZ45qoxVQAE0NRn.jpg")</f>
        <v/>
      </c>
      <c r="G2128" t="s"/>
      <c r="H2128" t="s"/>
      <c r="I2128" t="s"/>
      <c r="J2128" t="n">
        <v>0</v>
      </c>
      <c r="K2128" t="n">
        <v>0</v>
      </c>
      <c r="L2128" t="n">
        <v>1</v>
      </c>
      <c r="M2128" t="n">
        <v>0</v>
      </c>
    </row>
    <row r="2129" spans="1:13">
      <c r="A2129" s="1">
        <f>HYPERLINK("http://www.twitter.com/NathanBLawrence/status/981256279594360832", "981256279594360832")</f>
        <v/>
      </c>
      <c r="B2129" s="2" t="n">
        <v>43193.82293981482</v>
      </c>
      <c r="C2129" t="n">
        <v>0</v>
      </c>
      <c r="D2129" t="n">
        <v>0</v>
      </c>
      <c r="E2129" t="s">
        <v>2140</v>
      </c>
      <c r="F2129" t="s"/>
      <c r="G2129" t="s"/>
      <c r="H2129" t="s"/>
      <c r="I2129" t="s"/>
      <c r="J2129" t="n">
        <v>0</v>
      </c>
      <c r="K2129" t="n">
        <v>0</v>
      </c>
      <c r="L2129" t="n">
        <v>1</v>
      </c>
      <c r="M2129" t="n">
        <v>0</v>
      </c>
    </row>
    <row r="2130" spans="1:13">
      <c r="A2130" s="1">
        <f>HYPERLINK("http://www.twitter.com/NathanBLawrence/status/981234529410088960", "981234529410088960")</f>
        <v/>
      </c>
      <c r="B2130" s="2" t="n">
        <v>43193.76291666667</v>
      </c>
      <c r="C2130" t="n">
        <v>0</v>
      </c>
      <c r="D2130" t="n">
        <v>0</v>
      </c>
      <c r="E2130" t="s">
        <v>2141</v>
      </c>
      <c r="F2130" t="s"/>
      <c r="G2130" t="s"/>
      <c r="H2130" t="s"/>
      <c r="I2130" t="s"/>
      <c r="J2130" t="n">
        <v>0.0772</v>
      </c>
      <c r="K2130" t="n">
        <v>0</v>
      </c>
      <c r="L2130" t="n">
        <v>0.952</v>
      </c>
      <c r="M2130" t="n">
        <v>0.048</v>
      </c>
    </row>
    <row r="2131" spans="1:13">
      <c r="A2131" s="1">
        <f>HYPERLINK("http://www.twitter.com/NathanBLawrence/status/981234002202976258", "981234002202976258")</f>
        <v/>
      </c>
      <c r="B2131" s="2" t="n">
        <v>43193.7614699074</v>
      </c>
      <c r="C2131" t="n">
        <v>0</v>
      </c>
      <c r="D2131" t="n">
        <v>3</v>
      </c>
      <c r="E2131" t="s">
        <v>2142</v>
      </c>
      <c r="F2131" t="s"/>
      <c r="G2131" t="s"/>
      <c r="H2131" t="s"/>
      <c r="I2131" t="s"/>
      <c r="J2131" t="n">
        <v>0</v>
      </c>
      <c r="K2131" t="n">
        <v>0</v>
      </c>
      <c r="L2131" t="n">
        <v>1</v>
      </c>
      <c r="M2131" t="n">
        <v>0</v>
      </c>
    </row>
    <row r="2132" spans="1:13">
      <c r="A2132" s="1">
        <f>HYPERLINK("http://www.twitter.com/NathanBLawrence/status/981233726792388609", "981233726792388609")</f>
        <v/>
      </c>
      <c r="B2132" s="2" t="n">
        <v>43193.76070601852</v>
      </c>
      <c r="C2132" t="n">
        <v>0</v>
      </c>
      <c r="D2132" t="n">
        <v>0</v>
      </c>
      <c r="E2132" t="s">
        <v>2143</v>
      </c>
      <c r="F2132" t="s"/>
      <c r="G2132" t="s"/>
      <c r="H2132" t="s"/>
      <c r="I2132" t="s"/>
      <c r="J2132" t="n">
        <v>-0.2263</v>
      </c>
      <c r="K2132" t="n">
        <v>0.187</v>
      </c>
      <c r="L2132" t="n">
        <v>0.705</v>
      </c>
      <c r="M2132" t="n">
        <v>0.108</v>
      </c>
    </row>
    <row r="2133" spans="1:13">
      <c r="A2133" s="1">
        <f>HYPERLINK("http://www.twitter.com/NathanBLawrence/status/981233052042039299", "981233052042039299")</f>
        <v/>
      </c>
      <c r="B2133" s="2" t="n">
        <v>43193.75884259259</v>
      </c>
      <c r="C2133" t="n">
        <v>0</v>
      </c>
      <c r="D2133" t="n">
        <v>0</v>
      </c>
      <c r="E2133" t="s">
        <v>2144</v>
      </c>
      <c r="F2133" t="s"/>
      <c r="G2133" t="s"/>
      <c r="H2133" t="s"/>
      <c r="I2133" t="s"/>
      <c r="J2133" t="n">
        <v>-0.296</v>
      </c>
      <c r="K2133" t="n">
        <v>0.155</v>
      </c>
      <c r="L2133" t="n">
        <v>0.845</v>
      </c>
      <c r="M2133" t="n">
        <v>0</v>
      </c>
    </row>
    <row r="2134" spans="1:13">
      <c r="A2134" s="1">
        <f>HYPERLINK("http://www.twitter.com/NathanBLawrence/status/981232593776660483", "981232593776660483")</f>
        <v/>
      </c>
      <c r="B2134" s="2" t="n">
        <v>43193.75758101852</v>
      </c>
      <c r="C2134" t="n">
        <v>0</v>
      </c>
      <c r="D2134" t="n">
        <v>0</v>
      </c>
      <c r="E2134" t="s">
        <v>2145</v>
      </c>
      <c r="F2134" t="s"/>
      <c r="G2134" t="s"/>
      <c r="H2134" t="s"/>
      <c r="I2134" t="s"/>
      <c r="J2134" t="n">
        <v>0.7269</v>
      </c>
      <c r="K2134" t="n">
        <v>0.076</v>
      </c>
      <c r="L2134" t="n">
        <v>0.665</v>
      </c>
      <c r="M2134" t="n">
        <v>0.26</v>
      </c>
    </row>
    <row r="2135" spans="1:13">
      <c r="A2135" s="1">
        <f>HYPERLINK("http://www.twitter.com/NathanBLawrence/status/981230580183502848", "981230580183502848")</f>
        <v/>
      </c>
      <c r="B2135" s="2" t="n">
        <v>43193.75202546296</v>
      </c>
      <c r="C2135" t="n">
        <v>0</v>
      </c>
      <c r="D2135" t="n">
        <v>0</v>
      </c>
      <c r="E2135" t="s">
        <v>2146</v>
      </c>
      <c r="F2135" t="s"/>
      <c r="G2135" t="s"/>
      <c r="H2135" t="s"/>
      <c r="I2135" t="s"/>
      <c r="J2135" t="n">
        <v>0.25</v>
      </c>
      <c r="K2135" t="n">
        <v>0.253</v>
      </c>
      <c r="L2135" t="n">
        <v>0.385</v>
      </c>
      <c r="M2135" t="n">
        <v>0.363</v>
      </c>
    </row>
    <row r="2136" spans="1:13">
      <c r="A2136" s="1">
        <f>HYPERLINK("http://www.twitter.com/NathanBLawrence/status/981228810422153216", "981228810422153216")</f>
        <v/>
      </c>
      <c r="B2136" s="2" t="n">
        <v>43193.7471412037</v>
      </c>
      <c r="C2136" t="n">
        <v>0</v>
      </c>
      <c r="D2136" t="n">
        <v>3</v>
      </c>
      <c r="E2136" t="s">
        <v>2147</v>
      </c>
      <c r="F2136">
        <f>HYPERLINK("http://pbs.twimg.com/media/DZ4CgchVwAER9Hz.jpg", "http://pbs.twimg.com/media/DZ4CgchVwAER9Hz.jpg")</f>
        <v/>
      </c>
      <c r="G2136">
        <f>HYPERLINK("http://pbs.twimg.com/media/DZ4CgckVQAAxhId.jpg", "http://pbs.twimg.com/media/DZ4CgckVQAAxhId.jpg")</f>
        <v/>
      </c>
      <c r="H2136" t="s"/>
      <c r="I2136" t="s"/>
      <c r="J2136" t="n">
        <v>-0.3612</v>
      </c>
      <c r="K2136" t="n">
        <v>0.174</v>
      </c>
      <c r="L2136" t="n">
        <v>0.751</v>
      </c>
      <c r="M2136" t="n">
        <v>0.075</v>
      </c>
    </row>
    <row r="2137" spans="1:13">
      <c r="A2137" s="1">
        <f>HYPERLINK("http://www.twitter.com/NathanBLawrence/status/981228273903513601", "981228273903513601")</f>
        <v/>
      </c>
      <c r="B2137" s="2" t="n">
        <v>43193.74565972222</v>
      </c>
      <c r="C2137" t="n">
        <v>0</v>
      </c>
      <c r="D2137" t="n">
        <v>0</v>
      </c>
      <c r="E2137" t="s">
        <v>2148</v>
      </c>
      <c r="F2137">
        <f>HYPERLINK("http://pbs.twimg.com/media/DZ4F6eFU0AA2xV1.jpg", "http://pbs.twimg.com/media/DZ4F6eFU0AA2xV1.jpg")</f>
        <v/>
      </c>
      <c r="G2137" t="s"/>
      <c r="H2137" t="s"/>
      <c r="I2137" t="s"/>
      <c r="J2137" t="n">
        <v>0.1406</v>
      </c>
      <c r="K2137" t="n">
        <v>0</v>
      </c>
      <c r="L2137" t="n">
        <v>0.886</v>
      </c>
      <c r="M2137" t="n">
        <v>0.114</v>
      </c>
    </row>
    <row r="2138" spans="1:13">
      <c r="A2138" s="1">
        <f>HYPERLINK("http://www.twitter.com/NathanBLawrence/status/981214951250505729", "981214951250505729")</f>
        <v/>
      </c>
      <c r="B2138" s="2" t="n">
        <v>43193.70890046296</v>
      </c>
      <c r="C2138" t="n">
        <v>0</v>
      </c>
      <c r="D2138" t="n">
        <v>0</v>
      </c>
      <c r="E2138" t="s">
        <v>2149</v>
      </c>
      <c r="F2138" t="s"/>
      <c r="G2138" t="s"/>
      <c r="H2138" t="s"/>
      <c r="I2138" t="s"/>
      <c r="J2138" t="n">
        <v>-0.2593</v>
      </c>
      <c r="K2138" t="n">
        <v>0.102</v>
      </c>
      <c r="L2138" t="n">
        <v>0.827</v>
      </c>
      <c r="M2138" t="n">
        <v>0.07099999999999999</v>
      </c>
    </row>
    <row r="2139" spans="1:13">
      <c r="A2139" s="1">
        <f>HYPERLINK("http://www.twitter.com/NathanBLawrence/status/981214603978903555", "981214603978903555")</f>
        <v/>
      </c>
      <c r="B2139" s="2" t="n">
        <v>43193.70793981481</v>
      </c>
      <c r="C2139" t="n">
        <v>0</v>
      </c>
      <c r="D2139" t="n">
        <v>0</v>
      </c>
      <c r="E2139" t="s">
        <v>2150</v>
      </c>
      <c r="F2139" t="s"/>
      <c r="G2139" t="s"/>
      <c r="H2139" t="s"/>
      <c r="I2139" t="s"/>
      <c r="J2139" t="n">
        <v>0.2481</v>
      </c>
      <c r="K2139" t="n">
        <v>0.108</v>
      </c>
      <c r="L2139" t="n">
        <v>0.736</v>
      </c>
      <c r="M2139" t="n">
        <v>0.157</v>
      </c>
    </row>
    <row r="2140" spans="1:13">
      <c r="A2140" s="1">
        <f>HYPERLINK("http://www.twitter.com/NathanBLawrence/status/981213873360523264", "981213873360523264")</f>
        <v/>
      </c>
      <c r="B2140" s="2" t="n">
        <v>43193.70592592593</v>
      </c>
      <c r="C2140" t="n">
        <v>0</v>
      </c>
      <c r="D2140" t="n">
        <v>25</v>
      </c>
      <c r="E2140" t="s">
        <v>2151</v>
      </c>
      <c r="F2140" t="s"/>
      <c r="G2140" t="s"/>
      <c r="H2140" t="s"/>
      <c r="I2140" t="s"/>
      <c r="J2140" t="n">
        <v>0.6705</v>
      </c>
      <c r="K2140" t="n">
        <v>0</v>
      </c>
      <c r="L2140" t="n">
        <v>0.792</v>
      </c>
      <c r="M2140" t="n">
        <v>0.208</v>
      </c>
    </row>
    <row r="2141" spans="1:13">
      <c r="A2141" s="1">
        <f>HYPERLINK("http://www.twitter.com/NathanBLawrence/status/981213789273116672", "981213789273116672")</f>
        <v/>
      </c>
      <c r="B2141" s="2" t="n">
        <v>43193.70569444444</v>
      </c>
      <c r="C2141" t="n">
        <v>3</v>
      </c>
      <c r="D2141" t="n">
        <v>1</v>
      </c>
      <c r="E2141" t="s">
        <v>2152</v>
      </c>
      <c r="F2141" t="s"/>
      <c r="G2141" t="s"/>
      <c r="H2141" t="s"/>
      <c r="I2141" t="s"/>
      <c r="J2141" t="n">
        <v>0.5719</v>
      </c>
      <c r="K2141" t="n">
        <v>0</v>
      </c>
      <c r="L2141" t="n">
        <v>0.866</v>
      </c>
      <c r="M2141" t="n">
        <v>0.134</v>
      </c>
    </row>
    <row r="2142" spans="1:13">
      <c r="A2142" s="1">
        <f>HYPERLINK("http://www.twitter.com/NathanBLawrence/status/981213335491432459", "981213335491432459")</f>
        <v/>
      </c>
      <c r="B2142" s="2" t="n">
        <v>43193.70443287037</v>
      </c>
      <c r="C2142" t="n">
        <v>0</v>
      </c>
      <c r="D2142" t="n">
        <v>3</v>
      </c>
      <c r="E2142" t="s">
        <v>2153</v>
      </c>
      <c r="F2142" t="s"/>
      <c r="G2142" t="s"/>
      <c r="H2142" t="s"/>
      <c r="I2142" t="s"/>
      <c r="J2142" t="n">
        <v>0.5499000000000001</v>
      </c>
      <c r="K2142" t="n">
        <v>0</v>
      </c>
      <c r="L2142" t="n">
        <v>0.843</v>
      </c>
      <c r="M2142" t="n">
        <v>0.157</v>
      </c>
    </row>
    <row r="2143" spans="1:13">
      <c r="A2143" s="1">
        <f>HYPERLINK("http://www.twitter.com/NathanBLawrence/status/981213031286833153", "981213031286833153")</f>
        <v/>
      </c>
      <c r="B2143" s="2" t="n">
        <v>43193.70359953704</v>
      </c>
      <c r="C2143" t="n">
        <v>1</v>
      </c>
      <c r="D2143" t="n">
        <v>0</v>
      </c>
      <c r="E2143" t="s">
        <v>2154</v>
      </c>
      <c r="F2143" t="s"/>
      <c r="G2143" t="s"/>
      <c r="H2143" t="s"/>
      <c r="I2143" t="s"/>
      <c r="J2143" t="n">
        <v>0</v>
      </c>
      <c r="K2143" t="n">
        <v>0</v>
      </c>
      <c r="L2143" t="n">
        <v>1</v>
      </c>
      <c r="M2143" t="n">
        <v>0</v>
      </c>
    </row>
    <row r="2144" spans="1:13">
      <c r="A2144" s="1">
        <f>HYPERLINK("http://www.twitter.com/NathanBLawrence/status/981212831772225536", "981212831772225536")</f>
        <v/>
      </c>
      <c r="B2144" s="2" t="n">
        <v>43193.70304398148</v>
      </c>
      <c r="C2144" t="n">
        <v>0</v>
      </c>
      <c r="D2144" t="n">
        <v>0</v>
      </c>
      <c r="E2144" t="s">
        <v>2155</v>
      </c>
      <c r="F2144" t="s"/>
      <c r="G2144" t="s"/>
      <c r="H2144" t="s"/>
      <c r="I2144" t="s"/>
      <c r="J2144" t="n">
        <v>0</v>
      </c>
      <c r="K2144" t="n">
        <v>0</v>
      </c>
      <c r="L2144" t="n">
        <v>1</v>
      </c>
      <c r="M2144" t="n">
        <v>0</v>
      </c>
    </row>
    <row r="2145" spans="1:13">
      <c r="A2145" s="1">
        <f>HYPERLINK("http://www.twitter.com/NathanBLawrence/status/981210382130966528", "981210382130966528")</f>
        <v/>
      </c>
      <c r="B2145" s="2" t="n">
        <v>43193.69628472222</v>
      </c>
      <c r="C2145" t="n">
        <v>0</v>
      </c>
      <c r="D2145" t="n">
        <v>0</v>
      </c>
      <c r="E2145" t="s">
        <v>2156</v>
      </c>
      <c r="F2145" t="s"/>
      <c r="G2145" t="s"/>
      <c r="H2145" t="s"/>
      <c r="I2145" t="s"/>
      <c r="J2145" t="n">
        <v>0.6739000000000001</v>
      </c>
      <c r="K2145" t="n">
        <v>0</v>
      </c>
      <c r="L2145" t="n">
        <v>0.886</v>
      </c>
      <c r="M2145" t="n">
        <v>0.114</v>
      </c>
    </row>
    <row r="2146" spans="1:13">
      <c r="A2146" s="1">
        <f>HYPERLINK("http://www.twitter.com/NathanBLawrence/status/981209144224047104", "981209144224047104")</f>
        <v/>
      </c>
      <c r="B2146" s="2" t="n">
        <v>43193.69287037037</v>
      </c>
      <c r="C2146" t="n">
        <v>2</v>
      </c>
      <c r="D2146" t="n">
        <v>0</v>
      </c>
      <c r="E2146" t="s">
        <v>2157</v>
      </c>
      <c r="F2146" t="s"/>
      <c r="G2146" t="s"/>
      <c r="H2146" t="s"/>
      <c r="I2146" t="s"/>
      <c r="J2146" t="n">
        <v>-0.1742</v>
      </c>
      <c r="K2146" t="n">
        <v>0.097</v>
      </c>
      <c r="L2146" t="n">
        <v>0.822</v>
      </c>
      <c r="M2146" t="n">
        <v>0.081</v>
      </c>
    </row>
    <row r="2147" spans="1:13">
      <c r="A2147" s="1">
        <f>HYPERLINK("http://www.twitter.com/NathanBLawrence/status/981206511144841216", "981206511144841216")</f>
        <v/>
      </c>
      <c r="B2147" s="2" t="n">
        <v>43193.68560185185</v>
      </c>
      <c r="C2147" t="n">
        <v>0</v>
      </c>
      <c r="D2147" t="n">
        <v>0</v>
      </c>
      <c r="E2147" t="s">
        <v>2158</v>
      </c>
      <c r="F2147" t="s"/>
      <c r="G2147" t="s"/>
      <c r="H2147" t="s"/>
      <c r="I2147" t="s"/>
      <c r="J2147" t="n">
        <v>-0.0516</v>
      </c>
      <c r="K2147" t="n">
        <v>0.154</v>
      </c>
      <c r="L2147" t="n">
        <v>0.676</v>
      </c>
      <c r="M2147" t="n">
        <v>0.169</v>
      </c>
    </row>
    <row r="2148" spans="1:13">
      <c r="A2148" s="1">
        <f>HYPERLINK("http://www.twitter.com/NathanBLawrence/status/981192651201540097", "981192651201540097")</f>
        <v/>
      </c>
      <c r="B2148" s="2" t="n">
        <v>43193.64736111111</v>
      </c>
      <c r="C2148" t="n">
        <v>0</v>
      </c>
      <c r="D2148" t="n">
        <v>0</v>
      </c>
      <c r="E2148" t="s">
        <v>2159</v>
      </c>
      <c r="F2148" t="s"/>
      <c r="G2148" t="s"/>
      <c r="H2148" t="s"/>
      <c r="I2148" t="s"/>
      <c r="J2148" t="n">
        <v>0</v>
      </c>
      <c r="K2148" t="n">
        <v>0</v>
      </c>
      <c r="L2148" t="n">
        <v>1</v>
      </c>
      <c r="M2148" t="n">
        <v>0</v>
      </c>
    </row>
    <row r="2149" spans="1:13">
      <c r="A2149" s="1">
        <f>HYPERLINK("http://www.twitter.com/NathanBLawrence/status/981179699559849984", "981179699559849984")</f>
        <v/>
      </c>
      <c r="B2149" s="2" t="n">
        <v>43193.61162037037</v>
      </c>
      <c r="C2149" t="n">
        <v>0</v>
      </c>
      <c r="D2149" t="n">
        <v>97</v>
      </c>
      <c r="E2149" t="s">
        <v>2160</v>
      </c>
      <c r="F2149" t="s"/>
      <c r="G2149" t="s"/>
      <c r="H2149" t="s"/>
      <c r="I2149" t="s"/>
      <c r="J2149" t="n">
        <v>-0.8172</v>
      </c>
      <c r="K2149" t="n">
        <v>0.283</v>
      </c>
      <c r="L2149" t="n">
        <v>0.717</v>
      </c>
      <c r="M2149" t="n">
        <v>0</v>
      </c>
    </row>
    <row r="2150" spans="1:13">
      <c r="A2150" s="1">
        <f>HYPERLINK("http://www.twitter.com/NathanBLawrence/status/981179068858159105", "981179068858159105")</f>
        <v/>
      </c>
      <c r="B2150" s="2" t="n">
        <v>43193.60988425926</v>
      </c>
      <c r="C2150" t="n">
        <v>0</v>
      </c>
      <c r="D2150" t="n">
        <v>1751</v>
      </c>
      <c r="E2150" t="s">
        <v>2161</v>
      </c>
      <c r="F2150">
        <f>HYPERLINK("http://pbs.twimg.com/media/DZzbrQLW0AAAdVp.jpg", "http://pbs.twimg.com/media/DZzbrQLW0AAAdVp.jpg")</f>
        <v/>
      </c>
      <c r="G2150" t="s"/>
      <c r="H2150" t="s"/>
      <c r="I2150" t="s"/>
      <c r="J2150" t="n">
        <v>-0.7845</v>
      </c>
      <c r="K2150" t="n">
        <v>0.247</v>
      </c>
      <c r="L2150" t="n">
        <v>0.753</v>
      </c>
      <c r="M2150" t="n">
        <v>0</v>
      </c>
    </row>
    <row r="2151" spans="1:13">
      <c r="A2151" s="1">
        <f>HYPERLINK("http://www.twitter.com/NathanBLawrence/status/981178661637427208", "981178661637427208")</f>
        <v/>
      </c>
      <c r="B2151" s="2" t="n">
        <v>43193.60876157408</v>
      </c>
      <c r="C2151" t="n">
        <v>0</v>
      </c>
      <c r="D2151" t="n">
        <v>0</v>
      </c>
      <c r="E2151" t="s">
        <v>2162</v>
      </c>
      <c r="F2151" t="s"/>
      <c r="G2151" t="s"/>
      <c r="H2151" t="s"/>
      <c r="I2151" t="s"/>
      <c r="J2151" t="n">
        <v>0.6219</v>
      </c>
      <c r="K2151" t="n">
        <v>0</v>
      </c>
      <c r="L2151" t="n">
        <v>0.837</v>
      </c>
      <c r="M2151" t="n">
        <v>0.163</v>
      </c>
    </row>
    <row r="2152" spans="1:13">
      <c r="A2152" s="1">
        <f>HYPERLINK("http://www.twitter.com/NathanBLawrence/status/981176895000776705", "981176895000776705")</f>
        <v/>
      </c>
      <c r="B2152" s="2" t="n">
        <v>43193.60387731482</v>
      </c>
      <c r="C2152" t="n">
        <v>1</v>
      </c>
      <c r="D2152" t="n">
        <v>0</v>
      </c>
      <c r="E2152" t="s">
        <v>2163</v>
      </c>
      <c r="F2152" t="s"/>
      <c r="G2152" t="s"/>
      <c r="H2152" t="s"/>
      <c r="I2152" t="s"/>
      <c r="J2152" t="n">
        <v>-0.729</v>
      </c>
      <c r="K2152" t="n">
        <v>0.16</v>
      </c>
      <c r="L2152" t="n">
        <v>0.792</v>
      </c>
      <c r="M2152" t="n">
        <v>0.048</v>
      </c>
    </row>
    <row r="2153" spans="1:13">
      <c r="A2153" s="1">
        <f>HYPERLINK("http://www.twitter.com/NathanBLawrence/status/981176132128079872", "981176132128079872")</f>
        <v/>
      </c>
      <c r="B2153" s="2" t="n">
        <v>43193.60177083333</v>
      </c>
      <c r="C2153" t="n">
        <v>0</v>
      </c>
      <c r="D2153" t="n">
        <v>0</v>
      </c>
      <c r="E2153" t="s">
        <v>2164</v>
      </c>
      <c r="F2153" t="s"/>
      <c r="G2153" t="s"/>
      <c r="H2153" t="s"/>
      <c r="I2153" t="s"/>
      <c r="J2153" t="n">
        <v>0</v>
      </c>
      <c r="K2153" t="n">
        <v>0</v>
      </c>
      <c r="L2153" t="n">
        <v>1</v>
      </c>
      <c r="M2153" t="n">
        <v>0</v>
      </c>
    </row>
    <row r="2154" spans="1:13">
      <c r="A2154" s="1">
        <f>HYPERLINK("http://www.twitter.com/NathanBLawrence/status/981174359762046976", "981174359762046976")</f>
        <v/>
      </c>
      <c r="B2154" s="2" t="n">
        <v>43193.59688657407</v>
      </c>
      <c r="C2154" t="n">
        <v>2</v>
      </c>
      <c r="D2154" t="n">
        <v>1</v>
      </c>
      <c r="E2154" t="s">
        <v>2165</v>
      </c>
      <c r="F2154" t="s"/>
      <c r="G2154" t="s"/>
      <c r="H2154" t="s"/>
      <c r="I2154" t="s"/>
      <c r="J2154" t="n">
        <v>0.5719</v>
      </c>
      <c r="K2154" t="n">
        <v>0</v>
      </c>
      <c r="L2154" t="n">
        <v>0.709</v>
      </c>
      <c r="M2154" t="n">
        <v>0.291</v>
      </c>
    </row>
    <row r="2155" spans="1:13">
      <c r="A2155" s="1">
        <f>HYPERLINK("http://www.twitter.com/NathanBLawrence/status/981173859260010496", "981173859260010496")</f>
        <v/>
      </c>
      <c r="B2155" s="2" t="n">
        <v>43193.59550925926</v>
      </c>
      <c r="C2155" t="n">
        <v>1</v>
      </c>
      <c r="D2155" t="n">
        <v>0</v>
      </c>
      <c r="E2155" t="s">
        <v>2166</v>
      </c>
      <c r="F2155" t="s"/>
      <c r="G2155" t="s"/>
      <c r="H2155" t="s"/>
      <c r="I2155" t="s"/>
      <c r="J2155" t="n">
        <v>-0.296</v>
      </c>
      <c r="K2155" t="n">
        <v>0.109</v>
      </c>
      <c r="L2155" t="n">
        <v>0.891</v>
      </c>
      <c r="M2155" t="n">
        <v>0</v>
      </c>
    </row>
    <row r="2156" spans="1:13">
      <c r="A2156" s="1">
        <f>HYPERLINK("http://www.twitter.com/NathanBLawrence/status/981165422673317888", "981165422673317888")</f>
        <v/>
      </c>
      <c r="B2156" s="2" t="n">
        <v>43193.57222222222</v>
      </c>
      <c r="C2156" t="n">
        <v>0</v>
      </c>
      <c r="D2156" t="n">
        <v>0</v>
      </c>
      <c r="E2156" t="s">
        <v>2167</v>
      </c>
      <c r="F2156" t="s"/>
      <c r="G2156" t="s"/>
      <c r="H2156" t="s"/>
      <c r="I2156" t="s"/>
      <c r="J2156" t="n">
        <v>0</v>
      </c>
      <c r="K2156" t="n">
        <v>0</v>
      </c>
      <c r="L2156" t="n">
        <v>1</v>
      </c>
      <c r="M2156" t="n">
        <v>0</v>
      </c>
    </row>
    <row r="2157" spans="1:13">
      <c r="A2157" s="1">
        <f>HYPERLINK("http://www.twitter.com/NathanBLawrence/status/981164826339749888", "981164826339749888")</f>
        <v/>
      </c>
      <c r="B2157" s="2" t="n">
        <v>43193.5705787037</v>
      </c>
      <c r="C2157" t="n">
        <v>1</v>
      </c>
      <c r="D2157" t="n">
        <v>0</v>
      </c>
      <c r="E2157" t="s">
        <v>2168</v>
      </c>
      <c r="F2157" t="s"/>
      <c r="G2157" t="s"/>
      <c r="H2157" t="s"/>
      <c r="I2157" t="s"/>
      <c r="J2157" t="n">
        <v>0</v>
      </c>
      <c r="K2157" t="n">
        <v>0</v>
      </c>
      <c r="L2157" t="n">
        <v>1</v>
      </c>
      <c r="M2157" t="n">
        <v>0</v>
      </c>
    </row>
    <row r="2158" spans="1:13">
      <c r="A2158" s="1">
        <f>HYPERLINK("http://www.twitter.com/NathanBLawrence/status/981157856559935488", "981157856559935488")</f>
        <v/>
      </c>
      <c r="B2158" s="2" t="n">
        <v>43193.55134259259</v>
      </c>
      <c r="C2158" t="n">
        <v>0</v>
      </c>
      <c r="D2158" t="n">
        <v>0</v>
      </c>
      <c r="E2158" t="s">
        <v>2169</v>
      </c>
      <c r="F2158" t="s"/>
      <c r="G2158" t="s"/>
      <c r="H2158" t="s"/>
      <c r="I2158" t="s"/>
      <c r="J2158" t="n">
        <v>-0.5719</v>
      </c>
      <c r="K2158" t="n">
        <v>0.485</v>
      </c>
      <c r="L2158" t="n">
        <v>0.515</v>
      </c>
      <c r="M2158" t="n">
        <v>0</v>
      </c>
    </row>
    <row r="2159" spans="1:13">
      <c r="A2159" s="1">
        <f>HYPERLINK("http://www.twitter.com/NathanBLawrence/status/981153355664908289", "981153355664908289")</f>
        <v/>
      </c>
      <c r="B2159" s="2" t="n">
        <v>43193.53892361111</v>
      </c>
      <c r="C2159" t="n">
        <v>0</v>
      </c>
      <c r="D2159" t="n">
        <v>0</v>
      </c>
      <c r="E2159" t="s">
        <v>2170</v>
      </c>
      <c r="F2159" t="s"/>
      <c r="G2159" t="s"/>
      <c r="H2159" t="s"/>
      <c r="I2159" t="s"/>
      <c r="J2159" t="n">
        <v>0</v>
      </c>
      <c r="K2159" t="n">
        <v>0</v>
      </c>
      <c r="L2159" t="n">
        <v>1</v>
      </c>
      <c r="M2159" t="n">
        <v>0</v>
      </c>
    </row>
    <row r="2160" spans="1:13">
      <c r="A2160" s="1">
        <f>HYPERLINK("http://www.twitter.com/NathanBLawrence/status/981151663368163330", "981151663368163330")</f>
        <v/>
      </c>
      <c r="B2160" s="2" t="n">
        <v>43193.53425925926</v>
      </c>
      <c r="C2160" t="n">
        <v>0</v>
      </c>
      <c r="D2160" t="n">
        <v>3</v>
      </c>
      <c r="E2160" t="s">
        <v>2171</v>
      </c>
      <c r="F2160" t="s"/>
      <c r="G2160" t="s"/>
      <c r="H2160" t="s"/>
      <c r="I2160" t="s"/>
      <c r="J2160" t="n">
        <v>0</v>
      </c>
      <c r="K2160" t="n">
        <v>0</v>
      </c>
      <c r="L2160" t="n">
        <v>1</v>
      </c>
      <c r="M2160" t="n">
        <v>0</v>
      </c>
    </row>
    <row r="2161" spans="1:13">
      <c r="A2161" s="1">
        <f>HYPERLINK("http://www.twitter.com/NathanBLawrence/status/981151580480311301", "981151580480311301")</f>
        <v/>
      </c>
      <c r="B2161" s="2" t="n">
        <v>43193.53402777778</v>
      </c>
      <c r="C2161" t="n">
        <v>1</v>
      </c>
      <c r="D2161" t="n">
        <v>0</v>
      </c>
      <c r="E2161" t="s">
        <v>2172</v>
      </c>
      <c r="F2161" t="s"/>
      <c r="G2161" t="s"/>
      <c r="H2161" t="s"/>
      <c r="I2161" t="s"/>
      <c r="J2161" t="n">
        <v>-0.8552</v>
      </c>
      <c r="K2161" t="n">
        <v>0.29</v>
      </c>
      <c r="L2161" t="n">
        <v>0.71</v>
      </c>
      <c r="M2161" t="n">
        <v>0</v>
      </c>
    </row>
    <row r="2162" spans="1:13">
      <c r="A2162" s="1">
        <f>HYPERLINK("http://www.twitter.com/NathanBLawrence/status/981146633986564097", "981146633986564097")</f>
        <v/>
      </c>
      <c r="B2162" s="2" t="n">
        <v>43193.52038194444</v>
      </c>
      <c r="C2162" t="n">
        <v>1</v>
      </c>
      <c r="D2162" t="n">
        <v>0</v>
      </c>
      <c r="E2162" t="s">
        <v>2173</v>
      </c>
      <c r="F2162" t="s"/>
      <c r="G2162" t="s"/>
      <c r="H2162" t="s"/>
      <c r="I2162" t="s"/>
      <c r="J2162" t="n">
        <v>0</v>
      </c>
      <c r="K2162" t="n">
        <v>0</v>
      </c>
      <c r="L2162" t="n">
        <v>1</v>
      </c>
      <c r="M2162" t="n">
        <v>0</v>
      </c>
    </row>
    <row r="2163" spans="1:13">
      <c r="A2163" s="1">
        <f>HYPERLINK("http://www.twitter.com/NathanBLawrence/status/981144592744681472", "981144592744681472")</f>
        <v/>
      </c>
      <c r="B2163" s="2" t="n">
        <v>43193.51474537037</v>
      </c>
      <c r="C2163" t="n">
        <v>0</v>
      </c>
      <c r="D2163" t="n">
        <v>0</v>
      </c>
      <c r="E2163" t="s">
        <v>2174</v>
      </c>
      <c r="F2163" t="s"/>
      <c r="G2163" t="s"/>
      <c r="H2163" t="s"/>
      <c r="I2163" t="s"/>
      <c r="J2163" t="n">
        <v>-0.0382</v>
      </c>
      <c r="K2163" t="n">
        <v>0.048</v>
      </c>
      <c r="L2163" t="n">
        <v>0.952</v>
      </c>
      <c r="M2163" t="n">
        <v>0</v>
      </c>
    </row>
    <row r="2164" spans="1:13">
      <c r="A2164" s="1">
        <f>HYPERLINK("http://www.twitter.com/NathanBLawrence/status/981141259048902657", "981141259048902657")</f>
        <v/>
      </c>
      <c r="B2164" s="2" t="n">
        <v>43193.50554398148</v>
      </c>
      <c r="C2164" t="n">
        <v>0</v>
      </c>
      <c r="D2164" t="n">
        <v>3</v>
      </c>
      <c r="E2164" t="s">
        <v>2175</v>
      </c>
      <c r="F2164">
        <f>HYPERLINK("http://pbs.twimg.com/media/DZoidefVQAAyHfN.jpg", "http://pbs.twimg.com/media/DZoidefVQAAyHfN.jpg")</f>
        <v/>
      </c>
      <c r="G2164" t="s"/>
      <c r="H2164" t="s"/>
      <c r="I2164" t="s"/>
      <c r="J2164" t="n">
        <v>-0.4588</v>
      </c>
      <c r="K2164" t="n">
        <v>0.188</v>
      </c>
      <c r="L2164" t="n">
        <v>0.8120000000000001</v>
      </c>
      <c r="M2164" t="n">
        <v>0</v>
      </c>
    </row>
    <row r="2165" spans="1:13">
      <c r="A2165" s="1">
        <f>HYPERLINK("http://www.twitter.com/NathanBLawrence/status/981034624267808771", "981034624267808771")</f>
        <v/>
      </c>
      <c r="B2165" s="2" t="n">
        <v>43193.21128472222</v>
      </c>
      <c r="C2165" t="n">
        <v>0</v>
      </c>
      <c r="D2165" t="n">
        <v>11116</v>
      </c>
      <c r="E2165" t="s">
        <v>2176</v>
      </c>
      <c r="F2165">
        <f>HYPERLINK("https://video.twimg.com/ext_tw_video/942262744757055488/pu/vid/480x360/jpmhOnkfFKVL47AW.mp4", "https://video.twimg.com/ext_tw_video/942262744757055488/pu/vid/480x360/jpmhOnkfFKVL47AW.mp4")</f>
        <v/>
      </c>
      <c r="G2165" t="s"/>
      <c r="H2165" t="s"/>
      <c r="I2165" t="s"/>
      <c r="J2165" t="n">
        <v>0</v>
      </c>
      <c r="K2165" t="n">
        <v>0</v>
      </c>
      <c r="L2165" t="n">
        <v>1</v>
      </c>
      <c r="M2165" t="n">
        <v>0</v>
      </c>
    </row>
    <row r="2166" spans="1:13">
      <c r="A2166" s="1">
        <f>HYPERLINK("http://www.twitter.com/NathanBLawrence/status/981033058877964289", "981033058877964289")</f>
        <v/>
      </c>
      <c r="B2166" s="2" t="n">
        <v>43193.2069675926</v>
      </c>
      <c r="C2166" t="n">
        <v>0</v>
      </c>
      <c r="D2166" t="n">
        <v>0</v>
      </c>
      <c r="E2166" t="s">
        <v>2177</v>
      </c>
      <c r="F2166" t="s"/>
      <c r="G2166" t="s"/>
      <c r="H2166" t="s"/>
      <c r="I2166" t="s"/>
      <c r="J2166" t="n">
        <v>0.368</v>
      </c>
      <c r="K2166" t="n">
        <v>0</v>
      </c>
      <c r="L2166" t="n">
        <v>0.703</v>
      </c>
      <c r="M2166" t="n">
        <v>0.297</v>
      </c>
    </row>
    <row r="2167" spans="1:13">
      <c r="A2167" s="1">
        <f>HYPERLINK("http://www.twitter.com/NathanBLawrence/status/980996100462141442", "980996100462141442")</f>
        <v/>
      </c>
      <c r="B2167" s="2" t="n">
        <v>43193.10498842593</v>
      </c>
      <c r="C2167" t="n">
        <v>0</v>
      </c>
      <c r="D2167" t="n">
        <v>0</v>
      </c>
      <c r="E2167" t="s">
        <v>2178</v>
      </c>
      <c r="F2167" t="s"/>
      <c r="G2167" t="s"/>
      <c r="H2167" t="s"/>
      <c r="I2167" t="s"/>
      <c r="J2167" t="n">
        <v>0</v>
      </c>
      <c r="K2167" t="n">
        <v>0</v>
      </c>
      <c r="L2167" t="n">
        <v>1</v>
      </c>
      <c r="M2167" t="n">
        <v>0</v>
      </c>
    </row>
    <row r="2168" spans="1:13">
      <c r="A2168" s="1">
        <f>HYPERLINK("http://www.twitter.com/NathanBLawrence/status/980995820106461184", "980995820106461184")</f>
        <v/>
      </c>
      <c r="B2168" s="2" t="n">
        <v>43193.10421296296</v>
      </c>
      <c r="C2168" t="n">
        <v>0</v>
      </c>
      <c r="D2168" t="n">
        <v>0</v>
      </c>
      <c r="E2168" t="s">
        <v>2179</v>
      </c>
      <c r="F2168" t="s"/>
      <c r="G2168" t="s"/>
      <c r="H2168" t="s"/>
      <c r="I2168" t="s"/>
      <c r="J2168" t="n">
        <v>-0.7914</v>
      </c>
      <c r="K2168" t="n">
        <v>0.223</v>
      </c>
      <c r="L2168" t="n">
        <v>0.777</v>
      </c>
      <c r="M2168" t="n">
        <v>0</v>
      </c>
    </row>
    <row r="2169" spans="1:13">
      <c r="A2169" s="1">
        <f>HYPERLINK("http://www.twitter.com/NathanBLawrence/status/980994134222786560", "980994134222786560")</f>
        <v/>
      </c>
      <c r="B2169" s="2" t="n">
        <v>43193.09956018518</v>
      </c>
      <c r="C2169" t="n">
        <v>0</v>
      </c>
      <c r="D2169" t="n">
        <v>294</v>
      </c>
      <c r="E2169" t="s">
        <v>2180</v>
      </c>
      <c r="F2169">
        <f>HYPERLINK("http://pbs.twimg.com/media/DZziCP7VQAIGRcE.jpg", "http://pbs.twimg.com/media/DZziCP7VQAIGRcE.jpg")</f>
        <v/>
      </c>
      <c r="G2169" t="s"/>
      <c r="H2169" t="s"/>
      <c r="I2169" t="s"/>
      <c r="J2169" t="n">
        <v>0.4404</v>
      </c>
      <c r="K2169" t="n">
        <v>0.108</v>
      </c>
      <c r="L2169" t="n">
        <v>0.6899999999999999</v>
      </c>
      <c r="M2169" t="n">
        <v>0.202</v>
      </c>
    </row>
    <row r="2170" spans="1:13">
      <c r="A2170" s="1">
        <f>HYPERLINK("http://www.twitter.com/NathanBLawrence/status/980993595523108865", "980993595523108865")</f>
        <v/>
      </c>
      <c r="B2170" s="2" t="n">
        <v>43193.09806712963</v>
      </c>
      <c r="C2170" t="n">
        <v>0</v>
      </c>
      <c r="D2170" t="n">
        <v>4</v>
      </c>
      <c r="E2170" t="s">
        <v>2181</v>
      </c>
      <c r="F2170" t="s"/>
      <c r="G2170" t="s"/>
      <c r="H2170" t="s"/>
      <c r="I2170" t="s"/>
      <c r="J2170" t="n">
        <v>0.7845</v>
      </c>
      <c r="K2170" t="n">
        <v>0</v>
      </c>
      <c r="L2170" t="n">
        <v>0.743</v>
      </c>
      <c r="M2170" t="n">
        <v>0.257</v>
      </c>
    </row>
    <row r="2171" spans="1:13">
      <c r="A2171" s="1">
        <f>HYPERLINK("http://www.twitter.com/NathanBLawrence/status/980982001191784451", "980982001191784451")</f>
        <v/>
      </c>
      <c r="B2171" s="2" t="n">
        <v>43193.06607638889</v>
      </c>
      <c r="C2171" t="n">
        <v>0</v>
      </c>
      <c r="D2171" t="n">
        <v>0</v>
      </c>
      <c r="E2171" t="s">
        <v>2182</v>
      </c>
      <c r="F2171" t="s"/>
      <c r="G2171" t="s"/>
      <c r="H2171" t="s"/>
      <c r="I2171" t="s"/>
      <c r="J2171" t="n">
        <v>0</v>
      </c>
      <c r="K2171" t="n">
        <v>0</v>
      </c>
      <c r="L2171" t="n">
        <v>1</v>
      </c>
      <c r="M2171" t="n">
        <v>0</v>
      </c>
    </row>
    <row r="2172" spans="1:13">
      <c r="A2172" s="1">
        <f>HYPERLINK("http://www.twitter.com/NathanBLawrence/status/980913681008558080", "980913681008558080")</f>
        <v/>
      </c>
      <c r="B2172" s="2" t="n">
        <v>43192.87754629629</v>
      </c>
      <c r="C2172" t="n">
        <v>0</v>
      </c>
      <c r="D2172" t="n">
        <v>407</v>
      </c>
      <c r="E2172" t="s">
        <v>2183</v>
      </c>
      <c r="F2172" t="s"/>
      <c r="G2172" t="s"/>
      <c r="H2172" t="s"/>
      <c r="I2172" t="s"/>
      <c r="J2172" t="n">
        <v>0</v>
      </c>
      <c r="K2172" t="n">
        <v>0</v>
      </c>
      <c r="L2172" t="n">
        <v>1</v>
      </c>
      <c r="M2172" t="n">
        <v>0</v>
      </c>
    </row>
    <row r="2173" spans="1:13">
      <c r="A2173" s="1">
        <f>HYPERLINK("http://www.twitter.com/NathanBLawrence/status/980910027795034113", "980910027795034113")</f>
        <v/>
      </c>
      <c r="B2173" s="2" t="n">
        <v>43192.86746527778</v>
      </c>
      <c r="C2173" t="n">
        <v>2</v>
      </c>
      <c r="D2173" t="n">
        <v>1</v>
      </c>
      <c r="E2173" t="s">
        <v>2184</v>
      </c>
      <c r="F2173">
        <f>HYPERLINK("http://pbs.twimg.com/media/DZzkeC_XkAE-LTK.jpg", "http://pbs.twimg.com/media/DZzkeC_XkAE-LTK.jpg")</f>
        <v/>
      </c>
      <c r="G2173" t="s"/>
      <c r="H2173" t="s"/>
      <c r="I2173" t="s"/>
      <c r="J2173" t="n">
        <v>0.0772</v>
      </c>
      <c r="K2173" t="n">
        <v>0</v>
      </c>
      <c r="L2173" t="n">
        <v>0.9419999999999999</v>
      </c>
      <c r="M2173" t="n">
        <v>0.058</v>
      </c>
    </row>
    <row r="2174" spans="1:13">
      <c r="A2174" s="1">
        <f>HYPERLINK("http://www.twitter.com/NathanBLawrence/status/980885774286704641", "980885774286704641")</f>
        <v/>
      </c>
      <c r="B2174" s="2" t="n">
        <v>43192.80054398148</v>
      </c>
      <c r="C2174" t="n">
        <v>0</v>
      </c>
      <c r="D2174" t="n">
        <v>0</v>
      </c>
      <c r="E2174" t="s">
        <v>2185</v>
      </c>
      <c r="F2174" t="s"/>
      <c r="G2174" t="s"/>
      <c r="H2174" t="s"/>
      <c r="I2174" t="s"/>
      <c r="J2174" t="n">
        <v>-0.5946</v>
      </c>
      <c r="K2174" t="n">
        <v>0.164</v>
      </c>
      <c r="L2174" t="n">
        <v>0.78</v>
      </c>
      <c r="M2174" t="n">
        <v>0.056</v>
      </c>
    </row>
    <row r="2175" spans="1:13">
      <c r="A2175" s="1">
        <f>HYPERLINK("http://www.twitter.com/NathanBLawrence/status/980881241644896256", "980881241644896256")</f>
        <v/>
      </c>
      <c r="B2175" s="2" t="n">
        <v>43192.78803240741</v>
      </c>
      <c r="C2175" t="n">
        <v>0</v>
      </c>
      <c r="D2175" t="n">
        <v>24</v>
      </c>
      <c r="E2175" t="s">
        <v>2186</v>
      </c>
      <c r="F2175" t="s"/>
      <c r="G2175" t="s"/>
      <c r="H2175" t="s"/>
      <c r="I2175" t="s"/>
      <c r="J2175" t="n">
        <v>0.3612</v>
      </c>
      <c r="K2175" t="n">
        <v>0</v>
      </c>
      <c r="L2175" t="n">
        <v>0.878</v>
      </c>
      <c r="M2175" t="n">
        <v>0.122</v>
      </c>
    </row>
    <row r="2176" spans="1:13">
      <c r="A2176" s="1">
        <f>HYPERLINK("http://www.twitter.com/NathanBLawrence/status/980880827033808897", "980880827033808897")</f>
        <v/>
      </c>
      <c r="B2176" s="2" t="n">
        <v>43192.78688657407</v>
      </c>
      <c r="C2176" t="n">
        <v>0</v>
      </c>
      <c r="D2176" t="n">
        <v>0</v>
      </c>
      <c r="E2176" t="s">
        <v>2187</v>
      </c>
      <c r="F2176" t="s"/>
      <c r="G2176" t="s"/>
      <c r="H2176" t="s"/>
      <c r="I2176" t="s"/>
      <c r="J2176" t="n">
        <v>0.0601</v>
      </c>
      <c r="K2176" t="n">
        <v>0.133</v>
      </c>
      <c r="L2176" t="n">
        <v>0.745</v>
      </c>
      <c r="M2176" t="n">
        <v>0.122</v>
      </c>
    </row>
    <row r="2177" spans="1:13">
      <c r="A2177" s="1">
        <f>HYPERLINK("http://www.twitter.com/NathanBLawrence/status/980877264110915584", "980877264110915584")</f>
        <v/>
      </c>
      <c r="B2177" s="2" t="n">
        <v>43192.77706018519</v>
      </c>
      <c r="C2177" t="n">
        <v>1</v>
      </c>
      <c r="D2177" t="n">
        <v>0</v>
      </c>
      <c r="E2177" t="s">
        <v>2188</v>
      </c>
      <c r="F2177" t="s"/>
      <c r="G2177" t="s"/>
      <c r="H2177" t="s"/>
      <c r="I2177" t="s"/>
      <c r="J2177" t="n">
        <v>0</v>
      </c>
      <c r="K2177" t="n">
        <v>0</v>
      </c>
      <c r="L2177" t="n">
        <v>1</v>
      </c>
      <c r="M2177" t="n">
        <v>0</v>
      </c>
    </row>
    <row r="2178" spans="1:13">
      <c r="A2178" s="1">
        <f>HYPERLINK("http://www.twitter.com/NathanBLawrence/status/980876991187619841", "980876991187619841")</f>
        <v/>
      </c>
      <c r="B2178" s="2" t="n">
        <v>43192.77630787037</v>
      </c>
      <c r="C2178" t="n">
        <v>0</v>
      </c>
      <c r="D2178" t="n">
        <v>0</v>
      </c>
      <c r="E2178" t="s">
        <v>2189</v>
      </c>
      <c r="F2178" t="s"/>
      <c r="G2178" t="s"/>
      <c r="H2178" t="s"/>
      <c r="I2178" t="s"/>
      <c r="J2178" t="n">
        <v>0</v>
      </c>
      <c r="K2178" t="n">
        <v>0</v>
      </c>
      <c r="L2178" t="n">
        <v>1</v>
      </c>
      <c r="M2178" t="n">
        <v>0</v>
      </c>
    </row>
    <row r="2179" spans="1:13">
      <c r="A2179" s="1">
        <f>HYPERLINK("http://www.twitter.com/NathanBLawrence/status/980876558385729536", "980876558385729536")</f>
        <v/>
      </c>
      <c r="B2179" s="2" t="n">
        <v>43192.77510416666</v>
      </c>
      <c r="C2179" t="n">
        <v>0</v>
      </c>
      <c r="D2179" t="n">
        <v>111</v>
      </c>
      <c r="E2179" t="s">
        <v>2190</v>
      </c>
      <c r="F2179" t="s"/>
      <c r="G2179" t="s"/>
      <c r="H2179" t="s"/>
      <c r="I2179" t="s"/>
      <c r="J2179" t="n">
        <v>-0.4019</v>
      </c>
      <c r="K2179" t="n">
        <v>0.144</v>
      </c>
      <c r="L2179" t="n">
        <v>0.856</v>
      </c>
      <c r="M2179" t="n">
        <v>0</v>
      </c>
    </row>
    <row r="2180" spans="1:13">
      <c r="A2180" s="1">
        <f>HYPERLINK("http://www.twitter.com/NathanBLawrence/status/980876148224774144", "980876148224774144")</f>
        <v/>
      </c>
      <c r="B2180" s="2" t="n">
        <v>43192.77398148148</v>
      </c>
      <c r="C2180" t="n">
        <v>9</v>
      </c>
      <c r="D2180" t="n">
        <v>2</v>
      </c>
      <c r="E2180" t="s">
        <v>2191</v>
      </c>
      <c r="F2180" t="s"/>
      <c r="G2180" t="s"/>
      <c r="H2180" t="s"/>
      <c r="I2180" t="s"/>
      <c r="J2180" t="n">
        <v>0.8143</v>
      </c>
      <c r="K2180" t="n">
        <v>0</v>
      </c>
      <c r="L2180" t="n">
        <v>0.821</v>
      </c>
      <c r="M2180" t="n">
        <v>0.179</v>
      </c>
    </row>
    <row r="2181" spans="1:13">
      <c r="A2181" s="1">
        <f>HYPERLINK("http://www.twitter.com/NathanBLawrence/status/980875424132722693", "980875424132722693")</f>
        <v/>
      </c>
      <c r="B2181" s="2" t="n">
        <v>43192.77197916667</v>
      </c>
      <c r="C2181" t="n">
        <v>0</v>
      </c>
      <c r="D2181" t="n">
        <v>1403</v>
      </c>
      <c r="E2181" t="s">
        <v>2192</v>
      </c>
      <c r="F2181">
        <f>HYPERLINK("http://pbs.twimg.com/media/DZl35dsUMAAes6J.jpg", "http://pbs.twimg.com/media/DZl35dsUMAAes6J.jpg")</f>
        <v/>
      </c>
      <c r="G2181">
        <f>HYPERLINK("http://pbs.twimg.com/media/DZl38noV4AAqe8T.jpg", "http://pbs.twimg.com/media/DZl38noV4AAqe8T.jpg")</f>
        <v/>
      </c>
      <c r="H2181">
        <f>HYPERLINK("http://pbs.twimg.com/media/DZl4P4hUQAAMo5O.jpg", "http://pbs.twimg.com/media/DZl4P4hUQAAMo5O.jpg")</f>
        <v/>
      </c>
      <c r="I2181">
        <f>HYPERLINK("http://pbs.twimg.com/media/DZl4RpQVwAA-sev.jpg", "http://pbs.twimg.com/media/DZl4RpQVwAA-sev.jpg")</f>
        <v/>
      </c>
      <c r="J2181" t="n">
        <v>0.2023</v>
      </c>
      <c r="K2181" t="n">
        <v>0</v>
      </c>
      <c r="L2181" t="n">
        <v>0.913</v>
      </c>
      <c r="M2181" t="n">
        <v>0.08699999999999999</v>
      </c>
    </row>
    <row r="2182" spans="1:13">
      <c r="A2182" s="1">
        <f>HYPERLINK("http://www.twitter.com/NathanBLawrence/status/980875191768223745", "980875191768223745")</f>
        <v/>
      </c>
      <c r="B2182" s="2" t="n">
        <v>43192.77134259259</v>
      </c>
      <c r="C2182" t="n">
        <v>0</v>
      </c>
      <c r="D2182" t="n">
        <v>1041</v>
      </c>
      <c r="E2182" t="s">
        <v>2193</v>
      </c>
      <c r="F2182" t="s"/>
      <c r="G2182" t="s"/>
      <c r="H2182" t="s"/>
      <c r="I2182" t="s"/>
      <c r="J2182" t="n">
        <v>-0.516</v>
      </c>
      <c r="K2182" t="n">
        <v>0.127</v>
      </c>
      <c r="L2182" t="n">
        <v>0.873</v>
      </c>
      <c r="M2182" t="n">
        <v>0</v>
      </c>
    </row>
    <row r="2183" spans="1:13">
      <c r="A2183" s="1">
        <f>HYPERLINK("http://www.twitter.com/NathanBLawrence/status/980875106875568130", "980875106875568130")</f>
        <v/>
      </c>
      <c r="B2183" s="2" t="n">
        <v>43192.77109953704</v>
      </c>
      <c r="C2183" t="n">
        <v>3</v>
      </c>
      <c r="D2183" t="n">
        <v>0</v>
      </c>
      <c r="E2183" t="s">
        <v>2194</v>
      </c>
      <c r="F2183" t="s"/>
      <c r="G2183" t="s"/>
      <c r="H2183" t="s"/>
      <c r="I2183" t="s"/>
      <c r="J2183" t="n">
        <v>0.3595</v>
      </c>
      <c r="K2183" t="n">
        <v>0</v>
      </c>
      <c r="L2183" t="n">
        <v>0.762</v>
      </c>
      <c r="M2183" t="n">
        <v>0.238</v>
      </c>
    </row>
    <row r="2184" spans="1:13">
      <c r="A2184" s="1">
        <f>HYPERLINK("http://www.twitter.com/NathanBLawrence/status/980857882097913856", "980857882097913856")</f>
        <v/>
      </c>
      <c r="B2184" s="2" t="n">
        <v>43192.72357638889</v>
      </c>
      <c r="C2184" t="n">
        <v>1</v>
      </c>
      <c r="D2184" t="n">
        <v>0</v>
      </c>
      <c r="E2184" t="s">
        <v>2195</v>
      </c>
      <c r="F2184" t="s"/>
      <c r="G2184" t="s"/>
      <c r="H2184" t="s"/>
      <c r="I2184" t="s"/>
      <c r="J2184" t="n">
        <v>0.4576</v>
      </c>
      <c r="K2184" t="n">
        <v>0</v>
      </c>
      <c r="L2184" t="n">
        <v>0.88</v>
      </c>
      <c r="M2184" t="n">
        <v>0.12</v>
      </c>
    </row>
    <row r="2185" spans="1:13">
      <c r="A2185" s="1">
        <f>HYPERLINK("http://www.twitter.com/NathanBLawrence/status/980848091204120577", "980848091204120577")</f>
        <v/>
      </c>
      <c r="B2185" s="2" t="n">
        <v>43192.69655092592</v>
      </c>
      <c r="C2185" t="n">
        <v>0</v>
      </c>
      <c r="D2185" t="n">
        <v>1</v>
      </c>
      <c r="E2185" t="s">
        <v>2196</v>
      </c>
      <c r="F2185" t="s"/>
      <c r="G2185" t="s"/>
      <c r="H2185" t="s"/>
      <c r="I2185" t="s"/>
      <c r="J2185" t="n">
        <v>0</v>
      </c>
      <c r="K2185" t="n">
        <v>0</v>
      </c>
      <c r="L2185" t="n">
        <v>1</v>
      </c>
      <c r="M2185" t="n">
        <v>0</v>
      </c>
    </row>
    <row r="2186" spans="1:13">
      <c r="A2186" s="1">
        <f>HYPERLINK("http://www.twitter.com/NathanBLawrence/status/980829375452065793", "980829375452065793")</f>
        <v/>
      </c>
      <c r="B2186" s="2" t="n">
        <v>43192.6449074074</v>
      </c>
      <c r="C2186" t="n">
        <v>1</v>
      </c>
      <c r="D2186" t="n">
        <v>1</v>
      </c>
      <c r="E2186" t="s">
        <v>2197</v>
      </c>
      <c r="F2186" t="s"/>
      <c r="G2186" t="s"/>
      <c r="H2186" t="s"/>
      <c r="I2186" t="s"/>
      <c r="J2186" t="n">
        <v>0.3034</v>
      </c>
      <c r="K2186" t="n">
        <v>0.098</v>
      </c>
      <c r="L2186" t="n">
        <v>0.797</v>
      </c>
      <c r="M2186" t="n">
        <v>0.105</v>
      </c>
    </row>
    <row r="2187" spans="1:13">
      <c r="A2187" s="1">
        <f>HYPERLINK("http://www.twitter.com/NathanBLawrence/status/980816658368552960", "980816658368552960")</f>
        <v/>
      </c>
      <c r="B2187" s="2" t="n">
        <v>43192.60981481482</v>
      </c>
      <c r="C2187" t="n">
        <v>1</v>
      </c>
      <c r="D2187" t="n">
        <v>0</v>
      </c>
      <c r="E2187" t="s">
        <v>2198</v>
      </c>
      <c r="F2187" t="s"/>
      <c r="G2187" t="s"/>
      <c r="H2187" t="s"/>
      <c r="I2187" t="s"/>
      <c r="J2187" t="n">
        <v>-0.8636</v>
      </c>
      <c r="K2187" t="n">
        <v>0.376</v>
      </c>
      <c r="L2187" t="n">
        <v>0.624</v>
      </c>
      <c r="M2187" t="n">
        <v>0</v>
      </c>
    </row>
    <row r="2188" spans="1:13">
      <c r="A2188" s="1">
        <f>HYPERLINK("http://www.twitter.com/NathanBLawrence/status/980814537418051584", "980814537418051584")</f>
        <v/>
      </c>
      <c r="B2188" s="2" t="n">
        <v>43192.60396990741</v>
      </c>
      <c r="C2188" t="n">
        <v>0</v>
      </c>
      <c r="D2188" t="n">
        <v>0</v>
      </c>
      <c r="E2188" t="s">
        <v>2199</v>
      </c>
      <c r="F2188" t="s"/>
      <c r="G2188" t="s"/>
      <c r="H2188" t="s"/>
      <c r="I2188" t="s"/>
      <c r="J2188" t="n">
        <v>0</v>
      </c>
      <c r="K2188" t="n">
        <v>0</v>
      </c>
      <c r="L2188" t="n">
        <v>1</v>
      </c>
      <c r="M2188" t="n">
        <v>0</v>
      </c>
    </row>
    <row r="2189" spans="1:13">
      <c r="A2189" s="1">
        <f>HYPERLINK("http://www.twitter.com/NathanBLawrence/status/980814138309074947", "980814138309074947")</f>
        <v/>
      </c>
      <c r="B2189" s="2" t="n">
        <v>43192.60285879629</v>
      </c>
      <c r="C2189" t="n">
        <v>1</v>
      </c>
      <c r="D2189" t="n">
        <v>0</v>
      </c>
      <c r="E2189" t="s">
        <v>2200</v>
      </c>
      <c r="F2189" t="s"/>
      <c r="G2189" t="s"/>
      <c r="H2189" t="s"/>
      <c r="I2189" t="s"/>
      <c r="J2189" t="n">
        <v>-0.5106000000000001</v>
      </c>
      <c r="K2189" t="n">
        <v>0.08400000000000001</v>
      </c>
      <c r="L2189" t="n">
        <v>0.895</v>
      </c>
      <c r="M2189" t="n">
        <v>0.021</v>
      </c>
    </row>
    <row r="2190" spans="1:13">
      <c r="A2190" s="1">
        <f>HYPERLINK("http://www.twitter.com/NathanBLawrence/status/980813384126955521", "980813384126955521")</f>
        <v/>
      </c>
      <c r="B2190" s="2" t="n">
        <v>43192.60078703704</v>
      </c>
      <c r="C2190" t="n">
        <v>1</v>
      </c>
      <c r="D2190" t="n">
        <v>0</v>
      </c>
      <c r="E2190" t="s">
        <v>2201</v>
      </c>
      <c r="F2190" t="s"/>
      <c r="G2190" t="s"/>
      <c r="H2190" t="s"/>
      <c r="I2190" t="s"/>
      <c r="J2190" t="n">
        <v>0</v>
      </c>
      <c r="K2190" t="n">
        <v>0</v>
      </c>
      <c r="L2190" t="n">
        <v>1</v>
      </c>
      <c r="M2190" t="n">
        <v>0</v>
      </c>
    </row>
    <row r="2191" spans="1:13">
      <c r="A2191" s="1">
        <f>HYPERLINK("http://www.twitter.com/NathanBLawrence/status/980812749767929858", "980812749767929858")</f>
        <v/>
      </c>
      <c r="B2191" s="2" t="n">
        <v>43192.59902777777</v>
      </c>
      <c r="C2191" t="n">
        <v>2</v>
      </c>
      <c r="D2191" t="n">
        <v>0</v>
      </c>
      <c r="E2191" t="s">
        <v>2202</v>
      </c>
      <c r="F2191" t="s"/>
      <c r="G2191" t="s"/>
      <c r="H2191" t="s"/>
      <c r="I2191" t="s"/>
      <c r="J2191" t="n">
        <v>0.6892</v>
      </c>
      <c r="K2191" t="n">
        <v>0</v>
      </c>
      <c r="L2191" t="n">
        <v>0.681</v>
      </c>
      <c r="M2191" t="n">
        <v>0.319</v>
      </c>
    </row>
    <row r="2192" spans="1:13">
      <c r="A2192" s="1">
        <f>HYPERLINK("http://www.twitter.com/NathanBLawrence/status/980812578162200577", "980812578162200577")</f>
        <v/>
      </c>
      <c r="B2192" s="2" t="n">
        <v>43192.59855324074</v>
      </c>
      <c r="C2192" t="n">
        <v>0</v>
      </c>
      <c r="D2192" t="n">
        <v>12</v>
      </c>
      <c r="E2192" t="s">
        <v>2203</v>
      </c>
      <c r="F2192">
        <f>HYPERLINK("http://pbs.twimg.com/media/DZyA6U6V4AEHC_i.jpg", "http://pbs.twimg.com/media/DZyA6U6V4AEHC_i.jpg")</f>
        <v/>
      </c>
      <c r="G2192" t="s"/>
      <c r="H2192" t="s"/>
      <c r="I2192" t="s"/>
      <c r="J2192" t="n">
        <v>0.4754</v>
      </c>
      <c r="K2192" t="n">
        <v>0</v>
      </c>
      <c r="L2192" t="n">
        <v>0.846</v>
      </c>
      <c r="M2192" t="n">
        <v>0.154</v>
      </c>
    </row>
    <row r="2193" spans="1:13">
      <c r="A2193" s="1">
        <f>HYPERLINK("http://www.twitter.com/NathanBLawrence/status/980812328475258880", "980812328475258880")</f>
        <v/>
      </c>
      <c r="B2193" s="2" t="n">
        <v>43192.59787037037</v>
      </c>
      <c r="C2193" t="n">
        <v>1</v>
      </c>
      <c r="D2193" t="n">
        <v>0</v>
      </c>
      <c r="E2193" t="s">
        <v>2204</v>
      </c>
      <c r="F2193" t="s"/>
      <c r="G2193" t="s"/>
      <c r="H2193" t="s"/>
      <c r="I2193" t="s"/>
      <c r="J2193" t="n">
        <v>0</v>
      </c>
      <c r="K2193" t="n">
        <v>0</v>
      </c>
      <c r="L2193" t="n">
        <v>1</v>
      </c>
      <c r="M2193" t="n">
        <v>0</v>
      </c>
    </row>
    <row r="2194" spans="1:13">
      <c r="A2194" s="1">
        <f>HYPERLINK("http://www.twitter.com/NathanBLawrence/status/980811810466095107", "980811810466095107")</f>
        <v/>
      </c>
      <c r="B2194" s="2" t="n">
        <v>43192.59643518519</v>
      </c>
      <c r="C2194" t="n">
        <v>0</v>
      </c>
      <c r="D2194" t="n">
        <v>2</v>
      </c>
      <c r="E2194" t="s">
        <v>2205</v>
      </c>
      <c r="F2194">
        <f>HYPERLINK("http://pbs.twimg.com/media/DZtESXKUQAEP1WZ.jpg", "http://pbs.twimg.com/media/DZtESXKUQAEP1WZ.jpg")</f>
        <v/>
      </c>
      <c r="G2194" t="s"/>
      <c r="H2194" t="s"/>
      <c r="I2194" t="s"/>
      <c r="J2194" t="n">
        <v>0</v>
      </c>
      <c r="K2194" t="n">
        <v>0</v>
      </c>
      <c r="L2194" t="n">
        <v>1</v>
      </c>
      <c r="M2194" t="n">
        <v>0</v>
      </c>
    </row>
    <row r="2195" spans="1:13">
      <c r="A2195" s="1">
        <f>HYPERLINK("http://www.twitter.com/NathanBLawrence/status/980810833809825793", "980810833809825793")</f>
        <v/>
      </c>
      <c r="B2195" s="2" t="n">
        <v>43192.59375</v>
      </c>
      <c r="C2195" t="n">
        <v>2</v>
      </c>
      <c r="D2195" t="n">
        <v>1</v>
      </c>
      <c r="E2195" t="s">
        <v>2206</v>
      </c>
      <c r="F2195">
        <f>HYPERLINK("http://pbs.twimg.com/media/DZyKPzyU8AA8qAe.jpg", "http://pbs.twimg.com/media/DZyKPzyU8AA8qAe.jpg")</f>
        <v/>
      </c>
      <c r="G2195" t="s"/>
      <c r="H2195" t="s"/>
      <c r="I2195" t="s"/>
      <c r="J2195" t="n">
        <v>0.4215</v>
      </c>
      <c r="K2195" t="n">
        <v>0</v>
      </c>
      <c r="L2195" t="n">
        <v>0.763</v>
      </c>
      <c r="M2195" t="n">
        <v>0.237</v>
      </c>
    </row>
    <row r="2196" spans="1:13">
      <c r="A2196" s="1">
        <f>HYPERLINK("http://www.twitter.com/NathanBLawrence/status/980807772404150272", "980807772404150272")</f>
        <v/>
      </c>
      <c r="B2196" s="2" t="n">
        <v>43192.58530092592</v>
      </c>
      <c r="C2196" t="n">
        <v>1</v>
      </c>
      <c r="D2196" t="n">
        <v>0</v>
      </c>
      <c r="E2196" t="s">
        <v>2207</v>
      </c>
      <c r="F2196" t="s"/>
      <c r="G2196" t="s"/>
      <c r="H2196" t="s"/>
      <c r="I2196" t="s"/>
      <c r="J2196" t="n">
        <v>-0.8529</v>
      </c>
      <c r="K2196" t="n">
        <v>0.226</v>
      </c>
      <c r="L2196" t="n">
        <v>0.774</v>
      </c>
      <c r="M2196" t="n">
        <v>0</v>
      </c>
    </row>
    <row r="2197" spans="1:13">
      <c r="A2197" s="1">
        <f>HYPERLINK("http://www.twitter.com/NathanBLawrence/status/980807168768315395", "980807168768315395")</f>
        <v/>
      </c>
      <c r="B2197" s="2" t="n">
        <v>43192.58363425926</v>
      </c>
      <c r="C2197" t="n">
        <v>0</v>
      </c>
      <c r="D2197" t="n">
        <v>0</v>
      </c>
      <c r="E2197" t="s">
        <v>2208</v>
      </c>
      <c r="F2197" t="s"/>
      <c r="G2197" t="s"/>
      <c r="H2197" t="s"/>
      <c r="I2197" t="s"/>
      <c r="J2197" t="n">
        <v>0.6996</v>
      </c>
      <c r="K2197" t="n">
        <v>0</v>
      </c>
      <c r="L2197" t="n">
        <v>0.829</v>
      </c>
      <c r="M2197" t="n">
        <v>0.171</v>
      </c>
    </row>
    <row r="2198" spans="1:13">
      <c r="A2198" s="1">
        <f>HYPERLINK("http://www.twitter.com/NathanBLawrence/status/980806557221957632", "980806557221957632")</f>
        <v/>
      </c>
      <c r="B2198" s="2" t="n">
        <v>43192.58194444444</v>
      </c>
      <c r="C2198" t="n">
        <v>0</v>
      </c>
      <c r="D2198" t="n">
        <v>413</v>
      </c>
      <c r="E2198" t="s">
        <v>2209</v>
      </c>
      <c r="F2198">
        <f>HYPERLINK("http://pbs.twimg.com/media/DZuWSwPU0AA6HH-.jpg", "http://pbs.twimg.com/media/DZuWSwPU0AA6HH-.jpg")</f>
        <v/>
      </c>
      <c r="G2198" t="s"/>
      <c r="H2198" t="s"/>
      <c r="I2198" t="s"/>
      <c r="J2198" t="n">
        <v>0</v>
      </c>
      <c r="K2198" t="n">
        <v>0</v>
      </c>
      <c r="L2198" t="n">
        <v>1</v>
      </c>
      <c r="M2198" t="n">
        <v>0</v>
      </c>
    </row>
    <row r="2199" spans="1:13">
      <c r="A2199" s="1">
        <f>HYPERLINK("http://www.twitter.com/NathanBLawrence/status/980806264954478593", "980806264954478593")</f>
        <v/>
      </c>
      <c r="B2199" s="2" t="n">
        <v>43192.58113425926</v>
      </c>
      <c r="C2199" t="n">
        <v>1</v>
      </c>
      <c r="D2199" t="n">
        <v>0</v>
      </c>
      <c r="E2199" t="s">
        <v>2210</v>
      </c>
      <c r="F2199" t="s"/>
      <c r="G2199" t="s"/>
      <c r="H2199" t="s"/>
      <c r="I2199" t="s"/>
      <c r="J2199" t="n">
        <v>0.4199</v>
      </c>
      <c r="K2199" t="n">
        <v>0</v>
      </c>
      <c r="L2199" t="n">
        <v>0.851</v>
      </c>
      <c r="M2199" t="n">
        <v>0.149</v>
      </c>
    </row>
    <row r="2200" spans="1:13">
      <c r="A2200" s="1">
        <f>HYPERLINK("http://www.twitter.com/NathanBLawrence/status/980792672758784000", "980792672758784000")</f>
        <v/>
      </c>
      <c r="B2200" s="2" t="n">
        <v>43192.54363425926</v>
      </c>
      <c r="C2200" t="n">
        <v>0</v>
      </c>
      <c r="D2200" t="n">
        <v>0</v>
      </c>
      <c r="E2200" t="s">
        <v>2211</v>
      </c>
      <c r="F2200" t="s"/>
      <c r="G2200" t="s"/>
      <c r="H2200" t="s"/>
      <c r="I2200" t="s"/>
      <c r="J2200" t="n">
        <v>0.8895999999999999</v>
      </c>
      <c r="K2200" t="n">
        <v>0</v>
      </c>
      <c r="L2200" t="n">
        <v>0.461</v>
      </c>
      <c r="M2200" t="n">
        <v>0.539</v>
      </c>
    </row>
    <row r="2201" spans="1:13">
      <c r="A2201" s="1">
        <f>HYPERLINK("http://www.twitter.com/NathanBLawrence/status/980792473617420288", "980792473617420288")</f>
        <v/>
      </c>
      <c r="B2201" s="2" t="n">
        <v>43192.5430787037</v>
      </c>
      <c r="C2201" t="n">
        <v>0</v>
      </c>
      <c r="D2201" t="n">
        <v>0</v>
      </c>
      <c r="E2201" t="s">
        <v>2212</v>
      </c>
      <c r="F2201" t="s"/>
      <c r="G2201" t="s"/>
      <c r="H2201" t="s"/>
      <c r="I2201" t="s"/>
      <c r="J2201" t="n">
        <v>0</v>
      </c>
      <c r="K2201" t="n">
        <v>0</v>
      </c>
      <c r="L2201" t="n">
        <v>1</v>
      </c>
      <c r="M2201" t="n">
        <v>0</v>
      </c>
    </row>
    <row r="2202" spans="1:13">
      <c r="A2202" s="1">
        <f>HYPERLINK("http://www.twitter.com/NathanBLawrence/status/980782682690019329", "980782682690019329")</f>
        <v/>
      </c>
      <c r="B2202" s="2" t="n">
        <v>43192.51606481482</v>
      </c>
      <c r="C2202" t="n">
        <v>2</v>
      </c>
      <c r="D2202" t="n">
        <v>0</v>
      </c>
      <c r="E2202" t="s">
        <v>2213</v>
      </c>
      <c r="F2202" t="s"/>
      <c r="G2202" t="s"/>
      <c r="H2202" t="s"/>
      <c r="I2202" t="s"/>
      <c r="J2202" t="n">
        <v>0.7339</v>
      </c>
      <c r="K2202" t="n">
        <v>0</v>
      </c>
      <c r="L2202" t="n">
        <v>0.715</v>
      </c>
      <c r="M2202" t="n">
        <v>0.285</v>
      </c>
    </row>
    <row r="2203" spans="1:13">
      <c r="A2203" s="1">
        <f>HYPERLINK("http://www.twitter.com/NathanBLawrence/status/980641011092336642", "980641011092336642")</f>
        <v/>
      </c>
      <c r="B2203" s="2" t="n">
        <v>43192.12512731482</v>
      </c>
      <c r="C2203" t="n">
        <v>0</v>
      </c>
      <c r="D2203" t="n">
        <v>0</v>
      </c>
      <c r="E2203" t="s">
        <v>2214</v>
      </c>
      <c r="F2203" t="s"/>
      <c r="G2203" t="s"/>
      <c r="H2203" t="s"/>
      <c r="I2203" t="s"/>
      <c r="J2203" t="n">
        <v>0.0644</v>
      </c>
      <c r="K2203" t="n">
        <v>0.119</v>
      </c>
      <c r="L2203" t="n">
        <v>0.743</v>
      </c>
      <c r="M2203" t="n">
        <v>0.138</v>
      </c>
    </row>
    <row r="2204" spans="1:13">
      <c r="A2204" s="1">
        <f>HYPERLINK("http://www.twitter.com/NathanBLawrence/status/980640323478216704", "980640323478216704")</f>
        <v/>
      </c>
      <c r="B2204" s="2" t="n">
        <v>43192.12322916667</v>
      </c>
      <c r="C2204" t="n">
        <v>1</v>
      </c>
      <c r="D2204" t="n">
        <v>0</v>
      </c>
      <c r="E2204" t="s">
        <v>2215</v>
      </c>
      <c r="F2204" t="s"/>
      <c r="G2204" t="s"/>
      <c r="H2204" t="s"/>
      <c r="I2204" t="s"/>
      <c r="J2204" t="n">
        <v>-0.2263</v>
      </c>
      <c r="K2204" t="n">
        <v>0.142</v>
      </c>
      <c r="L2204" t="n">
        <v>0.751</v>
      </c>
      <c r="M2204" t="n">
        <v>0.107</v>
      </c>
    </row>
    <row r="2205" spans="1:13">
      <c r="A2205" s="1">
        <f>HYPERLINK("http://www.twitter.com/NathanBLawrence/status/980640014060195841", "980640014060195841")</f>
        <v/>
      </c>
      <c r="B2205" s="2" t="n">
        <v>43192.12237268518</v>
      </c>
      <c r="C2205" t="n">
        <v>2</v>
      </c>
      <c r="D2205" t="n">
        <v>0</v>
      </c>
      <c r="E2205" t="s">
        <v>2216</v>
      </c>
      <c r="F2205" t="s"/>
      <c r="G2205" t="s"/>
      <c r="H2205" t="s"/>
      <c r="I2205" t="s"/>
      <c r="J2205" t="n">
        <v>0.5893</v>
      </c>
      <c r="K2205" t="n">
        <v>0</v>
      </c>
      <c r="L2205" t="n">
        <v>0.785</v>
      </c>
      <c r="M2205" t="n">
        <v>0.215</v>
      </c>
    </row>
    <row r="2206" spans="1:13">
      <c r="A2206" s="1">
        <f>HYPERLINK("http://www.twitter.com/NathanBLawrence/status/980639833352744962", "980639833352744962")</f>
        <v/>
      </c>
      <c r="B2206" s="2" t="n">
        <v>43192.121875</v>
      </c>
      <c r="C2206" t="n">
        <v>0</v>
      </c>
      <c r="D2206" t="n">
        <v>0</v>
      </c>
      <c r="E2206" t="s">
        <v>2217</v>
      </c>
      <c r="F2206" t="s"/>
      <c r="G2206" t="s"/>
      <c r="H2206" t="s"/>
      <c r="I2206" t="s"/>
      <c r="J2206" t="n">
        <v>-0.3612</v>
      </c>
      <c r="K2206" t="n">
        <v>0.06</v>
      </c>
      <c r="L2206" t="n">
        <v>0.911</v>
      </c>
      <c r="M2206" t="n">
        <v>0.029</v>
      </c>
    </row>
    <row r="2207" spans="1:13">
      <c r="A2207" s="1">
        <f>HYPERLINK("http://www.twitter.com/NathanBLawrence/status/980639155339321344", "980639155339321344")</f>
        <v/>
      </c>
      <c r="B2207" s="2" t="n">
        <v>43192.12</v>
      </c>
      <c r="C2207" t="n">
        <v>2</v>
      </c>
      <c r="D2207" t="n">
        <v>0</v>
      </c>
      <c r="E2207" t="s">
        <v>2218</v>
      </c>
      <c r="F2207" t="s"/>
      <c r="G2207" t="s"/>
      <c r="H2207" t="s"/>
      <c r="I2207" t="s"/>
      <c r="J2207" t="n">
        <v>0</v>
      </c>
      <c r="K2207" t="n">
        <v>0</v>
      </c>
      <c r="L2207" t="n">
        <v>1</v>
      </c>
      <c r="M2207" t="n">
        <v>0</v>
      </c>
    </row>
    <row r="2208" spans="1:13">
      <c r="A2208" s="1">
        <f>HYPERLINK("http://www.twitter.com/NathanBLawrence/status/980638750735831040", "980638750735831040")</f>
        <v/>
      </c>
      <c r="B2208" s="2" t="n">
        <v>43192.11888888889</v>
      </c>
      <c r="C2208" t="n">
        <v>1</v>
      </c>
      <c r="D2208" t="n">
        <v>0</v>
      </c>
      <c r="E2208" t="s">
        <v>2219</v>
      </c>
      <c r="F2208" t="s"/>
      <c r="G2208" t="s"/>
      <c r="H2208" t="s"/>
      <c r="I2208" t="s"/>
      <c r="J2208" t="n">
        <v>0.34</v>
      </c>
      <c r="K2208" t="n">
        <v>0.057</v>
      </c>
      <c r="L2208" t="n">
        <v>0.826</v>
      </c>
      <c r="M2208" t="n">
        <v>0.117</v>
      </c>
    </row>
    <row r="2209" spans="1:13">
      <c r="A2209" s="1">
        <f>HYPERLINK("http://www.twitter.com/NathanBLawrence/status/980638176866914304", "980638176866914304")</f>
        <v/>
      </c>
      <c r="B2209" s="2" t="n">
        <v>43192.11730324074</v>
      </c>
      <c r="C2209" t="n">
        <v>1</v>
      </c>
      <c r="D2209" t="n">
        <v>0</v>
      </c>
      <c r="E2209" t="s">
        <v>2220</v>
      </c>
      <c r="F2209" t="s"/>
      <c r="G2209" t="s"/>
      <c r="H2209" t="s"/>
      <c r="I2209" t="s"/>
      <c r="J2209" t="n">
        <v>-0.5384</v>
      </c>
      <c r="K2209" t="n">
        <v>0.169</v>
      </c>
      <c r="L2209" t="n">
        <v>0.774</v>
      </c>
      <c r="M2209" t="n">
        <v>0.057</v>
      </c>
    </row>
    <row r="2210" spans="1:13">
      <c r="A2210" s="1">
        <f>HYPERLINK("http://www.twitter.com/NathanBLawrence/status/980637752504078337", "980637752504078337")</f>
        <v/>
      </c>
      <c r="B2210" s="2" t="n">
        <v>43192.11613425926</v>
      </c>
      <c r="C2210" t="n">
        <v>0</v>
      </c>
      <c r="D2210" t="n">
        <v>18694</v>
      </c>
      <c r="E2210" t="s">
        <v>2221</v>
      </c>
      <c r="F2210">
        <f>HYPERLINK("http://pbs.twimg.com/media/DZpogXkWkAAoiq6.jpg", "http://pbs.twimg.com/media/DZpogXkWkAAoiq6.jpg")</f>
        <v/>
      </c>
      <c r="G2210" t="s"/>
      <c r="H2210" t="s"/>
      <c r="I2210" t="s"/>
      <c r="J2210" t="n">
        <v>0.4019</v>
      </c>
      <c r="K2210" t="n">
        <v>0</v>
      </c>
      <c r="L2210" t="n">
        <v>0.748</v>
      </c>
      <c r="M2210" t="n">
        <v>0.252</v>
      </c>
    </row>
    <row r="2211" spans="1:13">
      <c r="A2211" s="1">
        <f>HYPERLINK("http://www.twitter.com/NathanBLawrence/status/980637296910356480", "980637296910356480")</f>
        <v/>
      </c>
      <c r="B2211" s="2" t="n">
        <v>43192.11487268518</v>
      </c>
      <c r="C2211" t="n">
        <v>0</v>
      </c>
      <c r="D2211" t="n">
        <v>0</v>
      </c>
      <c r="E2211" t="s">
        <v>2222</v>
      </c>
      <c r="F2211" t="s"/>
      <c r="G2211" t="s"/>
      <c r="H2211" t="s"/>
      <c r="I2211" t="s"/>
      <c r="J2211" t="n">
        <v>-0.5349</v>
      </c>
      <c r="K2211" t="n">
        <v>0.145</v>
      </c>
      <c r="L2211" t="n">
        <v>0.767</v>
      </c>
      <c r="M2211" t="n">
        <v>0.08799999999999999</v>
      </c>
    </row>
    <row r="2212" spans="1:13">
      <c r="A2212" s="1">
        <f>HYPERLINK("http://www.twitter.com/NathanBLawrence/status/980636372976455681", "980636372976455681")</f>
        <v/>
      </c>
      <c r="B2212" s="2" t="n">
        <v>43192.11232638889</v>
      </c>
      <c r="C2212" t="n">
        <v>1</v>
      </c>
      <c r="D2212" t="n">
        <v>1</v>
      </c>
      <c r="E2212" t="s">
        <v>2223</v>
      </c>
      <c r="F2212" t="s"/>
      <c r="G2212" t="s"/>
      <c r="H2212" t="s"/>
      <c r="I2212" t="s"/>
      <c r="J2212" t="n">
        <v>0</v>
      </c>
      <c r="K2212" t="n">
        <v>0</v>
      </c>
      <c r="L2212" t="n">
        <v>1</v>
      </c>
      <c r="M2212" t="n">
        <v>0</v>
      </c>
    </row>
    <row r="2213" spans="1:13">
      <c r="A2213" s="1">
        <f>HYPERLINK("http://www.twitter.com/NathanBLawrence/status/980623267810693126", "980623267810693126")</f>
        <v/>
      </c>
      <c r="B2213" s="2" t="n">
        <v>43192.07615740741</v>
      </c>
      <c r="C2213" t="n">
        <v>0</v>
      </c>
      <c r="D2213" t="n">
        <v>0</v>
      </c>
      <c r="E2213" t="s">
        <v>2224</v>
      </c>
      <c r="F2213">
        <f>HYPERLINK("http://pbs.twimg.com/media/DZvfpqwUQAA9KPj.jpg", "http://pbs.twimg.com/media/DZvfpqwUQAA9KPj.jpg")</f>
        <v/>
      </c>
      <c r="G2213" t="s"/>
      <c r="H2213" t="s"/>
      <c r="I2213" t="s"/>
      <c r="J2213" t="n">
        <v>-0.7501</v>
      </c>
      <c r="K2213" t="n">
        <v>0.516</v>
      </c>
      <c r="L2213" t="n">
        <v>0.484</v>
      </c>
      <c r="M2213" t="n">
        <v>0</v>
      </c>
    </row>
    <row r="2214" spans="1:13">
      <c r="A2214" s="1">
        <f>HYPERLINK("http://www.twitter.com/NathanBLawrence/status/980619421382332416", "980619421382332416")</f>
        <v/>
      </c>
      <c r="B2214" s="2" t="n">
        <v>43192.06554398148</v>
      </c>
      <c r="C2214" t="n">
        <v>2</v>
      </c>
      <c r="D2214" t="n">
        <v>0</v>
      </c>
      <c r="E2214" t="s">
        <v>2225</v>
      </c>
      <c r="F2214" t="s"/>
      <c r="G2214" t="s"/>
      <c r="H2214" t="s"/>
      <c r="I2214" t="s"/>
      <c r="J2214" t="n">
        <v>0</v>
      </c>
      <c r="K2214" t="n">
        <v>0</v>
      </c>
      <c r="L2214" t="n">
        <v>1</v>
      </c>
      <c r="M2214" t="n">
        <v>0</v>
      </c>
    </row>
    <row r="2215" spans="1:13">
      <c r="A2215" s="1">
        <f>HYPERLINK("http://www.twitter.com/NathanBLawrence/status/980616405031833604", "980616405031833604")</f>
        <v/>
      </c>
      <c r="B2215" s="2" t="n">
        <v>43192.05722222223</v>
      </c>
      <c r="C2215" t="n">
        <v>0</v>
      </c>
      <c r="D2215" t="n">
        <v>0</v>
      </c>
      <c r="E2215" t="s">
        <v>2226</v>
      </c>
      <c r="F2215" t="s"/>
      <c r="G2215" t="s"/>
      <c r="H2215" t="s"/>
      <c r="I2215" t="s"/>
      <c r="J2215" t="n">
        <v>0.485</v>
      </c>
      <c r="K2215" t="n">
        <v>0.103</v>
      </c>
      <c r="L2215" t="n">
        <v>0.6879999999999999</v>
      </c>
      <c r="M2215" t="n">
        <v>0.209</v>
      </c>
    </row>
    <row r="2216" spans="1:13">
      <c r="A2216" s="1">
        <f>HYPERLINK("http://www.twitter.com/NathanBLawrence/status/980615918811271169", "980615918811271169")</f>
        <v/>
      </c>
      <c r="B2216" s="2" t="n">
        <v>43192.05587962963</v>
      </c>
      <c r="C2216" t="n">
        <v>2</v>
      </c>
      <c r="D2216" t="n">
        <v>0</v>
      </c>
      <c r="E2216" t="s">
        <v>2227</v>
      </c>
      <c r="F2216" t="s"/>
      <c r="G2216" t="s"/>
      <c r="H2216" t="s"/>
      <c r="I2216" t="s"/>
      <c r="J2216" t="n">
        <v>0</v>
      </c>
      <c r="K2216" t="n">
        <v>0</v>
      </c>
      <c r="L2216" t="n">
        <v>1</v>
      </c>
      <c r="M2216" t="n">
        <v>0</v>
      </c>
    </row>
    <row r="2217" spans="1:13">
      <c r="A2217" s="1">
        <f>HYPERLINK("http://www.twitter.com/NathanBLawrence/status/980614467603107840", "980614467603107840")</f>
        <v/>
      </c>
      <c r="B2217" s="2" t="n">
        <v>43192.051875</v>
      </c>
      <c r="C2217" t="n">
        <v>0</v>
      </c>
      <c r="D2217" t="n">
        <v>0</v>
      </c>
      <c r="E2217" t="s">
        <v>2228</v>
      </c>
      <c r="F2217" t="s"/>
      <c r="G2217" t="s"/>
      <c r="H2217" t="s"/>
      <c r="I2217" t="s"/>
      <c r="J2217" t="n">
        <v>0</v>
      </c>
      <c r="K2217" t="n">
        <v>0</v>
      </c>
      <c r="L2217" t="n">
        <v>1</v>
      </c>
      <c r="M2217" t="n">
        <v>0</v>
      </c>
    </row>
    <row r="2218" spans="1:13">
      <c r="A2218" s="1">
        <f>HYPERLINK("http://www.twitter.com/NathanBLawrence/status/980614097606729728", "980614097606729728")</f>
        <v/>
      </c>
      <c r="B2218" s="2" t="n">
        <v>43192.05085648148</v>
      </c>
      <c r="C2218" t="n">
        <v>1</v>
      </c>
      <c r="D2218" t="n">
        <v>0</v>
      </c>
      <c r="E2218" t="s">
        <v>2229</v>
      </c>
      <c r="F2218" t="s"/>
      <c r="G2218" t="s"/>
      <c r="H2218" t="s"/>
      <c r="I2218" t="s"/>
      <c r="J2218" t="n">
        <v>-0.5538</v>
      </c>
      <c r="K2218" t="n">
        <v>0.103</v>
      </c>
      <c r="L2218" t="n">
        <v>0.897</v>
      </c>
      <c r="M2218" t="n">
        <v>0</v>
      </c>
    </row>
    <row r="2219" spans="1:13">
      <c r="A2219" s="1">
        <f>HYPERLINK("http://www.twitter.com/NathanBLawrence/status/980613531929333760", "980613531929333760")</f>
        <v/>
      </c>
      <c r="B2219" s="2" t="n">
        <v>43192.04929398148</v>
      </c>
      <c r="C2219" t="n">
        <v>1</v>
      </c>
      <c r="D2219" t="n">
        <v>0</v>
      </c>
      <c r="E2219" t="s">
        <v>2230</v>
      </c>
      <c r="F2219" t="s"/>
      <c r="G2219" t="s"/>
      <c r="H2219" t="s"/>
      <c r="I2219" t="s"/>
      <c r="J2219" t="n">
        <v>0</v>
      </c>
      <c r="K2219" t="n">
        <v>0</v>
      </c>
      <c r="L2219" t="n">
        <v>1</v>
      </c>
      <c r="M2219" t="n">
        <v>0</v>
      </c>
    </row>
    <row r="2220" spans="1:13">
      <c r="A2220" s="1">
        <f>HYPERLINK("http://www.twitter.com/NathanBLawrence/status/980613019997818880", "980613019997818880")</f>
        <v/>
      </c>
      <c r="B2220" s="2" t="n">
        <v>43192.04788194445</v>
      </c>
      <c r="C2220" t="n">
        <v>1</v>
      </c>
      <c r="D2220" t="n">
        <v>0</v>
      </c>
      <c r="E2220" t="s">
        <v>2231</v>
      </c>
      <c r="F2220" t="s"/>
      <c r="G2220" t="s"/>
      <c r="H2220" t="s"/>
      <c r="I2220" t="s"/>
      <c r="J2220" t="n">
        <v>-0.4063</v>
      </c>
      <c r="K2220" t="n">
        <v>0.171</v>
      </c>
      <c r="L2220" t="n">
        <v>0.829</v>
      </c>
      <c r="M2220" t="n">
        <v>0</v>
      </c>
    </row>
    <row r="2221" spans="1:13">
      <c r="A2221" s="1">
        <f>HYPERLINK("http://www.twitter.com/NathanBLawrence/status/980612834458591232", "980612834458591232")</f>
        <v/>
      </c>
      <c r="B2221" s="2" t="n">
        <v>43192.04737268519</v>
      </c>
      <c r="C2221" t="n">
        <v>1</v>
      </c>
      <c r="D2221" t="n">
        <v>0</v>
      </c>
      <c r="E2221" t="s">
        <v>2232</v>
      </c>
      <c r="F2221" t="s"/>
      <c r="G2221" t="s"/>
      <c r="H2221" t="s"/>
      <c r="I2221" t="s"/>
      <c r="J2221" t="n">
        <v>0</v>
      </c>
      <c r="K2221" t="n">
        <v>0</v>
      </c>
      <c r="L2221" t="n">
        <v>1</v>
      </c>
      <c r="M2221" t="n">
        <v>0</v>
      </c>
    </row>
    <row r="2222" spans="1:13">
      <c r="A2222" s="1">
        <f>HYPERLINK("http://www.twitter.com/NathanBLawrence/status/980612680263364608", "980612680263364608")</f>
        <v/>
      </c>
      <c r="B2222" s="2" t="n">
        <v>43192.04694444445</v>
      </c>
      <c r="C2222" t="n">
        <v>0</v>
      </c>
      <c r="D2222" t="n">
        <v>0</v>
      </c>
      <c r="E2222" t="s">
        <v>2233</v>
      </c>
      <c r="F2222" t="s"/>
      <c r="G2222" t="s"/>
      <c r="H2222" t="s"/>
      <c r="I2222" t="s"/>
      <c r="J2222" t="n">
        <v>0</v>
      </c>
      <c r="K2222" t="n">
        <v>0</v>
      </c>
      <c r="L2222" t="n">
        <v>1</v>
      </c>
      <c r="M2222" t="n">
        <v>0</v>
      </c>
    </row>
    <row r="2223" spans="1:13">
      <c r="A2223" s="1">
        <f>HYPERLINK("http://www.twitter.com/NathanBLawrence/status/980611777242320897", "980611777242320897")</f>
        <v/>
      </c>
      <c r="B2223" s="2" t="n">
        <v>43192.04445601852</v>
      </c>
      <c r="C2223" t="n">
        <v>1</v>
      </c>
      <c r="D2223" t="n">
        <v>0</v>
      </c>
      <c r="E2223" t="s">
        <v>2234</v>
      </c>
      <c r="F2223">
        <f>HYPERLINK("http://pbs.twimg.com/media/DZvVNOxU8AAIB0c.jpg", "http://pbs.twimg.com/media/DZvVNOxU8AAIB0c.jpg")</f>
        <v/>
      </c>
      <c r="G2223" t="s"/>
      <c r="H2223" t="s"/>
      <c r="I2223" t="s"/>
      <c r="J2223" t="n">
        <v>-0.3595</v>
      </c>
      <c r="K2223" t="n">
        <v>0.153</v>
      </c>
      <c r="L2223" t="n">
        <v>0.712</v>
      </c>
      <c r="M2223" t="n">
        <v>0.135</v>
      </c>
    </row>
    <row r="2224" spans="1:13">
      <c r="A2224" s="1">
        <f>HYPERLINK("http://www.twitter.com/NathanBLawrence/status/980610712606314496", "980610712606314496")</f>
        <v/>
      </c>
      <c r="B2224" s="2" t="n">
        <v>43192.0415162037</v>
      </c>
      <c r="C2224" t="n">
        <v>2</v>
      </c>
      <c r="D2224" t="n">
        <v>0</v>
      </c>
      <c r="E2224" t="s">
        <v>2235</v>
      </c>
      <c r="F2224" t="s"/>
      <c r="G2224" t="s"/>
      <c r="H2224" t="s"/>
      <c r="I2224" t="s"/>
      <c r="J2224" t="n">
        <v>0</v>
      </c>
      <c r="K2224" t="n">
        <v>0</v>
      </c>
      <c r="L2224" t="n">
        <v>1</v>
      </c>
      <c r="M2224" t="n">
        <v>0</v>
      </c>
    </row>
    <row r="2225" spans="1:13">
      <c r="A2225" s="1">
        <f>HYPERLINK("http://www.twitter.com/NathanBLawrence/status/980610536688832513", "980610536688832513")</f>
        <v/>
      </c>
      <c r="B2225" s="2" t="n">
        <v>43192.04103009259</v>
      </c>
      <c r="C2225" t="n">
        <v>0</v>
      </c>
      <c r="D2225" t="n">
        <v>1</v>
      </c>
      <c r="E2225" t="s">
        <v>2236</v>
      </c>
      <c r="F2225" t="s"/>
      <c r="G2225" t="s"/>
      <c r="H2225" t="s"/>
      <c r="I2225" t="s"/>
      <c r="J2225" t="n">
        <v>0</v>
      </c>
      <c r="K2225" t="n">
        <v>0</v>
      </c>
      <c r="L2225" t="n">
        <v>1</v>
      </c>
      <c r="M2225" t="n">
        <v>0</v>
      </c>
    </row>
    <row r="2226" spans="1:13">
      <c r="A2226" s="1">
        <f>HYPERLINK("http://www.twitter.com/NathanBLawrence/status/980610431504003073", "980610431504003073")</f>
        <v/>
      </c>
      <c r="B2226" s="2" t="n">
        <v>43192.04074074074</v>
      </c>
      <c r="C2226" t="n">
        <v>2</v>
      </c>
      <c r="D2226" t="n">
        <v>0</v>
      </c>
      <c r="E2226" t="s">
        <v>2237</v>
      </c>
      <c r="F2226" t="s"/>
      <c r="G2226" t="s"/>
      <c r="H2226" t="s"/>
      <c r="I2226" t="s"/>
      <c r="J2226" t="n">
        <v>0.4199</v>
      </c>
      <c r="K2226" t="n">
        <v>0</v>
      </c>
      <c r="L2226" t="n">
        <v>0.823</v>
      </c>
      <c r="M2226" t="n">
        <v>0.177</v>
      </c>
    </row>
    <row r="2227" spans="1:13">
      <c r="A2227" s="1">
        <f>HYPERLINK("http://www.twitter.com/NathanBLawrence/status/980610149739106304", "980610149739106304")</f>
        <v/>
      </c>
      <c r="B2227" s="2" t="n">
        <v>43192.03996527778</v>
      </c>
      <c r="C2227" t="n">
        <v>0</v>
      </c>
      <c r="D2227" t="n">
        <v>0</v>
      </c>
      <c r="E2227" t="s">
        <v>2238</v>
      </c>
      <c r="F2227" t="s"/>
      <c r="G2227" t="s"/>
      <c r="H2227" t="s"/>
      <c r="I2227" t="s"/>
      <c r="J2227" t="n">
        <v>0.1471</v>
      </c>
      <c r="K2227" t="n">
        <v>0.041</v>
      </c>
      <c r="L2227" t="n">
        <v>0.908</v>
      </c>
      <c r="M2227" t="n">
        <v>0.051</v>
      </c>
    </row>
    <row r="2228" spans="1:13">
      <c r="A2228" s="1">
        <f>HYPERLINK("http://www.twitter.com/NathanBLawrence/status/980601404602675201", "980601404602675201")</f>
        <v/>
      </c>
      <c r="B2228" s="2" t="n">
        <v>43192.01583333333</v>
      </c>
      <c r="C2228" t="n">
        <v>0</v>
      </c>
      <c r="D2228" t="n">
        <v>0</v>
      </c>
      <c r="E2228" t="s">
        <v>2239</v>
      </c>
      <c r="F2228" t="s"/>
      <c r="G2228" t="s"/>
      <c r="H2228" t="s"/>
      <c r="I2228" t="s"/>
      <c r="J2228" t="n">
        <v>-0.2924</v>
      </c>
      <c r="K2228" t="n">
        <v>0.136</v>
      </c>
      <c r="L2228" t="n">
        <v>0.864</v>
      </c>
      <c r="M2228" t="n">
        <v>0</v>
      </c>
    </row>
    <row r="2229" spans="1:13">
      <c r="A2229" s="1">
        <f>HYPERLINK("http://www.twitter.com/NathanBLawrence/status/980600730246701056", "980600730246701056")</f>
        <v/>
      </c>
      <c r="B2229" s="2" t="n">
        <v>43192.01396990741</v>
      </c>
      <c r="C2229" t="n">
        <v>1</v>
      </c>
      <c r="D2229" t="n">
        <v>0</v>
      </c>
      <c r="E2229" t="s">
        <v>2240</v>
      </c>
      <c r="F2229" t="s"/>
      <c r="G2229" t="s"/>
      <c r="H2229" t="s"/>
      <c r="I2229" t="s"/>
      <c r="J2229" t="n">
        <v>0</v>
      </c>
      <c r="K2229" t="n">
        <v>0</v>
      </c>
      <c r="L2229" t="n">
        <v>1</v>
      </c>
      <c r="M2229" t="n">
        <v>0</v>
      </c>
    </row>
    <row r="2230" spans="1:13">
      <c r="A2230" s="1">
        <f>HYPERLINK("http://www.twitter.com/NathanBLawrence/status/980599906795753472", "980599906795753472")</f>
        <v/>
      </c>
      <c r="B2230" s="2" t="n">
        <v>43192.01170138889</v>
      </c>
      <c r="C2230" t="n">
        <v>3</v>
      </c>
      <c r="D2230" t="n">
        <v>0</v>
      </c>
      <c r="E2230" t="s">
        <v>2241</v>
      </c>
      <c r="F2230" t="s"/>
      <c r="G2230" t="s"/>
      <c r="H2230" t="s"/>
      <c r="I2230" t="s"/>
      <c r="J2230" t="n">
        <v>0</v>
      </c>
      <c r="K2230" t="n">
        <v>0</v>
      </c>
      <c r="L2230" t="n">
        <v>1</v>
      </c>
      <c r="M2230" t="n">
        <v>0</v>
      </c>
    </row>
    <row r="2231" spans="1:13">
      <c r="A2231" s="1">
        <f>HYPERLINK("http://www.twitter.com/NathanBLawrence/status/980599785018281986", "980599785018281986")</f>
        <v/>
      </c>
      <c r="B2231" s="2" t="n">
        <v>43192.01136574074</v>
      </c>
      <c r="C2231" t="n">
        <v>1</v>
      </c>
      <c r="D2231" t="n">
        <v>0</v>
      </c>
      <c r="E2231" t="s">
        <v>2242</v>
      </c>
      <c r="F2231" t="s"/>
      <c r="G2231" t="s"/>
      <c r="H2231" t="s"/>
      <c r="I2231" t="s"/>
      <c r="J2231" t="n">
        <v>0</v>
      </c>
      <c r="K2231" t="n">
        <v>0</v>
      </c>
      <c r="L2231" t="n">
        <v>1</v>
      </c>
      <c r="M2231" t="n">
        <v>0</v>
      </c>
    </row>
    <row r="2232" spans="1:13">
      <c r="A2232" s="1">
        <f>HYPERLINK("http://www.twitter.com/NathanBLawrence/status/980599149564440576", "980599149564440576")</f>
        <v/>
      </c>
      <c r="B2232" s="2" t="n">
        <v>43192.00960648148</v>
      </c>
      <c r="C2232" t="n">
        <v>0</v>
      </c>
      <c r="D2232" t="n">
        <v>0</v>
      </c>
      <c r="E2232" t="s">
        <v>2243</v>
      </c>
      <c r="F2232" t="s"/>
      <c r="G2232" t="s"/>
      <c r="H2232" t="s"/>
      <c r="I2232" t="s"/>
      <c r="J2232" t="n">
        <v>0</v>
      </c>
      <c r="K2232" t="n">
        <v>0</v>
      </c>
      <c r="L2232" t="n">
        <v>1</v>
      </c>
      <c r="M2232" t="n">
        <v>0</v>
      </c>
    </row>
    <row r="2233" spans="1:13">
      <c r="A2233" s="1">
        <f>HYPERLINK("http://www.twitter.com/NathanBLawrence/status/980598482540093442", "980598482540093442")</f>
        <v/>
      </c>
      <c r="B2233" s="2" t="n">
        <v>43192.0077662037</v>
      </c>
      <c r="C2233" t="n">
        <v>0</v>
      </c>
      <c r="D2233" t="n">
        <v>6576</v>
      </c>
      <c r="E2233" t="s">
        <v>2244</v>
      </c>
      <c r="F2233" t="s"/>
      <c r="G2233" t="s"/>
      <c r="H2233" t="s"/>
      <c r="I2233" t="s"/>
      <c r="J2233" t="n">
        <v>-0.6124000000000001</v>
      </c>
      <c r="K2233" t="n">
        <v>0.468</v>
      </c>
      <c r="L2233" t="n">
        <v>0.38</v>
      </c>
      <c r="M2233" t="n">
        <v>0.152</v>
      </c>
    </row>
    <row r="2234" spans="1:13">
      <c r="A2234" s="1">
        <f>HYPERLINK("http://www.twitter.com/NathanBLawrence/status/980598251199041541", "980598251199041541")</f>
        <v/>
      </c>
      <c r="B2234" s="2" t="n">
        <v>43192.00712962963</v>
      </c>
      <c r="C2234" t="n">
        <v>0</v>
      </c>
      <c r="D2234" t="n">
        <v>18970</v>
      </c>
      <c r="E2234" t="s">
        <v>2245</v>
      </c>
      <c r="F2234" t="s"/>
      <c r="G2234" t="s"/>
      <c r="H2234" t="s"/>
      <c r="I2234" t="s"/>
      <c r="J2234" t="n">
        <v>0</v>
      </c>
      <c r="K2234" t="n">
        <v>0</v>
      </c>
      <c r="L2234" t="n">
        <v>1</v>
      </c>
      <c r="M2234" t="n">
        <v>0</v>
      </c>
    </row>
    <row r="2235" spans="1:13">
      <c r="A2235" s="1">
        <f>HYPERLINK("http://www.twitter.com/NathanBLawrence/status/980597801955614722", "980597801955614722")</f>
        <v/>
      </c>
      <c r="B2235" s="2" t="n">
        <v>43192.00589120371</v>
      </c>
      <c r="C2235" t="n">
        <v>1</v>
      </c>
      <c r="D2235" t="n">
        <v>0</v>
      </c>
      <c r="E2235" t="s">
        <v>2246</v>
      </c>
      <c r="F2235" t="s"/>
      <c r="G2235" t="s"/>
      <c r="H2235" t="s"/>
      <c r="I2235" t="s"/>
      <c r="J2235" t="n">
        <v>0.6688</v>
      </c>
      <c r="K2235" t="n">
        <v>0</v>
      </c>
      <c r="L2235" t="n">
        <v>0.527</v>
      </c>
      <c r="M2235" t="n">
        <v>0.473</v>
      </c>
    </row>
    <row r="2236" spans="1:13">
      <c r="A2236" s="1">
        <f>HYPERLINK("http://www.twitter.com/NathanBLawrence/status/980597458660184064", "980597458660184064")</f>
        <v/>
      </c>
      <c r="B2236" s="2" t="n">
        <v>43192.00494212963</v>
      </c>
      <c r="C2236" t="n">
        <v>3</v>
      </c>
      <c r="D2236" t="n">
        <v>0</v>
      </c>
      <c r="E2236" t="s">
        <v>2247</v>
      </c>
      <c r="F2236" t="s"/>
      <c r="G2236" t="s"/>
      <c r="H2236" t="s"/>
      <c r="I2236" t="s"/>
      <c r="J2236" t="n">
        <v>0.1027</v>
      </c>
      <c r="K2236" t="n">
        <v>0.08500000000000001</v>
      </c>
      <c r="L2236" t="n">
        <v>0.8129999999999999</v>
      </c>
      <c r="M2236" t="n">
        <v>0.102</v>
      </c>
    </row>
    <row r="2237" spans="1:13">
      <c r="A2237" s="1">
        <f>HYPERLINK("http://www.twitter.com/NathanBLawrence/status/980596312029659137", "980596312029659137")</f>
        <v/>
      </c>
      <c r="B2237" s="2" t="n">
        <v>43192.00178240741</v>
      </c>
      <c r="C2237" t="n">
        <v>0</v>
      </c>
      <c r="D2237" t="n">
        <v>31</v>
      </c>
      <c r="E2237" t="s">
        <v>2248</v>
      </c>
      <c r="F2237">
        <f>HYPERLINK("http://pbs.twimg.com/media/DZu1mvgUQAAmdCq.jpg", "http://pbs.twimg.com/media/DZu1mvgUQAAmdCq.jpg")</f>
        <v/>
      </c>
      <c r="G2237" t="s"/>
      <c r="H2237" t="s"/>
      <c r="I2237" t="s"/>
      <c r="J2237" t="n">
        <v>0</v>
      </c>
      <c r="K2237" t="n">
        <v>0</v>
      </c>
      <c r="L2237" t="n">
        <v>1</v>
      </c>
      <c r="M2237" t="n">
        <v>0</v>
      </c>
    </row>
    <row r="2238" spans="1:13">
      <c r="A2238" s="1">
        <f>HYPERLINK("http://www.twitter.com/NathanBLawrence/status/980596251031982081", "980596251031982081")</f>
        <v/>
      </c>
      <c r="B2238" s="2" t="n">
        <v>43192.00160879629</v>
      </c>
      <c r="C2238" t="n">
        <v>20</v>
      </c>
      <c r="D2238" t="n">
        <v>0</v>
      </c>
      <c r="E2238" t="s">
        <v>2249</v>
      </c>
      <c r="F2238" t="s"/>
      <c r="G2238" t="s"/>
      <c r="H2238" t="s"/>
      <c r="I2238" t="s"/>
      <c r="J2238" t="n">
        <v>-0.296</v>
      </c>
      <c r="K2238" t="n">
        <v>0.317</v>
      </c>
      <c r="L2238" t="n">
        <v>0.481</v>
      </c>
      <c r="M2238" t="n">
        <v>0.202</v>
      </c>
    </row>
    <row r="2239" spans="1:13">
      <c r="A2239" s="1">
        <f>HYPERLINK("http://www.twitter.com/NathanBLawrence/status/980596107817488384", "980596107817488384")</f>
        <v/>
      </c>
      <c r="B2239" s="2" t="n">
        <v>43192.00121527778</v>
      </c>
      <c r="C2239" t="n">
        <v>18</v>
      </c>
      <c r="D2239" t="n">
        <v>1</v>
      </c>
      <c r="E2239" t="s">
        <v>2250</v>
      </c>
      <c r="F2239" t="s"/>
      <c r="G2239" t="s"/>
      <c r="H2239" t="s"/>
      <c r="I2239" t="s"/>
      <c r="J2239" t="n">
        <v>0.296</v>
      </c>
      <c r="K2239" t="n">
        <v>0</v>
      </c>
      <c r="L2239" t="n">
        <v>0.9360000000000001</v>
      </c>
      <c r="M2239" t="n">
        <v>0.064</v>
      </c>
    </row>
    <row r="2240" spans="1:13">
      <c r="A2240" s="1">
        <f>HYPERLINK("http://www.twitter.com/NathanBLawrence/status/980595549698252800", "980595549698252800")</f>
        <v/>
      </c>
      <c r="B2240" s="2" t="n">
        <v>43191.99967592592</v>
      </c>
      <c r="C2240" t="n">
        <v>0</v>
      </c>
      <c r="D2240" t="n">
        <v>0</v>
      </c>
      <c r="E2240" t="s">
        <v>2251</v>
      </c>
      <c r="F2240" t="s"/>
      <c r="G2240" t="s"/>
      <c r="H2240" t="s"/>
      <c r="I2240" t="s"/>
      <c r="J2240" t="n">
        <v>0.7096</v>
      </c>
      <c r="K2240" t="n">
        <v>0.031</v>
      </c>
      <c r="L2240" t="n">
        <v>0.828</v>
      </c>
      <c r="M2240" t="n">
        <v>0.141</v>
      </c>
    </row>
    <row r="2241" spans="1:13">
      <c r="A2241" s="1">
        <f>HYPERLINK("http://www.twitter.com/NathanBLawrence/status/980595404583723008", "980595404583723008")</f>
        <v/>
      </c>
      <c r="B2241" s="2" t="n">
        <v>43191.99927083333</v>
      </c>
      <c r="C2241" t="n">
        <v>0</v>
      </c>
      <c r="D2241" t="n">
        <v>2</v>
      </c>
      <c r="E2241" t="s">
        <v>2252</v>
      </c>
      <c r="F2241" t="s"/>
      <c r="G2241" t="s"/>
      <c r="H2241" t="s"/>
      <c r="I2241" t="s"/>
      <c r="J2241" t="n">
        <v>0</v>
      </c>
      <c r="K2241" t="n">
        <v>0</v>
      </c>
      <c r="L2241" t="n">
        <v>1</v>
      </c>
      <c r="M2241" t="n">
        <v>0</v>
      </c>
    </row>
    <row r="2242" spans="1:13">
      <c r="A2242" s="1">
        <f>HYPERLINK("http://www.twitter.com/NathanBLawrence/status/980594639437746176", "980594639437746176")</f>
        <v/>
      </c>
      <c r="B2242" s="2" t="n">
        <v>43191.99716435185</v>
      </c>
      <c r="C2242" t="n">
        <v>1</v>
      </c>
      <c r="D2242" t="n">
        <v>0</v>
      </c>
      <c r="E2242" t="s">
        <v>2253</v>
      </c>
      <c r="F2242" t="s"/>
      <c r="G2242" t="s"/>
      <c r="H2242" t="s"/>
      <c r="I2242" t="s"/>
      <c r="J2242" t="n">
        <v>0.7783</v>
      </c>
      <c r="K2242" t="n">
        <v>0</v>
      </c>
      <c r="L2242" t="n">
        <v>0.8090000000000001</v>
      </c>
      <c r="M2242" t="n">
        <v>0.191</v>
      </c>
    </row>
    <row r="2243" spans="1:13">
      <c r="A2243" s="1">
        <f>HYPERLINK("http://www.twitter.com/NathanBLawrence/status/980568602763022338", "980568602763022338")</f>
        <v/>
      </c>
      <c r="B2243" s="2" t="n">
        <v>43191.9253125</v>
      </c>
      <c r="C2243" t="n">
        <v>0</v>
      </c>
      <c r="D2243" t="n">
        <v>0</v>
      </c>
      <c r="E2243" t="s">
        <v>2254</v>
      </c>
      <c r="F2243" t="s"/>
      <c r="G2243" t="s"/>
      <c r="H2243" t="s"/>
      <c r="I2243" t="s"/>
      <c r="J2243" t="n">
        <v>0</v>
      </c>
      <c r="K2243" t="n">
        <v>0</v>
      </c>
      <c r="L2243" t="n">
        <v>1</v>
      </c>
      <c r="M2243" t="n">
        <v>0</v>
      </c>
    </row>
    <row r="2244" spans="1:13">
      <c r="A2244" s="1">
        <f>HYPERLINK("http://www.twitter.com/NathanBLawrence/status/980567533022478337", "980567533022478337")</f>
        <v/>
      </c>
      <c r="B2244" s="2" t="n">
        <v>43191.92236111111</v>
      </c>
      <c r="C2244" t="n">
        <v>3</v>
      </c>
      <c r="D2244" t="n">
        <v>4</v>
      </c>
      <c r="E2244" t="s">
        <v>2255</v>
      </c>
      <c r="F2244" t="s"/>
      <c r="G2244" t="s"/>
      <c r="H2244" t="s"/>
      <c r="I2244" t="s"/>
      <c r="J2244" t="n">
        <v>-0.891</v>
      </c>
      <c r="K2244" t="n">
        <v>0.276</v>
      </c>
      <c r="L2244" t="n">
        <v>0.724</v>
      </c>
      <c r="M2244" t="n">
        <v>0</v>
      </c>
    </row>
    <row r="2245" spans="1:13">
      <c r="A2245" s="1">
        <f>HYPERLINK("http://www.twitter.com/NathanBLawrence/status/980566653573521408", "980566653573521408")</f>
        <v/>
      </c>
      <c r="B2245" s="2" t="n">
        <v>43191.91993055555</v>
      </c>
      <c r="C2245" t="n">
        <v>0</v>
      </c>
      <c r="D2245" t="n">
        <v>0</v>
      </c>
      <c r="E2245" t="s">
        <v>2256</v>
      </c>
      <c r="F2245" t="s"/>
      <c r="G2245" t="s"/>
      <c r="H2245" t="s"/>
      <c r="I2245" t="s"/>
      <c r="J2245" t="n">
        <v>-0.3182</v>
      </c>
      <c r="K2245" t="n">
        <v>0.315</v>
      </c>
      <c r="L2245" t="n">
        <v>0.6850000000000001</v>
      </c>
      <c r="M2245" t="n">
        <v>0</v>
      </c>
    </row>
    <row r="2246" spans="1:13">
      <c r="A2246" s="1">
        <f>HYPERLINK("http://www.twitter.com/NathanBLawrence/status/980565965888000001", "980565965888000001")</f>
        <v/>
      </c>
      <c r="B2246" s="2" t="n">
        <v>43191.9180324074</v>
      </c>
      <c r="C2246" t="n">
        <v>0</v>
      </c>
      <c r="D2246" t="n">
        <v>269</v>
      </c>
      <c r="E2246" t="s">
        <v>2257</v>
      </c>
      <c r="F2246" t="s"/>
      <c r="G2246" t="s"/>
      <c r="H2246" t="s"/>
      <c r="I2246" t="s"/>
      <c r="J2246" t="n">
        <v>0</v>
      </c>
      <c r="K2246" t="n">
        <v>0</v>
      </c>
      <c r="L2246" t="n">
        <v>1</v>
      </c>
      <c r="M2246" t="n">
        <v>0</v>
      </c>
    </row>
    <row r="2247" spans="1:13">
      <c r="A2247" s="1">
        <f>HYPERLINK("http://www.twitter.com/NathanBLawrence/status/980565342186598401", "980565342186598401")</f>
        <v/>
      </c>
      <c r="B2247" s="2" t="n">
        <v>43191.91631944444</v>
      </c>
      <c r="C2247" t="n">
        <v>0</v>
      </c>
      <c r="D2247" t="n">
        <v>0</v>
      </c>
      <c r="E2247" t="s">
        <v>2258</v>
      </c>
      <c r="F2247" t="s"/>
      <c r="G2247" t="s"/>
      <c r="H2247" t="s"/>
      <c r="I2247" t="s"/>
      <c r="J2247" t="n">
        <v>0</v>
      </c>
      <c r="K2247" t="n">
        <v>0</v>
      </c>
      <c r="L2247" t="n">
        <v>1</v>
      </c>
      <c r="M2247" t="n">
        <v>0</v>
      </c>
    </row>
    <row r="2248" spans="1:13">
      <c r="A2248" s="1">
        <f>HYPERLINK("http://www.twitter.com/NathanBLawrence/status/980548304210681857", "980548304210681857")</f>
        <v/>
      </c>
      <c r="B2248" s="2" t="n">
        <v>43191.86930555556</v>
      </c>
      <c r="C2248" t="n">
        <v>1</v>
      </c>
      <c r="D2248" t="n">
        <v>0</v>
      </c>
      <c r="E2248" t="s">
        <v>2259</v>
      </c>
      <c r="F2248" t="s"/>
      <c r="G2248" t="s"/>
      <c r="H2248" t="s"/>
      <c r="I2248" t="s"/>
      <c r="J2248" t="n">
        <v>-0.6115</v>
      </c>
      <c r="K2248" t="n">
        <v>0.174</v>
      </c>
      <c r="L2248" t="n">
        <v>0.826</v>
      </c>
      <c r="M2248" t="n">
        <v>0</v>
      </c>
    </row>
    <row r="2249" spans="1:13">
      <c r="A2249" s="1">
        <f>HYPERLINK("http://www.twitter.com/NathanBLawrence/status/980547967873638408", "980547967873638408")</f>
        <v/>
      </c>
      <c r="B2249" s="2" t="n">
        <v>43191.86836805556</v>
      </c>
      <c r="C2249" t="n">
        <v>0</v>
      </c>
      <c r="D2249" t="n">
        <v>27</v>
      </c>
      <c r="E2249" t="s">
        <v>2260</v>
      </c>
      <c r="F2249" t="s"/>
      <c r="G2249" t="s"/>
      <c r="H2249" t="s"/>
      <c r="I2249" t="s"/>
      <c r="J2249" t="n">
        <v>0</v>
      </c>
      <c r="K2249" t="n">
        <v>0</v>
      </c>
      <c r="L2249" t="n">
        <v>1</v>
      </c>
      <c r="M2249" t="n">
        <v>0</v>
      </c>
    </row>
    <row r="2250" spans="1:13">
      <c r="A2250" s="1">
        <f>HYPERLINK("http://www.twitter.com/NathanBLawrence/status/980547675404800001", "980547675404800001")</f>
        <v/>
      </c>
      <c r="B2250" s="2" t="n">
        <v>43191.86756944445</v>
      </c>
      <c r="C2250" t="n">
        <v>0</v>
      </c>
      <c r="D2250" t="n">
        <v>0</v>
      </c>
      <c r="E2250" t="s">
        <v>2261</v>
      </c>
      <c r="F2250" t="s"/>
      <c r="G2250" t="s"/>
      <c r="H2250" t="s"/>
      <c r="I2250" t="s"/>
      <c r="J2250" t="n">
        <v>-0.5283</v>
      </c>
      <c r="K2250" t="n">
        <v>0.078</v>
      </c>
      <c r="L2250" t="n">
        <v>0.922</v>
      </c>
      <c r="M2250" t="n">
        <v>0</v>
      </c>
    </row>
    <row r="2251" spans="1:13">
      <c r="A2251" s="1">
        <f>HYPERLINK("http://www.twitter.com/NathanBLawrence/status/980547010578264070", "980547010578264070")</f>
        <v/>
      </c>
      <c r="B2251" s="2" t="n">
        <v>43191.86572916667</v>
      </c>
      <c r="C2251" t="n">
        <v>0</v>
      </c>
      <c r="D2251" t="n">
        <v>3285</v>
      </c>
      <c r="E2251" t="s">
        <v>2262</v>
      </c>
      <c r="F2251" t="s"/>
      <c r="G2251" t="s"/>
      <c r="H2251" t="s"/>
      <c r="I2251" t="s"/>
      <c r="J2251" t="n">
        <v>0.2547</v>
      </c>
      <c r="K2251" t="n">
        <v>0.183</v>
      </c>
      <c r="L2251" t="n">
        <v>0.506</v>
      </c>
      <c r="M2251" t="n">
        <v>0.311</v>
      </c>
    </row>
    <row r="2252" spans="1:13">
      <c r="A2252" s="1">
        <f>HYPERLINK("http://www.twitter.com/NathanBLawrence/status/980530349506736129", "980530349506736129")</f>
        <v/>
      </c>
      <c r="B2252" s="2" t="n">
        <v>43191.81975694445</v>
      </c>
      <c r="C2252" t="n">
        <v>0</v>
      </c>
      <c r="D2252" t="n">
        <v>0</v>
      </c>
      <c r="E2252" t="s">
        <v>2263</v>
      </c>
      <c r="F2252" t="s"/>
      <c r="G2252" t="s"/>
      <c r="H2252" t="s"/>
      <c r="I2252" t="s"/>
      <c r="J2252" t="n">
        <v>0.7456</v>
      </c>
      <c r="K2252" t="n">
        <v>0.054</v>
      </c>
      <c r="L2252" t="n">
        <v>0.737</v>
      </c>
      <c r="M2252" t="n">
        <v>0.209</v>
      </c>
    </row>
    <row r="2253" spans="1:13">
      <c r="A2253" s="1">
        <f>HYPERLINK("http://www.twitter.com/NathanBLawrence/status/980503023582621697", "980503023582621697")</f>
        <v/>
      </c>
      <c r="B2253" s="2" t="n">
        <v>43191.74435185185</v>
      </c>
      <c r="C2253" t="n">
        <v>0</v>
      </c>
      <c r="D2253" t="n">
        <v>3</v>
      </c>
      <c r="E2253" t="s">
        <v>2264</v>
      </c>
      <c r="F2253" t="s"/>
      <c r="G2253" t="s"/>
      <c r="H2253" t="s"/>
      <c r="I2253" t="s"/>
      <c r="J2253" t="n">
        <v>0.2732</v>
      </c>
      <c r="K2253" t="n">
        <v>0</v>
      </c>
      <c r="L2253" t="n">
        <v>0.913</v>
      </c>
      <c r="M2253" t="n">
        <v>0.08699999999999999</v>
      </c>
    </row>
    <row r="2254" spans="1:13">
      <c r="A2254" s="1">
        <f>HYPERLINK("http://www.twitter.com/NathanBLawrence/status/980502561378758657", "980502561378758657")</f>
        <v/>
      </c>
      <c r="B2254" s="2" t="n">
        <v>43191.7430787037</v>
      </c>
      <c r="C2254" t="n">
        <v>0</v>
      </c>
      <c r="D2254" t="n">
        <v>0</v>
      </c>
      <c r="E2254" t="s">
        <v>2265</v>
      </c>
      <c r="F2254" t="s"/>
      <c r="G2254" t="s"/>
      <c r="H2254" t="s"/>
      <c r="I2254" t="s"/>
      <c r="J2254" t="n">
        <v>0.2263</v>
      </c>
      <c r="K2254" t="n">
        <v>0.055</v>
      </c>
      <c r="L2254" t="n">
        <v>0.825</v>
      </c>
      <c r="M2254" t="n">
        <v>0.12</v>
      </c>
    </row>
    <row r="2255" spans="1:13">
      <c r="A2255" s="1">
        <f>HYPERLINK("http://www.twitter.com/NathanBLawrence/status/980501829032259584", "980501829032259584")</f>
        <v/>
      </c>
      <c r="B2255" s="2" t="n">
        <v>43191.74105324074</v>
      </c>
      <c r="C2255" t="n">
        <v>0</v>
      </c>
      <c r="D2255" t="n">
        <v>342</v>
      </c>
      <c r="E2255" t="s">
        <v>2266</v>
      </c>
      <c r="F2255">
        <f>HYPERLINK("http://pbs.twimg.com/media/DZsxfGiX0AASGJM.jpg", "http://pbs.twimg.com/media/DZsxfGiX0AASGJM.jpg")</f>
        <v/>
      </c>
      <c r="G2255" t="s"/>
      <c r="H2255" t="s"/>
      <c r="I2255" t="s"/>
      <c r="J2255" t="n">
        <v>-0.296</v>
      </c>
      <c r="K2255" t="n">
        <v>0.095</v>
      </c>
      <c r="L2255" t="n">
        <v>0.905</v>
      </c>
      <c r="M2255" t="n">
        <v>0</v>
      </c>
    </row>
    <row r="2256" spans="1:13">
      <c r="A2256" s="1">
        <f>HYPERLINK("http://www.twitter.com/NathanBLawrence/status/980495826157031425", "980495826157031425")</f>
        <v/>
      </c>
      <c r="B2256" s="2" t="n">
        <v>43191.72449074074</v>
      </c>
      <c r="C2256" t="n">
        <v>0</v>
      </c>
      <c r="D2256" t="n">
        <v>0</v>
      </c>
      <c r="E2256" t="s">
        <v>2267</v>
      </c>
      <c r="F2256">
        <f>HYPERLINK("http://pbs.twimg.com/media/DZtrwLIU8AAyaRH.jpg", "http://pbs.twimg.com/media/DZtrwLIU8AAyaRH.jpg")</f>
        <v/>
      </c>
      <c r="G2256" t="s"/>
      <c r="H2256" t="s"/>
      <c r="I2256" t="s"/>
      <c r="J2256" t="n">
        <v>0</v>
      </c>
      <c r="K2256" t="n">
        <v>0</v>
      </c>
      <c r="L2256" t="n">
        <v>1</v>
      </c>
      <c r="M2256" t="n">
        <v>0</v>
      </c>
    </row>
    <row r="2257" spans="1:13">
      <c r="A2257" s="1">
        <f>HYPERLINK("http://www.twitter.com/NathanBLawrence/status/980495674188926979", "980495674188926979")</f>
        <v/>
      </c>
      <c r="B2257" s="2" t="n">
        <v>43191.72407407407</v>
      </c>
      <c r="C2257" t="n">
        <v>0</v>
      </c>
      <c r="D2257" t="n">
        <v>0</v>
      </c>
      <c r="E2257" t="s">
        <v>2268</v>
      </c>
      <c r="F2257">
        <f>HYPERLINK("http://pbs.twimg.com/media/DZtrnFIV4AAkgOa.jpg", "http://pbs.twimg.com/media/DZtrnFIV4AAkgOa.jpg")</f>
        <v/>
      </c>
      <c r="G2257" t="s"/>
      <c r="H2257" t="s"/>
      <c r="I2257" t="s"/>
      <c r="J2257" t="n">
        <v>-0.1027</v>
      </c>
      <c r="K2257" t="n">
        <v>0.219</v>
      </c>
      <c r="L2257" t="n">
        <v>0.781</v>
      </c>
      <c r="M2257" t="n">
        <v>0</v>
      </c>
    </row>
    <row r="2258" spans="1:13">
      <c r="A2258" s="1">
        <f>HYPERLINK("http://www.twitter.com/NathanBLawrence/status/980495426490175488", "980495426490175488")</f>
        <v/>
      </c>
      <c r="B2258" s="2" t="n">
        <v>43191.7233912037</v>
      </c>
      <c r="C2258" t="n">
        <v>1</v>
      </c>
      <c r="D2258" t="n">
        <v>0</v>
      </c>
      <c r="E2258" t="s">
        <v>2269</v>
      </c>
      <c r="F2258" t="s"/>
      <c r="G2258" t="s"/>
      <c r="H2258" t="s"/>
      <c r="I2258" t="s"/>
      <c r="J2258" t="n">
        <v>0</v>
      </c>
      <c r="K2258" t="n">
        <v>0</v>
      </c>
      <c r="L2258" t="n">
        <v>1</v>
      </c>
      <c r="M2258" t="n">
        <v>0</v>
      </c>
    </row>
    <row r="2259" spans="1:13">
      <c r="A2259" s="1">
        <f>HYPERLINK("http://www.twitter.com/NathanBLawrence/status/980493149234753539", "980493149234753539")</f>
        <v/>
      </c>
      <c r="B2259" s="2" t="n">
        <v>43191.71710648148</v>
      </c>
      <c r="C2259" t="n">
        <v>1</v>
      </c>
      <c r="D2259" t="n">
        <v>0</v>
      </c>
      <c r="E2259" t="s">
        <v>2270</v>
      </c>
      <c r="F2259" t="s"/>
      <c r="G2259" t="s"/>
      <c r="H2259" t="s"/>
      <c r="I2259" t="s"/>
      <c r="J2259" t="n">
        <v>-0.5859</v>
      </c>
      <c r="K2259" t="n">
        <v>0.336</v>
      </c>
      <c r="L2259" t="n">
        <v>0.504</v>
      </c>
      <c r="M2259" t="n">
        <v>0.16</v>
      </c>
    </row>
    <row r="2260" spans="1:13">
      <c r="A2260" s="1">
        <f>HYPERLINK("http://www.twitter.com/NathanBLawrence/status/980492963594817541", "980492963594817541")</f>
        <v/>
      </c>
      <c r="B2260" s="2" t="n">
        <v>43191.71658564815</v>
      </c>
      <c r="C2260" t="n">
        <v>0</v>
      </c>
      <c r="D2260" t="n">
        <v>0</v>
      </c>
      <c r="E2260" t="s">
        <v>2271</v>
      </c>
      <c r="F2260" t="s"/>
      <c r="G2260" t="s"/>
      <c r="H2260" t="s"/>
      <c r="I2260" t="s"/>
      <c r="J2260" t="n">
        <v>0</v>
      </c>
      <c r="K2260" t="n">
        <v>0</v>
      </c>
      <c r="L2260" t="n">
        <v>1</v>
      </c>
      <c r="M2260" t="n">
        <v>0</v>
      </c>
    </row>
    <row r="2261" spans="1:13">
      <c r="A2261" s="1">
        <f>HYPERLINK("http://www.twitter.com/NathanBLawrence/status/980479185474015232", "980479185474015232")</f>
        <v/>
      </c>
      <c r="B2261" s="2" t="n">
        <v>43191.67856481481</v>
      </c>
      <c r="C2261" t="n">
        <v>1</v>
      </c>
      <c r="D2261" t="n">
        <v>0</v>
      </c>
      <c r="E2261" t="s">
        <v>2272</v>
      </c>
      <c r="F2261" t="s"/>
      <c r="G2261" t="s"/>
      <c r="H2261" t="s"/>
      <c r="I2261" t="s"/>
      <c r="J2261" t="n">
        <v>-0.6808</v>
      </c>
      <c r="K2261" t="n">
        <v>0.116</v>
      </c>
      <c r="L2261" t="n">
        <v>0.884</v>
      </c>
      <c r="M2261" t="n">
        <v>0</v>
      </c>
    </row>
    <row r="2262" spans="1:13">
      <c r="A2262" s="1">
        <f>HYPERLINK("http://www.twitter.com/NathanBLawrence/status/980478591329857537", "980478591329857537")</f>
        <v/>
      </c>
      <c r="B2262" s="2" t="n">
        <v>43191.67693287037</v>
      </c>
      <c r="C2262" t="n">
        <v>0</v>
      </c>
      <c r="D2262" t="n">
        <v>2</v>
      </c>
      <c r="E2262" t="s">
        <v>2273</v>
      </c>
      <c r="F2262" t="s"/>
      <c r="G2262" t="s"/>
      <c r="H2262" t="s"/>
      <c r="I2262" t="s"/>
      <c r="J2262" t="n">
        <v>0</v>
      </c>
      <c r="K2262" t="n">
        <v>0</v>
      </c>
      <c r="L2262" t="n">
        <v>1</v>
      </c>
      <c r="M2262" t="n">
        <v>0</v>
      </c>
    </row>
    <row r="2263" spans="1:13">
      <c r="A2263" s="1">
        <f>HYPERLINK("http://www.twitter.com/NathanBLawrence/status/980478420244205569", "980478420244205569")</f>
        <v/>
      </c>
      <c r="B2263" s="2" t="n">
        <v>43191.67645833334</v>
      </c>
      <c r="C2263" t="n">
        <v>0</v>
      </c>
      <c r="D2263" t="n">
        <v>0</v>
      </c>
      <c r="E2263" t="s">
        <v>2274</v>
      </c>
      <c r="F2263" t="s"/>
      <c r="G2263" t="s"/>
      <c r="H2263" t="s"/>
      <c r="I2263" t="s"/>
      <c r="J2263" t="n">
        <v>-0.8176</v>
      </c>
      <c r="K2263" t="n">
        <v>0.19</v>
      </c>
      <c r="L2263" t="n">
        <v>0.8100000000000001</v>
      </c>
      <c r="M2263" t="n">
        <v>0</v>
      </c>
    </row>
    <row r="2264" spans="1:13">
      <c r="A2264" s="1">
        <f>HYPERLINK("http://www.twitter.com/NathanBLawrence/status/980475688577912832", "980475688577912832")</f>
        <v/>
      </c>
      <c r="B2264" s="2" t="n">
        <v>43191.66892361111</v>
      </c>
      <c r="C2264" t="n">
        <v>4</v>
      </c>
      <c r="D2264" t="n">
        <v>3</v>
      </c>
      <c r="E2264" t="s">
        <v>2275</v>
      </c>
      <c r="F2264" t="s"/>
      <c r="G2264" t="s"/>
      <c r="H2264" t="s"/>
      <c r="I2264" t="s"/>
      <c r="J2264" t="n">
        <v>0.1531</v>
      </c>
      <c r="K2264" t="n">
        <v>0</v>
      </c>
      <c r="L2264" t="n">
        <v>0.915</v>
      </c>
      <c r="M2264" t="n">
        <v>0.08500000000000001</v>
      </c>
    </row>
    <row r="2265" spans="1:13">
      <c r="A2265" s="1">
        <f>HYPERLINK("http://www.twitter.com/NathanBLawrence/status/980473518864457729", "980473518864457729")</f>
        <v/>
      </c>
      <c r="B2265" s="2" t="n">
        <v>43191.66292824074</v>
      </c>
      <c r="C2265" t="n">
        <v>0</v>
      </c>
      <c r="D2265" t="n">
        <v>2</v>
      </c>
      <c r="E2265" t="s">
        <v>2276</v>
      </c>
      <c r="F2265" t="s"/>
      <c r="G2265" t="s"/>
      <c r="H2265" t="s"/>
      <c r="I2265" t="s"/>
      <c r="J2265" t="n">
        <v>-0.6705</v>
      </c>
      <c r="K2265" t="n">
        <v>0.234</v>
      </c>
      <c r="L2265" t="n">
        <v>0.766</v>
      </c>
      <c r="M2265" t="n">
        <v>0</v>
      </c>
    </row>
    <row r="2266" spans="1:13">
      <c r="A2266" s="1">
        <f>HYPERLINK("http://www.twitter.com/NathanBLawrence/status/980453886724014081", "980453886724014081")</f>
        <v/>
      </c>
      <c r="B2266" s="2" t="n">
        <v>43191.60876157408</v>
      </c>
      <c r="C2266" t="n">
        <v>0</v>
      </c>
      <c r="D2266" t="n">
        <v>0</v>
      </c>
      <c r="E2266" t="s">
        <v>2277</v>
      </c>
      <c r="F2266" t="s"/>
      <c r="G2266" t="s"/>
      <c r="H2266" t="s"/>
      <c r="I2266" t="s"/>
      <c r="J2266" t="n">
        <v>-0.3052</v>
      </c>
      <c r="K2266" t="n">
        <v>0.169</v>
      </c>
      <c r="L2266" t="n">
        <v>0.831</v>
      </c>
      <c r="M2266" t="n">
        <v>0</v>
      </c>
    </row>
    <row r="2267" spans="1:13">
      <c r="A2267" s="1">
        <f>HYPERLINK("http://www.twitter.com/NathanBLawrence/status/980453516811661312", "980453516811661312")</f>
        <v/>
      </c>
      <c r="B2267" s="2" t="n">
        <v>43191.60774305555</v>
      </c>
      <c r="C2267" t="n">
        <v>0</v>
      </c>
      <c r="D2267" t="n">
        <v>1760</v>
      </c>
      <c r="E2267" t="s">
        <v>2278</v>
      </c>
      <c r="F2267">
        <f>HYPERLINK("http://pbs.twimg.com/media/DZs_hA9WsAENh9P.jpg", "http://pbs.twimg.com/media/DZs_hA9WsAENh9P.jpg")</f>
        <v/>
      </c>
      <c r="G2267" t="s"/>
      <c r="H2267" t="s"/>
      <c r="I2267" t="s"/>
      <c r="J2267" t="n">
        <v>-0.6908</v>
      </c>
      <c r="K2267" t="n">
        <v>0.227</v>
      </c>
      <c r="L2267" t="n">
        <v>0.773</v>
      </c>
      <c r="M2267" t="n">
        <v>0</v>
      </c>
    </row>
    <row r="2268" spans="1:13">
      <c r="A2268" s="1">
        <f>HYPERLINK("http://www.twitter.com/NathanBLawrence/status/980331246302703617", "980331246302703617")</f>
        <v/>
      </c>
      <c r="B2268" s="2" t="n">
        <v>43191.27033564815</v>
      </c>
      <c r="C2268" t="n">
        <v>1</v>
      </c>
      <c r="D2268" t="n">
        <v>1</v>
      </c>
      <c r="E2268" t="s">
        <v>2279</v>
      </c>
      <c r="F2268">
        <f>HYPERLINK("http://pbs.twimg.com/media/DZrWEmcUMAAow_O.jpg", "http://pbs.twimg.com/media/DZrWEmcUMAAow_O.jpg")</f>
        <v/>
      </c>
      <c r="G2268" t="s"/>
      <c r="H2268" t="s"/>
      <c r="I2268" t="s"/>
      <c r="J2268" t="n">
        <v>0</v>
      </c>
      <c r="K2268" t="n">
        <v>0</v>
      </c>
      <c r="L2268" t="n">
        <v>1</v>
      </c>
      <c r="M2268" t="n">
        <v>0</v>
      </c>
    </row>
    <row r="2269" spans="1:13">
      <c r="A2269" s="1">
        <f>HYPERLINK("http://www.twitter.com/NathanBLawrence/status/980325440282943489", "980325440282943489")</f>
        <v/>
      </c>
      <c r="B2269" s="2" t="n">
        <v>43191.25431712963</v>
      </c>
      <c r="C2269" t="n">
        <v>1</v>
      </c>
      <c r="D2269" t="n">
        <v>1</v>
      </c>
      <c r="E2269" t="s">
        <v>2280</v>
      </c>
      <c r="F2269" t="s"/>
      <c r="G2269" t="s"/>
      <c r="H2269" t="s"/>
      <c r="I2269" t="s"/>
      <c r="J2269" t="n">
        <v>-0.0382</v>
      </c>
      <c r="K2269" t="n">
        <v>0.042</v>
      </c>
      <c r="L2269" t="n">
        <v>0.958</v>
      </c>
      <c r="M2269" t="n">
        <v>0</v>
      </c>
    </row>
    <row r="2270" spans="1:13">
      <c r="A2270" s="1">
        <f>HYPERLINK("http://www.twitter.com/NathanBLawrence/status/980323989070413824", "980323989070413824")</f>
        <v/>
      </c>
      <c r="B2270" s="2" t="n">
        <v>43191.2503125</v>
      </c>
      <c r="C2270" t="n">
        <v>0</v>
      </c>
      <c r="D2270" t="n">
        <v>462</v>
      </c>
      <c r="E2270" t="s">
        <v>2281</v>
      </c>
      <c r="F2270" t="s"/>
      <c r="G2270" t="s"/>
      <c r="H2270" t="s"/>
      <c r="I2270" t="s"/>
      <c r="J2270" t="n">
        <v>-0.3182</v>
      </c>
      <c r="K2270" t="n">
        <v>0.187</v>
      </c>
      <c r="L2270" t="n">
        <v>0.8129999999999999</v>
      </c>
      <c r="M2270" t="n">
        <v>0</v>
      </c>
    </row>
    <row r="2271" spans="1:13">
      <c r="A2271" s="1">
        <f>HYPERLINK("http://www.twitter.com/NathanBLawrence/status/980291541804769280", "980291541804769280")</f>
        <v/>
      </c>
      <c r="B2271" s="2" t="n">
        <v>43191.16077546297</v>
      </c>
      <c r="C2271" t="n">
        <v>0</v>
      </c>
      <c r="D2271" t="n">
        <v>2193</v>
      </c>
      <c r="E2271" t="s">
        <v>2282</v>
      </c>
      <c r="F2271">
        <f>HYPERLINK("https://video.twimg.com/amplify_video/980097984082923521/vid/1280x720/lL5iB4Aj4TYLd37r.mp4", "https://video.twimg.com/amplify_video/980097984082923521/vid/1280x720/lL5iB4Aj4TYLd37r.mp4")</f>
        <v/>
      </c>
      <c r="G2271" t="s"/>
      <c r="H2271" t="s"/>
      <c r="I2271" t="s"/>
      <c r="J2271" t="n">
        <v>-0.25</v>
      </c>
      <c r="K2271" t="n">
        <v>0.08699999999999999</v>
      </c>
      <c r="L2271" t="n">
        <v>0.913</v>
      </c>
      <c r="M2271" t="n">
        <v>0</v>
      </c>
    </row>
    <row r="2272" spans="1:13">
      <c r="A2272" s="1">
        <f>HYPERLINK("http://www.twitter.com/NathanBLawrence/status/980291444241063936", "980291444241063936")</f>
        <v/>
      </c>
      <c r="B2272" s="2" t="n">
        <v>43191.16049768519</v>
      </c>
      <c r="C2272" t="n">
        <v>0</v>
      </c>
      <c r="D2272" t="n">
        <v>2483</v>
      </c>
      <c r="E2272" t="s">
        <v>2283</v>
      </c>
      <c r="F2272" t="s"/>
      <c r="G2272" t="s"/>
      <c r="H2272" t="s"/>
      <c r="I2272" t="s"/>
      <c r="J2272" t="n">
        <v>0</v>
      </c>
      <c r="K2272" t="n">
        <v>0</v>
      </c>
      <c r="L2272" t="n">
        <v>1</v>
      </c>
      <c r="M2272" t="n">
        <v>0</v>
      </c>
    </row>
    <row r="2273" spans="1:13">
      <c r="A2273" s="1">
        <f>HYPERLINK("http://www.twitter.com/NathanBLawrence/status/980290505857748992", "980290505857748992")</f>
        <v/>
      </c>
      <c r="B2273" s="2" t="n">
        <v>43191.15791666666</v>
      </c>
      <c r="C2273" t="n">
        <v>0</v>
      </c>
      <c r="D2273" t="n">
        <v>10529</v>
      </c>
      <c r="E2273" t="s">
        <v>2284</v>
      </c>
      <c r="F2273" t="s"/>
      <c r="G2273" t="s"/>
      <c r="H2273" t="s"/>
      <c r="I2273" t="s"/>
      <c r="J2273" t="n">
        <v>-0.6908</v>
      </c>
      <c r="K2273" t="n">
        <v>0.239</v>
      </c>
      <c r="L2273" t="n">
        <v>0.761</v>
      </c>
      <c r="M2273" t="n">
        <v>0</v>
      </c>
    </row>
    <row r="2274" spans="1:13">
      <c r="A2274" s="1">
        <f>HYPERLINK("http://www.twitter.com/NathanBLawrence/status/980287806579838976", "980287806579838976")</f>
        <v/>
      </c>
      <c r="B2274" s="2" t="n">
        <v>43191.15046296296</v>
      </c>
      <c r="C2274" t="n">
        <v>0</v>
      </c>
      <c r="D2274" t="n">
        <v>4828</v>
      </c>
      <c r="E2274" t="s">
        <v>2285</v>
      </c>
      <c r="F2274" t="s"/>
      <c r="G2274" t="s"/>
      <c r="H2274" t="s"/>
      <c r="I2274" t="s"/>
      <c r="J2274" t="n">
        <v>0.8442</v>
      </c>
      <c r="K2274" t="n">
        <v>0</v>
      </c>
      <c r="L2274" t="n">
        <v>0.664</v>
      </c>
      <c r="M2274" t="n">
        <v>0.336</v>
      </c>
    </row>
    <row r="2275" spans="1:13">
      <c r="A2275" s="1">
        <f>HYPERLINK("http://www.twitter.com/NathanBLawrence/status/980285983194275840", "980285983194275840")</f>
        <v/>
      </c>
      <c r="B2275" s="2" t="n">
        <v>43191.14542824074</v>
      </c>
      <c r="C2275" t="n">
        <v>1</v>
      </c>
      <c r="D2275" t="n">
        <v>0</v>
      </c>
      <c r="E2275" t="s">
        <v>2286</v>
      </c>
      <c r="F2275" t="s"/>
      <c r="G2275" t="s"/>
      <c r="H2275" t="s"/>
      <c r="I2275" t="s"/>
      <c r="J2275" t="n">
        <v>-0.5327</v>
      </c>
      <c r="K2275" t="n">
        <v>0.222</v>
      </c>
      <c r="L2275" t="n">
        <v>0.584</v>
      </c>
      <c r="M2275" t="n">
        <v>0.194</v>
      </c>
    </row>
    <row r="2276" spans="1:13">
      <c r="A2276" s="1">
        <f>HYPERLINK("http://www.twitter.com/NathanBLawrence/status/980284762542796801", "980284762542796801")</f>
        <v/>
      </c>
      <c r="B2276" s="2" t="n">
        <v>43191.14206018519</v>
      </c>
      <c r="C2276" t="n">
        <v>0</v>
      </c>
      <c r="D2276" t="n">
        <v>0</v>
      </c>
      <c r="E2276" t="s">
        <v>2287</v>
      </c>
      <c r="F2276" t="s"/>
      <c r="G2276" t="s"/>
      <c r="H2276" t="s"/>
      <c r="I2276" t="s"/>
      <c r="J2276" t="n">
        <v>0.5994</v>
      </c>
      <c r="K2276" t="n">
        <v>0</v>
      </c>
      <c r="L2276" t="n">
        <v>0.588</v>
      </c>
      <c r="M2276" t="n">
        <v>0.412</v>
      </c>
    </row>
    <row r="2277" spans="1:13">
      <c r="A2277" s="1">
        <f>HYPERLINK("http://www.twitter.com/NathanBLawrence/status/980284560406663168", "980284560406663168")</f>
        <v/>
      </c>
      <c r="B2277" s="2" t="n">
        <v>43191.14150462963</v>
      </c>
      <c r="C2277" t="n">
        <v>0</v>
      </c>
      <c r="D2277" t="n">
        <v>0</v>
      </c>
      <c r="E2277" t="s">
        <v>2288</v>
      </c>
      <c r="F2277" t="s"/>
      <c r="G2277" t="s"/>
      <c r="H2277" t="s"/>
      <c r="I2277" t="s"/>
      <c r="J2277" t="n">
        <v>0</v>
      </c>
      <c r="K2277" t="n">
        <v>0</v>
      </c>
      <c r="L2277" t="n">
        <v>1</v>
      </c>
      <c r="M2277" t="n">
        <v>0</v>
      </c>
    </row>
    <row r="2278" spans="1:13">
      <c r="A2278" s="1">
        <f>HYPERLINK("http://www.twitter.com/NathanBLawrence/status/980284424293150721", "980284424293150721")</f>
        <v/>
      </c>
      <c r="B2278" s="2" t="n">
        <v>43191.14113425926</v>
      </c>
      <c r="C2278" t="n">
        <v>0</v>
      </c>
      <c r="D2278" t="n">
        <v>463</v>
      </c>
      <c r="E2278" t="s">
        <v>2289</v>
      </c>
      <c r="F2278">
        <f>HYPERLINK("http://pbs.twimg.com/media/DZqn3fkXUAAuqrZ.jpg", "http://pbs.twimg.com/media/DZqn3fkXUAAuqrZ.jpg")</f>
        <v/>
      </c>
      <c r="G2278" t="s"/>
      <c r="H2278" t="s"/>
      <c r="I2278" t="s"/>
      <c r="J2278" t="n">
        <v>0</v>
      </c>
      <c r="K2278" t="n">
        <v>0</v>
      </c>
      <c r="L2278" t="n">
        <v>1</v>
      </c>
      <c r="M2278" t="n">
        <v>0</v>
      </c>
    </row>
    <row r="2279" spans="1:13">
      <c r="A2279" s="1">
        <f>HYPERLINK("http://www.twitter.com/NathanBLawrence/status/980284203538485250", "980284203538485250")</f>
        <v/>
      </c>
      <c r="B2279" s="2" t="n">
        <v>43191.14052083333</v>
      </c>
      <c r="C2279" t="n">
        <v>1</v>
      </c>
      <c r="D2279" t="n">
        <v>0</v>
      </c>
      <c r="E2279" t="s">
        <v>2290</v>
      </c>
      <c r="F2279" t="s"/>
      <c r="G2279" t="s"/>
      <c r="H2279" t="s"/>
      <c r="I2279" t="s"/>
      <c r="J2279" t="n">
        <v>0.3612</v>
      </c>
      <c r="K2279" t="n">
        <v>0</v>
      </c>
      <c r="L2279" t="n">
        <v>0.667</v>
      </c>
      <c r="M2279" t="n">
        <v>0.333</v>
      </c>
    </row>
    <row r="2280" spans="1:13">
      <c r="A2280" s="1">
        <f>HYPERLINK("http://www.twitter.com/NathanBLawrence/status/980284008494968832", "980284008494968832")</f>
        <v/>
      </c>
      <c r="B2280" s="2" t="n">
        <v>43191.13998842592</v>
      </c>
      <c r="C2280" t="n">
        <v>3</v>
      </c>
      <c r="D2280" t="n">
        <v>0</v>
      </c>
      <c r="E2280" t="s">
        <v>2291</v>
      </c>
      <c r="F2280" t="s"/>
      <c r="G2280" t="s"/>
      <c r="H2280" t="s"/>
      <c r="I2280" t="s"/>
      <c r="J2280" t="n">
        <v>0</v>
      </c>
      <c r="K2280" t="n">
        <v>0</v>
      </c>
      <c r="L2280" t="n">
        <v>1</v>
      </c>
      <c r="M2280" t="n">
        <v>0</v>
      </c>
    </row>
    <row r="2281" spans="1:13">
      <c r="A2281" s="1">
        <f>HYPERLINK("http://www.twitter.com/NathanBLawrence/status/980283636158271488", "980283636158271488")</f>
        <v/>
      </c>
      <c r="B2281" s="2" t="n">
        <v>43191.13895833334</v>
      </c>
      <c r="C2281" t="n">
        <v>2</v>
      </c>
      <c r="D2281" t="n">
        <v>0</v>
      </c>
      <c r="E2281" t="s">
        <v>2292</v>
      </c>
      <c r="F2281" t="s"/>
      <c r="G2281" t="s"/>
      <c r="H2281" t="s"/>
      <c r="I2281" t="s"/>
      <c r="J2281" t="n">
        <v>0</v>
      </c>
      <c r="K2281" t="n">
        <v>0</v>
      </c>
      <c r="L2281" t="n">
        <v>1</v>
      </c>
      <c r="M2281" t="n">
        <v>0</v>
      </c>
    </row>
    <row r="2282" spans="1:13">
      <c r="A2282" s="1">
        <f>HYPERLINK("http://www.twitter.com/NathanBLawrence/status/980282996925304832", "980282996925304832")</f>
        <v/>
      </c>
      <c r="B2282" s="2" t="n">
        <v>43191.1371875</v>
      </c>
      <c r="C2282" t="n">
        <v>1</v>
      </c>
      <c r="D2282" t="n">
        <v>0</v>
      </c>
      <c r="E2282" t="s">
        <v>2293</v>
      </c>
      <c r="F2282">
        <f>HYPERLINK("http://pbs.twimg.com/media/DZqqLy0V4AAEbqM.jpg", "http://pbs.twimg.com/media/DZqqLy0V4AAEbqM.jpg")</f>
        <v/>
      </c>
      <c r="G2282" t="s"/>
      <c r="H2282" t="s"/>
      <c r="I2282" t="s"/>
      <c r="J2282" t="n">
        <v>0</v>
      </c>
      <c r="K2282" t="n">
        <v>0</v>
      </c>
      <c r="L2282" t="n">
        <v>1</v>
      </c>
      <c r="M2282" t="n">
        <v>0</v>
      </c>
    </row>
    <row r="2283" spans="1:13">
      <c r="A2283" s="1">
        <f>HYPERLINK("http://www.twitter.com/NathanBLawrence/status/980280331197665280", "980280331197665280")</f>
        <v/>
      </c>
      <c r="B2283" s="2" t="n">
        <v>43191.12983796297</v>
      </c>
      <c r="C2283" t="n">
        <v>0</v>
      </c>
      <c r="D2283" t="n">
        <v>1</v>
      </c>
      <c r="E2283" t="s">
        <v>2294</v>
      </c>
      <c r="F2283" t="s"/>
      <c r="G2283" t="s"/>
      <c r="H2283" t="s"/>
      <c r="I2283" t="s"/>
      <c r="J2283" t="n">
        <v>0</v>
      </c>
      <c r="K2283" t="n">
        <v>0</v>
      </c>
      <c r="L2283" t="n">
        <v>1</v>
      </c>
      <c r="M2283" t="n">
        <v>0</v>
      </c>
    </row>
    <row r="2284" spans="1:13">
      <c r="A2284" s="1">
        <f>HYPERLINK("http://www.twitter.com/NathanBLawrence/status/980280164088270848", "980280164088270848")</f>
        <v/>
      </c>
      <c r="B2284" s="2" t="n">
        <v>43191.129375</v>
      </c>
      <c r="C2284" t="n">
        <v>0</v>
      </c>
      <c r="D2284" t="n">
        <v>0</v>
      </c>
      <c r="E2284" t="s">
        <v>2295</v>
      </c>
      <c r="F2284" t="s"/>
      <c r="G2284" t="s"/>
      <c r="H2284" t="s"/>
      <c r="I2284" t="s"/>
      <c r="J2284" t="n">
        <v>-0.6874</v>
      </c>
      <c r="K2284" t="n">
        <v>0.334</v>
      </c>
      <c r="L2284" t="n">
        <v>0.575</v>
      </c>
      <c r="M2284" t="n">
        <v>0.091</v>
      </c>
    </row>
    <row r="2285" spans="1:13">
      <c r="A2285" s="1">
        <f>HYPERLINK("http://www.twitter.com/NathanBLawrence/status/980279535907278849", "980279535907278849")</f>
        <v/>
      </c>
      <c r="B2285" s="2" t="n">
        <v>43191.12763888889</v>
      </c>
      <c r="C2285" t="n">
        <v>0</v>
      </c>
      <c r="D2285" t="n">
        <v>1</v>
      </c>
      <c r="E2285" t="s">
        <v>2296</v>
      </c>
      <c r="F2285" t="s"/>
      <c r="G2285" t="s"/>
      <c r="H2285" t="s"/>
      <c r="I2285" t="s"/>
      <c r="J2285" t="n">
        <v>0.875</v>
      </c>
      <c r="K2285" t="n">
        <v>0</v>
      </c>
      <c r="L2285" t="n">
        <v>0.655</v>
      </c>
      <c r="M2285" t="n">
        <v>0.345</v>
      </c>
    </row>
    <row r="2286" spans="1:13">
      <c r="A2286" s="1">
        <f>HYPERLINK("http://www.twitter.com/NathanBLawrence/status/980279456442052610", "980279456442052610")</f>
        <v/>
      </c>
      <c r="B2286" s="2" t="n">
        <v>43191.12741898148</v>
      </c>
      <c r="C2286" t="n">
        <v>0</v>
      </c>
      <c r="D2286" t="n">
        <v>0</v>
      </c>
      <c r="E2286" t="s">
        <v>2297</v>
      </c>
      <c r="F2286" t="s"/>
      <c r="G2286" t="s"/>
      <c r="H2286" t="s"/>
      <c r="I2286" t="s"/>
      <c r="J2286" t="n">
        <v>0.6249</v>
      </c>
      <c r="K2286" t="n">
        <v>0</v>
      </c>
      <c r="L2286" t="n">
        <v>0.775</v>
      </c>
      <c r="M2286" t="n">
        <v>0.225</v>
      </c>
    </row>
    <row r="2287" spans="1:13">
      <c r="A2287" s="1">
        <f>HYPERLINK("http://www.twitter.com/NathanBLawrence/status/980277832793362432", "980277832793362432")</f>
        <v/>
      </c>
      <c r="B2287" s="2" t="n">
        <v>43191.12293981481</v>
      </c>
      <c r="C2287" t="n">
        <v>0</v>
      </c>
      <c r="D2287" t="n">
        <v>0</v>
      </c>
      <c r="E2287" t="s">
        <v>2298</v>
      </c>
      <c r="F2287" t="s"/>
      <c r="G2287" t="s"/>
      <c r="H2287" t="s"/>
      <c r="I2287" t="s"/>
      <c r="J2287" t="n">
        <v>-0.0258</v>
      </c>
      <c r="K2287" t="n">
        <v>0.127</v>
      </c>
      <c r="L2287" t="n">
        <v>0.749</v>
      </c>
      <c r="M2287" t="n">
        <v>0.125</v>
      </c>
    </row>
    <row r="2288" spans="1:13">
      <c r="A2288" s="1">
        <f>HYPERLINK("http://www.twitter.com/NathanBLawrence/status/980277066041102336", "980277066041102336")</f>
        <v/>
      </c>
      <c r="B2288" s="2" t="n">
        <v>43191.12082175926</v>
      </c>
      <c r="C2288" t="n">
        <v>1</v>
      </c>
      <c r="D2288" t="n">
        <v>0</v>
      </c>
      <c r="E2288" t="s">
        <v>2299</v>
      </c>
      <c r="F2288">
        <f>HYPERLINK("http://pbs.twimg.com/media/DZqky24VMAEP_LZ.jpg", "http://pbs.twimg.com/media/DZqky24VMAEP_LZ.jpg")</f>
        <v/>
      </c>
      <c r="G2288" t="s"/>
      <c r="H2288" t="s"/>
      <c r="I2288" t="s"/>
      <c r="J2288" t="n">
        <v>0</v>
      </c>
      <c r="K2288" t="n">
        <v>0</v>
      </c>
      <c r="L2288" t="n">
        <v>1</v>
      </c>
      <c r="M2288" t="n">
        <v>0</v>
      </c>
    </row>
    <row r="2289" spans="1:13">
      <c r="A2289" s="1">
        <f>HYPERLINK("http://www.twitter.com/NathanBLawrence/status/980276952404758528", "980276952404758528")</f>
        <v/>
      </c>
      <c r="B2289" s="2" t="n">
        <v>43191.12050925926</v>
      </c>
      <c r="C2289" t="n">
        <v>0</v>
      </c>
      <c r="D2289" t="n">
        <v>0</v>
      </c>
      <c r="E2289" t="s">
        <v>2300</v>
      </c>
      <c r="F2289" t="s"/>
      <c r="G2289" t="s"/>
      <c r="H2289" t="s"/>
      <c r="I2289" t="s"/>
      <c r="J2289" t="n">
        <v>0.1027</v>
      </c>
      <c r="K2289" t="n">
        <v>0</v>
      </c>
      <c r="L2289" t="n">
        <v>0.833</v>
      </c>
      <c r="M2289" t="n">
        <v>0.167</v>
      </c>
    </row>
    <row r="2290" spans="1:13">
      <c r="A2290" s="1">
        <f>HYPERLINK("http://www.twitter.com/NathanBLawrence/status/980275132869562368", "980275132869562368")</f>
        <v/>
      </c>
      <c r="B2290" s="2" t="n">
        <v>43191.11548611111</v>
      </c>
      <c r="C2290" t="n">
        <v>0</v>
      </c>
      <c r="D2290" t="n">
        <v>0</v>
      </c>
      <c r="E2290" t="s">
        <v>2301</v>
      </c>
      <c r="F2290" t="s"/>
      <c r="G2290" t="s"/>
      <c r="H2290" t="s"/>
      <c r="I2290" t="s"/>
      <c r="J2290" t="n">
        <v>0.5719</v>
      </c>
      <c r="K2290" t="n">
        <v>0</v>
      </c>
      <c r="L2290" t="n">
        <v>0.448</v>
      </c>
      <c r="M2290" t="n">
        <v>0.552</v>
      </c>
    </row>
    <row r="2291" spans="1:13">
      <c r="A2291" s="1">
        <f>HYPERLINK("http://www.twitter.com/NathanBLawrence/status/980274877486784512", "980274877486784512")</f>
        <v/>
      </c>
      <c r="B2291" s="2" t="n">
        <v>43191.11479166667</v>
      </c>
      <c r="C2291" t="n">
        <v>1</v>
      </c>
      <c r="D2291" t="n">
        <v>0</v>
      </c>
      <c r="E2291" t="s">
        <v>2302</v>
      </c>
      <c r="F2291" t="s"/>
      <c r="G2291" t="s"/>
      <c r="H2291" t="s"/>
      <c r="I2291" t="s"/>
      <c r="J2291" t="n">
        <v>0</v>
      </c>
      <c r="K2291" t="n">
        <v>0</v>
      </c>
      <c r="L2291" t="n">
        <v>1</v>
      </c>
      <c r="M2291" t="n">
        <v>0</v>
      </c>
    </row>
    <row r="2292" spans="1:13">
      <c r="A2292" s="1">
        <f>HYPERLINK("http://www.twitter.com/NathanBLawrence/status/980274044275699713", "980274044275699713")</f>
        <v/>
      </c>
      <c r="B2292" s="2" t="n">
        <v>43191.11248842593</v>
      </c>
      <c r="C2292" t="n">
        <v>1</v>
      </c>
      <c r="D2292" t="n">
        <v>0</v>
      </c>
      <c r="E2292" t="s">
        <v>2303</v>
      </c>
      <c r="F2292" t="s"/>
      <c r="G2292" t="s"/>
      <c r="H2292" t="s"/>
      <c r="I2292" t="s"/>
      <c r="J2292" t="n">
        <v>0.2363</v>
      </c>
      <c r="K2292" t="n">
        <v>0.105</v>
      </c>
      <c r="L2292" t="n">
        <v>0.746</v>
      </c>
      <c r="M2292" t="n">
        <v>0.149</v>
      </c>
    </row>
    <row r="2293" spans="1:13">
      <c r="A2293" s="1">
        <f>HYPERLINK("http://www.twitter.com/NathanBLawrence/status/980269486057148417", "980269486057148417")</f>
        <v/>
      </c>
      <c r="B2293" s="2" t="n">
        <v>43191.09990740741</v>
      </c>
      <c r="C2293" t="n">
        <v>0</v>
      </c>
      <c r="D2293" t="n">
        <v>0</v>
      </c>
      <c r="E2293" t="s">
        <v>2304</v>
      </c>
      <c r="F2293" t="s"/>
      <c r="G2293" t="s"/>
      <c r="H2293" t="s"/>
      <c r="I2293" t="s"/>
      <c r="J2293" t="n">
        <v>0</v>
      </c>
      <c r="K2293" t="n">
        <v>0.117</v>
      </c>
      <c r="L2293" t="n">
        <v>0.766</v>
      </c>
      <c r="M2293" t="n">
        <v>0.117</v>
      </c>
    </row>
    <row r="2294" spans="1:13">
      <c r="A2294" s="1">
        <f>HYPERLINK("http://www.twitter.com/NathanBLawrence/status/980263653348868096", "980263653348868096")</f>
        <v/>
      </c>
      <c r="B2294" s="2" t="n">
        <v>43191.08381944444</v>
      </c>
      <c r="C2294" t="n">
        <v>0</v>
      </c>
      <c r="D2294" t="n">
        <v>0</v>
      </c>
      <c r="E2294" t="s">
        <v>2305</v>
      </c>
      <c r="F2294" t="s"/>
      <c r="G2294" t="s"/>
      <c r="H2294" t="s"/>
      <c r="I2294" t="s"/>
      <c r="J2294" t="n">
        <v>0</v>
      </c>
      <c r="K2294" t="n">
        <v>0</v>
      </c>
      <c r="L2294" t="n">
        <v>1</v>
      </c>
      <c r="M2294" t="n">
        <v>0</v>
      </c>
    </row>
    <row r="2295" spans="1:13">
      <c r="A2295" s="1">
        <f>HYPERLINK("http://www.twitter.com/NathanBLawrence/status/980263543437234177", "980263543437234177")</f>
        <v/>
      </c>
      <c r="B2295" s="2" t="n">
        <v>43191.08350694444</v>
      </c>
      <c r="C2295" t="n">
        <v>0</v>
      </c>
      <c r="D2295" t="n">
        <v>0</v>
      </c>
      <c r="E2295" t="s">
        <v>2306</v>
      </c>
      <c r="F2295" t="s"/>
      <c r="G2295" t="s"/>
      <c r="H2295" t="s"/>
      <c r="I2295" t="s"/>
      <c r="J2295" t="n">
        <v>-0.7456</v>
      </c>
      <c r="K2295" t="n">
        <v>0.327</v>
      </c>
      <c r="L2295" t="n">
        <v>0.673</v>
      </c>
      <c r="M2295" t="n">
        <v>0</v>
      </c>
    </row>
    <row r="2296" spans="1:13">
      <c r="A2296" s="1">
        <f>HYPERLINK("http://www.twitter.com/NathanBLawrence/status/980263208530403328", "980263208530403328")</f>
        <v/>
      </c>
      <c r="B2296" s="2" t="n">
        <v>43191.08258101852</v>
      </c>
      <c r="C2296" t="n">
        <v>0</v>
      </c>
      <c r="D2296" t="n">
        <v>424</v>
      </c>
      <c r="E2296" t="s">
        <v>2307</v>
      </c>
      <c r="F2296" t="s"/>
      <c r="G2296" t="s"/>
      <c r="H2296" t="s"/>
      <c r="I2296" t="s"/>
      <c r="J2296" t="n">
        <v>-0.6808</v>
      </c>
      <c r="K2296" t="n">
        <v>0.213</v>
      </c>
      <c r="L2296" t="n">
        <v>0.787</v>
      </c>
      <c r="M2296" t="n">
        <v>0</v>
      </c>
    </row>
    <row r="2297" spans="1:13">
      <c r="A2297" s="1">
        <f>HYPERLINK("http://www.twitter.com/NathanBLawrence/status/980263091433811969", "980263091433811969")</f>
        <v/>
      </c>
      <c r="B2297" s="2" t="n">
        <v>43191.08226851852</v>
      </c>
      <c r="C2297" t="n">
        <v>1</v>
      </c>
      <c r="D2297" t="n">
        <v>1</v>
      </c>
      <c r="E2297" t="s">
        <v>2308</v>
      </c>
      <c r="F2297" t="s"/>
      <c r="G2297" t="s"/>
      <c r="H2297" t="s"/>
      <c r="I2297" t="s"/>
      <c r="J2297" t="n">
        <v>-0.041</v>
      </c>
      <c r="K2297" t="n">
        <v>0.234</v>
      </c>
      <c r="L2297" t="n">
        <v>0.576</v>
      </c>
      <c r="M2297" t="n">
        <v>0.19</v>
      </c>
    </row>
    <row r="2298" spans="1:13">
      <c r="A2298" s="1">
        <f>HYPERLINK("http://www.twitter.com/NathanBLawrence/status/980260938820571136", "980260938820571136")</f>
        <v/>
      </c>
      <c r="B2298" s="2" t="n">
        <v>43191.07631944444</v>
      </c>
      <c r="C2298" t="n">
        <v>0</v>
      </c>
      <c r="D2298" t="n">
        <v>0</v>
      </c>
      <c r="E2298" t="s">
        <v>2309</v>
      </c>
      <c r="F2298" t="s"/>
      <c r="G2298" t="s"/>
      <c r="H2298" t="s"/>
      <c r="I2298" t="s"/>
      <c r="J2298" t="n">
        <v>0</v>
      </c>
      <c r="K2298" t="n">
        <v>0</v>
      </c>
      <c r="L2298" t="n">
        <v>1</v>
      </c>
      <c r="M2298" t="n">
        <v>0</v>
      </c>
    </row>
    <row r="2299" spans="1:13">
      <c r="A2299" s="1">
        <f>HYPERLINK("http://www.twitter.com/NathanBLawrence/status/980260542668525568", "980260542668525568")</f>
        <v/>
      </c>
      <c r="B2299" s="2" t="n">
        <v>43191.07523148148</v>
      </c>
      <c r="C2299" t="n">
        <v>0</v>
      </c>
      <c r="D2299" t="n">
        <v>23</v>
      </c>
      <c r="E2299" t="s">
        <v>2310</v>
      </c>
      <c r="F2299">
        <f>HYPERLINK("http://pbs.twimg.com/media/DZqLl5HU8AAdNEZ.jpg", "http://pbs.twimg.com/media/DZqLl5HU8AAdNEZ.jpg")</f>
        <v/>
      </c>
      <c r="G2299" t="s"/>
      <c r="H2299" t="s"/>
      <c r="I2299" t="s"/>
      <c r="J2299" t="n">
        <v>0</v>
      </c>
      <c r="K2299" t="n">
        <v>0</v>
      </c>
      <c r="L2299" t="n">
        <v>1</v>
      </c>
      <c r="M2299" t="n">
        <v>0</v>
      </c>
    </row>
    <row r="2300" spans="1:13">
      <c r="A2300" s="1">
        <f>HYPERLINK("http://www.twitter.com/NathanBLawrence/status/980257090211020800", "980257090211020800")</f>
        <v/>
      </c>
      <c r="B2300" s="2" t="n">
        <v>43191.06570601852</v>
      </c>
      <c r="C2300" t="n">
        <v>0</v>
      </c>
      <c r="D2300" t="n">
        <v>0</v>
      </c>
      <c r="E2300" t="s">
        <v>2311</v>
      </c>
      <c r="F2300" t="s"/>
      <c r="G2300" t="s"/>
      <c r="H2300" t="s"/>
      <c r="I2300" t="s"/>
      <c r="J2300" t="n">
        <v>0.6688</v>
      </c>
      <c r="K2300" t="n">
        <v>0</v>
      </c>
      <c r="L2300" t="n">
        <v>0.71</v>
      </c>
      <c r="M2300" t="n">
        <v>0.29</v>
      </c>
    </row>
    <row r="2301" spans="1:13">
      <c r="A2301" s="1">
        <f>HYPERLINK("http://www.twitter.com/NathanBLawrence/status/980256413149777921", "980256413149777921")</f>
        <v/>
      </c>
      <c r="B2301" s="2" t="n">
        <v>43191.06383101852</v>
      </c>
      <c r="C2301" t="n">
        <v>0</v>
      </c>
      <c r="D2301" t="n">
        <v>0</v>
      </c>
      <c r="E2301" t="s">
        <v>2312</v>
      </c>
      <c r="F2301" t="s"/>
      <c r="G2301" t="s"/>
      <c r="H2301" t="s"/>
      <c r="I2301" t="s"/>
      <c r="J2301" t="n">
        <v>0.8717</v>
      </c>
      <c r="K2301" t="n">
        <v>0</v>
      </c>
      <c r="L2301" t="n">
        <v>0.643</v>
      </c>
      <c r="M2301" t="n">
        <v>0.357</v>
      </c>
    </row>
    <row r="2302" spans="1:13">
      <c r="A2302" s="1">
        <f>HYPERLINK("http://www.twitter.com/NathanBLawrence/status/980255842103590912", "980255842103590912")</f>
        <v/>
      </c>
      <c r="B2302" s="2" t="n">
        <v>43191.06225694445</v>
      </c>
      <c r="C2302" t="n">
        <v>0</v>
      </c>
      <c r="D2302" t="n">
        <v>0</v>
      </c>
      <c r="E2302" t="s">
        <v>2313</v>
      </c>
      <c r="F2302" t="s"/>
      <c r="G2302" t="s"/>
      <c r="H2302" t="s"/>
      <c r="I2302" t="s"/>
      <c r="J2302" t="n">
        <v>0</v>
      </c>
      <c r="K2302" t="n">
        <v>0</v>
      </c>
      <c r="L2302" t="n">
        <v>1</v>
      </c>
      <c r="M2302" t="n">
        <v>0</v>
      </c>
    </row>
    <row r="2303" spans="1:13">
      <c r="A2303" s="1">
        <f>HYPERLINK("http://www.twitter.com/NathanBLawrence/status/980255725938233346", "980255725938233346")</f>
        <v/>
      </c>
      <c r="B2303" s="2" t="n">
        <v>43191.06193287037</v>
      </c>
      <c r="C2303" t="n">
        <v>0</v>
      </c>
      <c r="D2303" t="n">
        <v>0</v>
      </c>
      <c r="E2303" t="s">
        <v>2314</v>
      </c>
      <c r="F2303" t="s"/>
      <c r="G2303" t="s"/>
      <c r="H2303" t="s"/>
      <c r="I2303" t="s"/>
      <c r="J2303" t="n">
        <v>-0.3867</v>
      </c>
      <c r="K2303" t="n">
        <v>0.08</v>
      </c>
      <c r="L2303" t="n">
        <v>0.92</v>
      </c>
      <c r="M2303" t="n">
        <v>0</v>
      </c>
    </row>
    <row r="2304" spans="1:13">
      <c r="A2304" s="1">
        <f>HYPERLINK("http://www.twitter.com/NathanBLawrence/status/980253249642123264", "980253249642123264")</f>
        <v/>
      </c>
      <c r="B2304" s="2" t="n">
        <v>43191.05510416667</v>
      </c>
      <c r="C2304" t="n">
        <v>0</v>
      </c>
      <c r="D2304" t="n">
        <v>18</v>
      </c>
      <c r="E2304" t="s">
        <v>2315</v>
      </c>
      <c r="F2304" t="s"/>
      <c r="G2304" t="s"/>
      <c r="H2304" t="s"/>
      <c r="I2304" t="s"/>
      <c r="J2304" t="n">
        <v>-0.184</v>
      </c>
      <c r="K2304" t="n">
        <v>0.154</v>
      </c>
      <c r="L2304" t="n">
        <v>0.723</v>
      </c>
      <c r="M2304" t="n">
        <v>0.123</v>
      </c>
    </row>
    <row r="2305" spans="1:13">
      <c r="A2305" s="1">
        <f>HYPERLINK("http://www.twitter.com/NathanBLawrence/status/980253193815896064", "980253193815896064")</f>
        <v/>
      </c>
      <c r="B2305" s="2" t="n">
        <v>43191.0549537037</v>
      </c>
      <c r="C2305" t="n">
        <v>0</v>
      </c>
      <c r="D2305" t="n">
        <v>3</v>
      </c>
      <c r="E2305" t="s">
        <v>2316</v>
      </c>
      <c r="F2305" t="s"/>
      <c r="G2305" t="s"/>
      <c r="H2305" t="s"/>
      <c r="I2305" t="s"/>
      <c r="J2305" t="n">
        <v>-0.2732</v>
      </c>
      <c r="K2305" t="n">
        <v>0.13</v>
      </c>
      <c r="L2305" t="n">
        <v>0.87</v>
      </c>
      <c r="M2305" t="n">
        <v>0</v>
      </c>
    </row>
    <row r="2306" spans="1:13">
      <c r="A2306" s="1">
        <f>HYPERLINK("http://www.twitter.com/NathanBLawrence/status/980252495653015553", "980252495653015553")</f>
        <v/>
      </c>
      <c r="B2306" s="2" t="n">
        <v>43191.05302083334</v>
      </c>
      <c r="C2306" t="n">
        <v>0</v>
      </c>
      <c r="D2306" t="n">
        <v>0</v>
      </c>
      <c r="E2306" t="s">
        <v>2317</v>
      </c>
      <c r="F2306" t="s"/>
      <c r="G2306" t="s"/>
      <c r="H2306" t="s"/>
      <c r="I2306" t="s"/>
      <c r="J2306" t="n">
        <v>-0.873</v>
      </c>
      <c r="K2306" t="n">
        <v>0.321</v>
      </c>
      <c r="L2306" t="n">
        <v>0.679</v>
      </c>
      <c r="M2306" t="n">
        <v>0</v>
      </c>
    </row>
    <row r="2307" spans="1:13">
      <c r="A2307" s="1">
        <f>HYPERLINK("http://www.twitter.com/NathanBLawrence/status/980252118102790144", "980252118102790144")</f>
        <v/>
      </c>
      <c r="B2307" s="2" t="n">
        <v>43191.05197916667</v>
      </c>
      <c r="C2307" t="n">
        <v>1</v>
      </c>
      <c r="D2307" t="n">
        <v>0</v>
      </c>
      <c r="E2307" t="s">
        <v>2318</v>
      </c>
      <c r="F2307" t="s"/>
      <c r="G2307" t="s"/>
      <c r="H2307" t="s"/>
      <c r="I2307" t="s"/>
      <c r="J2307" t="n">
        <v>0.6597</v>
      </c>
      <c r="K2307" t="n">
        <v>0</v>
      </c>
      <c r="L2307" t="n">
        <v>0.357</v>
      </c>
      <c r="M2307" t="n">
        <v>0.643</v>
      </c>
    </row>
    <row r="2308" spans="1:13">
      <c r="A2308" s="1">
        <f>HYPERLINK("http://www.twitter.com/NathanBLawrence/status/980251581751980033", "980251581751980033")</f>
        <v/>
      </c>
      <c r="B2308" s="2" t="n">
        <v>43191.05049768519</v>
      </c>
      <c r="C2308" t="n">
        <v>1</v>
      </c>
      <c r="D2308" t="n">
        <v>0</v>
      </c>
      <c r="E2308" t="s">
        <v>2319</v>
      </c>
      <c r="F2308">
        <f>HYPERLINK("http://pbs.twimg.com/media/DZqNnD5V4AAdm1l.jpg", "http://pbs.twimg.com/media/DZqNnD5V4AAdm1l.jpg")</f>
        <v/>
      </c>
      <c r="G2308" t="s"/>
      <c r="H2308" t="s"/>
      <c r="I2308" t="s"/>
      <c r="J2308" t="n">
        <v>0</v>
      </c>
      <c r="K2308" t="n">
        <v>0</v>
      </c>
      <c r="L2308" t="n">
        <v>1</v>
      </c>
      <c r="M2308" t="n">
        <v>0</v>
      </c>
    </row>
    <row r="2309" spans="1:13">
      <c r="A2309" s="1">
        <f>HYPERLINK("http://www.twitter.com/NathanBLawrence/status/980250758615617536", "980250758615617536")</f>
        <v/>
      </c>
      <c r="B2309" s="2" t="n">
        <v>43191.04822916666</v>
      </c>
      <c r="C2309" t="n">
        <v>0</v>
      </c>
      <c r="D2309" t="n">
        <v>0</v>
      </c>
      <c r="E2309" t="s">
        <v>2320</v>
      </c>
      <c r="F2309" t="s"/>
      <c r="G2309" t="s"/>
      <c r="H2309" t="s"/>
      <c r="I2309" t="s"/>
      <c r="J2309" t="n">
        <v>0.4019</v>
      </c>
      <c r="K2309" t="n">
        <v>0</v>
      </c>
      <c r="L2309" t="n">
        <v>0.891</v>
      </c>
      <c r="M2309" t="n">
        <v>0.109</v>
      </c>
    </row>
    <row r="2310" spans="1:13">
      <c r="A2310" s="1">
        <f>HYPERLINK("http://www.twitter.com/NathanBLawrence/status/980250445569515521", "980250445569515521")</f>
        <v/>
      </c>
      <c r="B2310" s="2" t="n">
        <v>43191.04737268519</v>
      </c>
      <c r="C2310" t="n">
        <v>0</v>
      </c>
      <c r="D2310" t="n">
        <v>21</v>
      </c>
      <c r="E2310" t="s">
        <v>2321</v>
      </c>
      <c r="F2310" t="s"/>
      <c r="G2310" t="s"/>
      <c r="H2310" t="s"/>
      <c r="I2310" t="s"/>
      <c r="J2310" t="n">
        <v>0.6581</v>
      </c>
      <c r="K2310" t="n">
        <v>0</v>
      </c>
      <c r="L2310" t="n">
        <v>0.823</v>
      </c>
      <c r="M2310" t="n">
        <v>0.177</v>
      </c>
    </row>
    <row r="2311" spans="1:13">
      <c r="A2311" s="1">
        <f>HYPERLINK("http://www.twitter.com/NathanBLawrence/status/980250117390454785", "980250117390454785")</f>
        <v/>
      </c>
      <c r="B2311" s="2" t="n">
        <v>43191.04645833333</v>
      </c>
      <c r="C2311" t="n">
        <v>0</v>
      </c>
      <c r="D2311" t="n">
        <v>0</v>
      </c>
      <c r="E2311" t="s">
        <v>2322</v>
      </c>
      <c r="F2311" t="s"/>
      <c r="G2311" t="s"/>
      <c r="H2311" t="s"/>
      <c r="I2311" t="s"/>
      <c r="J2311" t="n">
        <v>-0.5574</v>
      </c>
      <c r="K2311" t="n">
        <v>0.12</v>
      </c>
      <c r="L2311" t="n">
        <v>0.88</v>
      </c>
      <c r="M2311" t="n">
        <v>0</v>
      </c>
    </row>
    <row r="2312" spans="1:13">
      <c r="A2312" s="1">
        <f>HYPERLINK("http://www.twitter.com/NathanBLawrence/status/980249147788988416", "980249147788988416")</f>
        <v/>
      </c>
      <c r="B2312" s="2" t="n">
        <v>43191.04378472222</v>
      </c>
      <c r="C2312" t="n">
        <v>0</v>
      </c>
      <c r="D2312" t="n">
        <v>0</v>
      </c>
      <c r="E2312" t="s">
        <v>2323</v>
      </c>
      <c r="F2312" t="s"/>
      <c r="G2312" t="s"/>
      <c r="H2312" t="s"/>
      <c r="I2312" t="s"/>
      <c r="J2312" t="n">
        <v>0</v>
      </c>
      <c r="K2312" t="n">
        <v>0</v>
      </c>
      <c r="L2312" t="n">
        <v>1</v>
      </c>
      <c r="M2312" t="n">
        <v>0</v>
      </c>
    </row>
    <row r="2313" spans="1:13">
      <c r="A2313" s="1">
        <f>HYPERLINK("http://www.twitter.com/NathanBLawrence/status/980248944629506048", "980248944629506048")</f>
        <v/>
      </c>
      <c r="B2313" s="2" t="n">
        <v>43191.04322916667</v>
      </c>
      <c r="C2313" t="n">
        <v>0</v>
      </c>
      <c r="D2313" t="n">
        <v>0</v>
      </c>
      <c r="E2313" t="s">
        <v>2324</v>
      </c>
      <c r="F2313">
        <f>HYPERLINK("http://pbs.twimg.com/media/DZqLNuPVoAAYM8O.jpg", "http://pbs.twimg.com/media/DZqLNuPVoAAYM8O.jpg")</f>
        <v/>
      </c>
      <c r="G2313" t="s"/>
      <c r="H2313" t="s"/>
      <c r="I2313" t="s"/>
      <c r="J2313" t="n">
        <v>0.296</v>
      </c>
      <c r="K2313" t="n">
        <v>0</v>
      </c>
      <c r="L2313" t="n">
        <v>0.784</v>
      </c>
      <c r="M2313" t="n">
        <v>0.216</v>
      </c>
    </row>
    <row r="2314" spans="1:13">
      <c r="A2314" s="1">
        <f>HYPERLINK("http://www.twitter.com/NathanBLawrence/status/980234858747318272", "980234858747318272")</f>
        <v/>
      </c>
      <c r="B2314" s="2" t="n">
        <v>43191.00435185185</v>
      </c>
      <c r="C2314" t="n">
        <v>0</v>
      </c>
      <c r="D2314" t="n">
        <v>0</v>
      </c>
      <c r="E2314" t="s">
        <v>2325</v>
      </c>
      <c r="F2314" t="s"/>
      <c r="G2314" t="s"/>
      <c r="H2314" t="s"/>
      <c r="I2314" t="s"/>
      <c r="J2314" t="n">
        <v>0</v>
      </c>
      <c r="K2314" t="n">
        <v>0</v>
      </c>
      <c r="L2314" t="n">
        <v>1</v>
      </c>
      <c r="M2314" t="n">
        <v>0</v>
      </c>
    </row>
    <row r="2315" spans="1:13">
      <c r="A2315" s="1">
        <f>HYPERLINK("http://www.twitter.com/NathanBLawrence/status/980234575766020096", "980234575766020096")</f>
        <v/>
      </c>
      <c r="B2315" s="2" t="n">
        <v>43191.00357638889</v>
      </c>
      <c r="C2315" t="n">
        <v>0</v>
      </c>
      <c r="D2315" t="n">
        <v>0</v>
      </c>
      <c r="E2315" t="s">
        <v>2326</v>
      </c>
      <c r="F2315" t="s"/>
      <c r="G2315" t="s"/>
      <c r="H2315" t="s"/>
      <c r="I2315" t="s"/>
      <c r="J2315" t="n">
        <v>0</v>
      </c>
      <c r="K2315" t="n">
        <v>0</v>
      </c>
      <c r="L2315" t="n">
        <v>1</v>
      </c>
      <c r="M2315" t="n">
        <v>0</v>
      </c>
    </row>
    <row r="2316" spans="1:13">
      <c r="A2316" s="1">
        <f>HYPERLINK("http://www.twitter.com/NathanBLawrence/status/980234265811128320", "980234265811128320")</f>
        <v/>
      </c>
      <c r="B2316" s="2" t="n">
        <v>43191.00271990741</v>
      </c>
      <c r="C2316" t="n">
        <v>0</v>
      </c>
      <c r="D2316" t="n">
        <v>162</v>
      </c>
      <c r="E2316" t="s">
        <v>2327</v>
      </c>
      <c r="F2316">
        <f>HYPERLINK("https://video.twimg.com/ext_tw_video/980088594244276224/pu/vid/1280x720/Avvx-OfmOJFqhh-_.mp4", "https://video.twimg.com/ext_tw_video/980088594244276224/pu/vid/1280x720/Avvx-OfmOJFqhh-_.mp4")</f>
        <v/>
      </c>
      <c r="G2316" t="s"/>
      <c r="H2316" t="s"/>
      <c r="I2316" t="s"/>
      <c r="J2316" t="n">
        <v>-0.1531</v>
      </c>
      <c r="K2316" t="n">
        <v>0.139</v>
      </c>
      <c r="L2316" t="n">
        <v>0.71</v>
      </c>
      <c r="M2316" t="n">
        <v>0.151</v>
      </c>
    </row>
    <row r="2317" spans="1:13">
      <c r="A2317" s="1">
        <f>HYPERLINK("http://www.twitter.com/NathanBLawrence/status/980234156138467328", "980234156138467328")</f>
        <v/>
      </c>
      <c r="B2317" s="2" t="n">
        <v>43191.00241898148</v>
      </c>
      <c r="C2317" t="n">
        <v>0</v>
      </c>
      <c r="D2317" t="n">
        <v>0</v>
      </c>
      <c r="E2317" t="s">
        <v>2328</v>
      </c>
      <c r="F2317" t="s"/>
      <c r="G2317" t="s"/>
      <c r="H2317" t="s"/>
      <c r="I2317" t="s"/>
      <c r="J2317" t="n">
        <v>0.4215</v>
      </c>
      <c r="K2317" t="n">
        <v>0</v>
      </c>
      <c r="L2317" t="n">
        <v>0.843</v>
      </c>
      <c r="M2317" t="n">
        <v>0.157</v>
      </c>
    </row>
    <row r="2318" spans="1:13">
      <c r="A2318" s="1">
        <f>HYPERLINK("http://www.twitter.com/NathanBLawrence/status/980233736594870272", "980233736594870272")</f>
        <v/>
      </c>
      <c r="B2318" s="2" t="n">
        <v>43191.00126157407</v>
      </c>
      <c r="C2318" t="n">
        <v>0</v>
      </c>
      <c r="D2318" t="n">
        <v>20</v>
      </c>
      <c r="E2318" t="s">
        <v>2329</v>
      </c>
      <c r="F2318" t="s"/>
      <c r="G2318" t="s"/>
      <c r="H2318" t="s"/>
      <c r="I2318" t="s"/>
      <c r="J2318" t="n">
        <v>0</v>
      </c>
      <c r="K2318" t="n">
        <v>0</v>
      </c>
      <c r="L2318" t="n">
        <v>1</v>
      </c>
      <c r="M2318" t="n">
        <v>0</v>
      </c>
    </row>
    <row r="2319" spans="1:13">
      <c r="A2319" s="1">
        <f>HYPERLINK("http://www.twitter.com/NathanBLawrence/status/980233207504306176", "980233207504306176")</f>
        <v/>
      </c>
      <c r="B2319" s="2" t="n">
        <v>43190.99980324074</v>
      </c>
      <c r="C2319" t="n">
        <v>1</v>
      </c>
      <c r="D2319" t="n">
        <v>1</v>
      </c>
      <c r="E2319" t="s">
        <v>2330</v>
      </c>
      <c r="F2319" t="s"/>
      <c r="G2319" t="s"/>
      <c r="H2319" t="s"/>
      <c r="I2319" t="s"/>
      <c r="J2319" t="n">
        <v>0</v>
      </c>
      <c r="K2319" t="n">
        <v>0</v>
      </c>
      <c r="L2319" t="n">
        <v>1</v>
      </c>
      <c r="M2319" t="n">
        <v>0</v>
      </c>
    </row>
    <row r="2320" spans="1:13">
      <c r="A2320" s="1">
        <f>HYPERLINK("http://www.twitter.com/NathanBLawrence/status/980232908396007425", "980232908396007425")</f>
        <v/>
      </c>
      <c r="B2320" s="2" t="n">
        <v>43190.99896990741</v>
      </c>
      <c r="C2320" t="n">
        <v>0</v>
      </c>
      <c r="D2320" t="n">
        <v>0</v>
      </c>
      <c r="E2320" t="s">
        <v>2331</v>
      </c>
      <c r="F2320" t="s"/>
      <c r="G2320" t="s"/>
      <c r="H2320" t="s"/>
      <c r="I2320" t="s"/>
      <c r="J2320" t="n">
        <v>0.6514</v>
      </c>
      <c r="K2320" t="n">
        <v>0.137</v>
      </c>
      <c r="L2320" t="n">
        <v>0.489</v>
      </c>
      <c r="M2320" t="n">
        <v>0.374</v>
      </c>
    </row>
    <row r="2321" spans="1:13">
      <c r="A2321" s="1">
        <f>HYPERLINK("http://www.twitter.com/NathanBLawrence/status/980229106280353792", "980229106280353792")</f>
        <v/>
      </c>
      <c r="B2321" s="2" t="n">
        <v>43190.9884837963</v>
      </c>
      <c r="C2321" t="n">
        <v>0</v>
      </c>
      <c r="D2321" t="n">
        <v>0</v>
      </c>
      <c r="E2321" t="s">
        <v>2332</v>
      </c>
      <c r="F2321" t="s"/>
      <c r="G2321" t="s"/>
      <c r="H2321" t="s"/>
      <c r="I2321" t="s"/>
      <c r="J2321" t="n">
        <v>0.4782</v>
      </c>
      <c r="K2321" t="n">
        <v>0.191</v>
      </c>
      <c r="L2321" t="n">
        <v>0.434</v>
      </c>
      <c r="M2321" t="n">
        <v>0.374</v>
      </c>
    </row>
    <row r="2322" spans="1:13">
      <c r="A2322" s="1">
        <f>HYPERLINK("http://www.twitter.com/NathanBLawrence/status/980228722941943808", "980228722941943808")</f>
        <v/>
      </c>
      <c r="B2322" s="2" t="n">
        <v>43190.98741898148</v>
      </c>
      <c r="C2322" t="n">
        <v>1</v>
      </c>
      <c r="D2322" t="n">
        <v>0</v>
      </c>
      <c r="E2322" t="s">
        <v>2333</v>
      </c>
      <c r="F2322" t="s"/>
      <c r="G2322" t="s"/>
      <c r="H2322" t="s"/>
      <c r="I2322" t="s"/>
      <c r="J2322" t="n">
        <v>0</v>
      </c>
      <c r="K2322" t="n">
        <v>0</v>
      </c>
      <c r="L2322" t="n">
        <v>1</v>
      </c>
      <c r="M2322" t="n">
        <v>0</v>
      </c>
    </row>
    <row r="2323" spans="1:13">
      <c r="A2323" s="1">
        <f>HYPERLINK("http://www.twitter.com/NathanBLawrence/status/980228291931131904", "980228291931131904")</f>
        <v/>
      </c>
      <c r="B2323" s="2" t="n">
        <v>43190.98623842592</v>
      </c>
      <c r="C2323" t="n">
        <v>0</v>
      </c>
      <c r="D2323" t="n">
        <v>0</v>
      </c>
      <c r="E2323" t="s">
        <v>2334</v>
      </c>
      <c r="F2323" t="s"/>
      <c r="G2323" t="s"/>
      <c r="H2323" t="s"/>
      <c r="I2323" t="s"/>
      <c r="J2323" t="n">
        <v>0</v>
      </c>
      <c r="K2323" t="n">
        <v>0</v>
      </c>
      <c r="L2323" t="n">
        <v>1</v>
      </c>
      <c r="M2323" t="n">
        <v>0</v>
      </c>
    </row>
    <row r="2324" spans="1:13">
      <c r="A2324" s="1">
        <f>HYPERLINK("http://www.twitter.com/NathanBLawrence/status/980224161837649920", "980224161837649920")</f>
        <v/>
      </c>
      <c r="B2324" s="2" t="n">
        <v>43190.97483796296</v>
      </c>
      <c r="C2324" t="n">
        <v>0</v>
      </c>
      <c r="D2324" t="n">
        <v>1</v>
      </c>
      <c r="E2324" t="s">
        <v>2335</v>
      </c>
      <c r="F2324" t="s"/>
      <c r="G2324" t="s"/>
      <c r="H2324" t="s"/>
      <c r="I2324" t="s"/>
      <c r="J2324" t="n">
        <v>0.2732</v>
      </c>
      <c r="K2324" t="n">
        <v>0</v>
      </c>
      <c r="L2324" t="n">
        <v>0.769</v>
      </c>
      <c r="M2324" t="n">
        <v>0.231</v>
      </c>
    </row>
    <row r="2325" spans="1:13">
      <c r="A2325" s="1">
        <f>HYPERLINK("http://www.twitter.com/NathanBLawrence/status/980222877562822657", "980222877562822657")</f>
        <v/>
      </c>
      <c r="B2325" s="2" t="n">
        <v>43190.97129629629</v>
      </c>
      <c r="C2325" t="n">
        <v>2</v>
      </c>
      <c r="D2325" t="n">
        <v>1</v>
      </c>
      <c r="E2325" t="s">
        <v>2336</v>
      </c>
      <c r="F2325" t="s"/>
      <c r="G2325" t="s"/>
      <c r="H2325" t="s"/>
      <c r="I2325" t="s"/>
      <c r="J2325" t="n">
        <v>0.1027</v>
      </c>
      <c r="K2325" t="n">
        <v>0</v>
      </c>
      <c r="L2325" t="n">
        <v>0.909</v>
      </c>
      <c r="M2325" t="n">
        <v>0.091</v>
      </c>
    </row>
    <row r="2326" spans="1:13">
      <c r="A2326" s="1">
        <f>HYPERLINK("http://www.twitter.com/NathanBLawrence/status/980213314331475969", "980213314331475969")</f>
        <v/>
      </c>
      <c r="B2326" s="2" t="n">
        <v>43190.94490740741</v>
      </c>
      <c r="C2326" t="n">
        <v>0</v>
      </c>
      <c r="D2326" t="n">
        <v>2741</v>
      </c>
      <c r="E2326" t="s">
        <v>2337</v>
      </c>
      <c r="F2326" t="s"/>
      <c r="G2326" t="s"/>
      <c r="H2326" t="s"/>
      <c r="I2326" t="s"/>
      <c r="J2326" t="n">
        <v>0</v>
      </c>
      <c r="K2326" t="n">
        <v>0</v>
      </c>
      <c r="L2326" t="n">
        <v>1</v>
      </c>
      <c r="M2326" t="n">
        <v>0</v>
      </c>
    </row>
    <row r="2327" spans="1:13">
      <c r="A2327" s="1">
        <f>HYPERLINK("http://www.twitter.com/NathanBLawrence/status/980211594490556417", "980211594490556417")</f>
        <v/>
      </c>
      <c r="B2327" s="2" t="n">
        <v>43190.94016203703</v>
      </c>
      <c r="C2327" t="n">
        <v>2</v>
      </c>
      <c r="D2327" t="n">
        <v>0</v>
      </c>
      <c r="E2327" t="s">
        <v>2338</v>
      </c>
      <c r="F2327" t="s"/>
      <c r="G2327" t="s"/>
      <c r="H2327" t="s"/>
      <c r="I2327" t="s"/>
      <c r="J2327" t="n">
        <v>0.5093</v>
      </c>
      <c r="K2327" t="n">
        <v>0</v>
      </c>
      <c r="L2327" t="n">
        <v>0.788</v>
      </c>
      <c r="M2327" t="n">
        <v>0.212</v>
      </c>
    </row>
    <row r="2328" spans="1:13">
      <c r="A2328" s="1">
        <f>HYPERLINK("http://www.twitter.com/NathanBLawrence/status/980211282778509312", "980211282778509312")</f>
        <v/>
      </c>
      <c r="B2328" s="2" t="n">
        <v>43190.93929398148</v>
      </c>
      <c r="C2328" t="n">
        <v>0</v>
      </c>
      <c r="D2328" t="n">
        <v>0</v>
      </c>
      <c r="E2328" t="s">
        <v>2339</v>
      </c>
      <c r="F2328" t="s"/>
      <c r="G2328" t="s"/>
      <c r="H2328" t="s"/>
      <c r="I2328" t="s"/>
      <c r="J2328" t="n">
        <v>0</v>
      </c>
      <c r="K2328" t="n">
        <v>0</v>
      </c>
      <c r="L2328" t="n">
        <v>1</v>
      </c>
      <c r="M2328" t="n">
        <v>0</v>
      </c>
    </row>
    <row r="2329" spans="1:13">
      <c r="A2329" s="1">
        <f>HYPERLINK("http://www.twitter.com/NathanBLawrence/status/980210830896713728", "980210830896713728")</f>
        <v/>
      </c>
      <c r="B2329" s="2" t="n">
        <v>43190.93805555555</v>
      </c>
      <c r="C2329" t="n">
        <v>0</v>
      </c>
      <c r="D2329" t="n">
        <v>37</v>
      </c>
      <c r="E2329" t="s">
        <v>2340</v>
      </c>
      <c r="F2329">
        <f>HYPERLINK("http://pbs.twimg.com/media/DZo3QBAWsAYdbEj.jpg", "http://pbs.twimg.com/media/DZo3QBAWsAYdbEj.jpg")</f>
        <v/>
      </c>
      <c r="G2329" t="s"/>
      <c r="H2329" t="s"/>
      <c r="I2329" t="s"/>
      <c r="J2329" t="n">
        <v>-0.3612</v>
      </c>
      <c r="K2329" t="n">
        <v>0.273</v>
      </c>
      <c r="L2329" t="n">
        <v>0.514</v>
      </c>
      <c r="M2329" t="n">
        <v>0.213</v>
      </c>
    </row>
    <row r="2330" spans="1:13">
      <c r="A2330" s="1">
        <f>HYPERLINK("http://www.twitter.com/NathanBLawrence/status/980205380901982209", "980205380901982209")</f>
        <v/>
      </c>
      <c r="B2330" s="2" t="n">
        <v>43190.92300925926</v>
      </c>
      <c r="C2330" t="n">
        <v>3</v>
      </c>
      <c r="D2330" t="n">
        <v>0</v>
      </c>
      <c r="E2330" t="s">
        <v>2341</v>
      </c>
      <c r="F2330" t="s"/>
      <c r="G2330" t="s"/>
      <c r="H2330" t="s"/>
      <c r="I2330" t="s"/>
      <c r="J2330" t="n">
        <v>0</v>
      </c>
      <c r="K2330" t="n">
        <v>0</v>
      </c>
      <c r="L2330" t="n">
        <v>1</v>
      </c>
      <c r="M2330" t="n">
        <v>0</v>
      </c>
    </row>
    <row r="2331" spans="1:13">
      <c r="A2331" s="1">
        <f>HYPERLINK("http://www.twitter.com/NathanBLawrence/status/980204182090153989", "980204182090153989")</f>
        <v/>
      </c>
      <c r="B2331" s="2" t="n">
        <v>43190.91969907407</v>
      </c>
      <c r="C2331" t="n">
        <v>2</v>
      </c>
      <c r="D2331" t="n">
        <v>0</v>
      </c>
      <c r="E2331" t="s">
        <v>2342</v>
      </c>
      <c r="F2331" t="s"/>
      <c r="G2331" t="s"/>
      <c r="H2331" t="s"/>
      <c r="I2331" t="s"/>
      <c r="J2331" t="n">
        <v>0.2235</v>
      </c>
      <c r="K2331" t="n">
        <v>0</v>
      </c>
      <c r="L2331" t="n">
        <v>0.827</v>
      </c>
      <c r="M2331" t="n">
        <v>0.173</v>
      </c>
    </row>
    <row r="2332" spans="1:13">
      <c r="A2332" s="1">
        <f>HYPERLINK("http://www.twitter.com/NathanBLawrence/status/980203953873997824", "980203953873997824")</f>
        <v/>
      </c>
      <c r="B2332" s="2" t="n">
        <v>43190.91907407407</v>
      </c>
      <c r="C2332" t="n">
        <v>2</v>
      </c>
      <c r="D2332" t="n">
        <v>0</v>
      </c>
      <c r="E2332" t="s">
        <v>2343</v>
      </c>
      <c r="F2332" t="s"/>
      <c r="G2332" t="s"/>
      <c r="H2332" t="s"/>
      <c r="I2332" t="s"/>
      <c r="J2332" t="n">
        <v>0</v>
      </c>
      <c r="K2332" t="n">
        <v>0</v>
      </c>
      <c r="L2332" t="n">
        <v>1</v>
      </c>
      <c r="M2332" t="n">
        <v>0</v>
      </c>
    </row>
    <row r="2333" spans="1:13">
      <c r="A2333" s="1">
        <f>HYPERLINK("http://www.twitter.com/NathanBLawrence/status/980203489505800192", "980203489505800192")</f>
        <v/>
      </c>
      <c r="B2333" s="2" t="n">
        <v>43190.91778935185</v>
      </c>
      <c r="C2333" t="n">
        <v>2</v>
      </c>
      <c r="D2333" t="n">
        <v>0</v>
      </c>
      <c r="E2333" t="s">
        <v>2344</v>
      </c>
      <c r="F2333" t="s"/>
      <c r="G2333" t="s"/>
      <c r="H2333" t="s"/>
      <c r="I2333" t="s"/>
      <c r="J2333" t="n">
        <v>0.7351</v>
      </c>
      <c r="K2333" t="n">
        <v>0</v>
      </c>
      <c r="L2333" t="n">
        <v>0.754</v>
      </c>
      <c r="M2333" t="n">
        <v>0.246</v>
      </c>
    </row>
    <row r="2334" spans="1:13">
      <c r="A2334" s="1">
        <f>HYPERLINK("http://www.twitter.com/NathanBLawrence/status/980198123753689088", "980198123753689088")</f>
        <v/>
      </c>
      <c r="B2334" s="2" t="n">
        <v>43190.90298611111</v>
      </c>
      <c r="C2334" t="n">
        <v>3</v>
      </c>
      <c r="D2334" t="n">
        <v>0</v>
      </c>
      <c r="E2334" t="s">
        <v>2345</v>
      </c>
      <c r="F2334" t="s"/>
      <c r="G2334" t="s"/>
      <c r="H2334" t="s"/>
      <c r="I2334" t="s"/>
      <c r="J2334" t="n">
        <v>0</v>
      </c>
      <c r="K2334" t="n">
        <v>0</v>
      </c>
      <c r="L2334" t="n">
        <v>1</v>
      </c>
      <c r="M2334" t="n">
        <v>0</v>
      </c>
    </row>
    <row r="2335" spans="1:13">
      <c r="A2335" s="1">
        <f>HYPERLINK("http://www.twitter.com/NathanBLawrence/status/980197662866706440", "980197662866706440")</f>
        <v/>
      </c>
      <c r="B2335" s="2" t="n">
        <v>43190.90171296296</v>
      </c>
      <c r="C2335" t="n">
        <v>2</v>
      </c>
      <c r="D2335" t="n">
        <v>0</v>
      </c>
      <c r="E2335" t="s">
        <v>2346</v>
      </c>
      <c r="F2335" t="s"/>
      <c r="G2335" t="s"/>
      <c r="H2335" t="s"/>
      <c r="I2335" t="s"/>
      <c r="J2335" t="n">
        <v>0</v>
      </c>
      <c r="K2335" t="n">
        <v>0</v>
      </c>
      <c r="L2335" t="n">
        <v>1</v>
      </c>
      <c r="M2335" t="n">
        <v>0</v>
      </c>
    </row>
    <row r="2336" spans="1:13">
      <c r="A2336" s="1">
        <f>HYPERLINK("http://www.twitter.com/NathanBLawrence/status/980196951114371072", "980196951114371072")</f>
        <v/>
      </c>
      <c r="B2336" s="2" t="n">
        <v>43190.89974537037</v>
      </c>
      <c r="C2336" t="n">
        <v>2</v>
      </c>
      <c r="D2336" t="n">
        <v>0</v>
      </c>
      <c r="E2336" t="s">
        <v>2347</v>
      </c>
      <c r="F2336" t="s"/>
      <c r="G2336" t="s"/>
      <c r="H2336" t="s"/>
      <c r="I2336" t="s"/>
      <c r="J2336" t="n">
        <v>0.4404</v>
      </c>
      <c r="K2336" t="n">
        <v>0</v>
      </c>
      <c r="L2336" t="n">
        <v>0.906</v>
      </c>
      <c r="M2336" t="n">
        <v>0.094</v>
      </c>
    </row>
    <row r="2337" spans="1:13">
      <c r="A2337" s="1">
        <f>HYPERLINK("http://www.twitter.com/NathanBLawrence/status/980196618107523073", "980196618107523073")</f>
        <v/>
      </c>
      <c r="B2337" s="2" t="n">
        <v>43190.89883101852</v>
      </c>
      <c r="C2337" t="n">
        <v>1</v>
      </c>
      <c r="D2337" t="n">
        <v>0</v>
      </c>
      <c r="E2337" t="s">
        <v>2348</v>
      </c>
      <c r="F2337" t="s"/>
      <c r="G2337" t="s"/>
      <c r="H2337" t="s"/>
      <c r="I2337" t="s"/>
      <c r="J2337" t="n">
        <v>-0.7088</v>
      </c>
      <c r="K2337" t="n">
        <v>0.259</v>
      </c>
      <c r="L2337" t="n">
        <v>0.741</v>
      </c>
      <c r="M2337" t="n">
        <v>0</v>
      </c>
    </row>
    <row r="2338" spans="1:13">
      <c r="A2338" s="1">
        <f>HYPERLINK("http://www.twitter.com/NathanBLawrence/status/980196426100695046", "980196426100695046")</f>
        <v/>
      </c>
      <c r="B2338" s="2" t="n">
        <v>43190.89829861111</v>
      </c>
      <c r="C2338" t="n">
        <v>2</v>
      </c>
      <c r="D2338" t="n">
        <v>0</v>
      </c>
      <c r="E2338" t="s">
        <v>2349</v>
      </c>
      <c r="F2338" t="s"/>
      <c r="G2338" t="s"/>
      <c r="H2338" t="s"/>
      <c r="I2338" t="s"/>
      <c r="J2338" t="n">
        <v>0.7184</v>
      </c>
      <c r="K2338" t="n">
        <v>0</v>
      </c>
      <c r="L2338" t="n">
        <v>0.769</v>
      </c>
      <c r="M2338" t="n">
        <v>0.231</v>
      </c>
    </row>
    <row r="2339" spans="1:13">
      <c r="A2339" s="1">
        <f>HYPERLINK("http://www.twitter.com/NathanBLawrence/status/980196186496913409", "980196186496913409")</f>
        <v/>
      </c>
      <c r="B2339" s="2" t="n">
        <v>43190.89763888889</v>
      </c>
      <c r="C2339" t="n">
        <v>2</v>
      </c>
      <c r="D2339" t="n">
        <v>0</v>
      </c>
      <c r="E2339" t="s">
        <v>2350</v>
      </c>
      <c r="F2339" t="s"/>
      <c r="G2339" t="s"/>
      <c r="H2339" t="s"/>
      <c r="I2339" t="s"/>
      <c r="J2339" t="n">
        <v>-0.6258</v>
      </c>
      <c r="K2339" t="n">
        <v>0.313</v>
      </c>
      <c r="L2339" t="n">
        <v>0.6870000000000001</v>
      </c>
      <c r="M2339" t="n">
        <v>0</v>
      </c>
    </row>
    <row r="2340" spans="1:13">
      <c r="A2340" s="1">
        <f>HYPERLINK("http://www.twitter.com/NathanBLawrence/status/980195672761696257", "980195672761696257")</f>
        <v/>
      </c>
      <c r="B2340" s="2" t="n">
        <v>43190.89622685185</v>
      </c>
      <c r="C2340" t="n">
        <v>2</v>
      </c>
      <c r="D2340" t="n">
        <v>0</v>
      </c>
      <c r="E2340" t="s">
        <v>2351</v>
      </c>
      <c r="F2340" t="s"/>
      <c r="G2340" t="s"/>
      <c r="H2340" t="s"/>
      <c r="I2340" t="s"/>
      <c r="J2340" t="n">
        <v>0.4767</v>
      </c>
      <c r="K2340" t="n">
        <v>0</v>
      </c>
      <c r="L2340" t="n">
        <v>0.744</v>
      </c>
      <c r="M2340" t="n">
        <v>0.256</v>
      </c>
    </row>
    <row r="2341" spans="1:13">
      <c r="A2341" s="1">
        <f>HYPERLINK("http://www.twitter.com/NathanBLawrence/status/980195364904022023", "980195364904022023")</f>
        <v/>
      </c>
      <c r="B2341" s="2" t="n">
        <v>43190.89537037037</v>
      </c>
      <c r="C2341" t="n">
        <v>2</v>
      </c>
      <c r="D2341" t="n">
        <v>0</v>
      </c>
      <c r="E2341" t="s">
        <v>2352</v>
      </c>
      <c r="F2341" t="s"/>
      <c r="G2341" t="s"/>
      <c r="H2341" t="s"/>
      <c r="I2341" t="s"/>
      <c r="J2341" t="n">
        <v>0</v>
      </c>
      <c r="K2341" t="n">
        <v>0</v>
      </c>
      <c r="L2341" t="n">
        <v>1</v>
      </c>
      <c r="M2341" t="n">
        <v>0</v>
      </c>
    </row>
    <row r="2342" spans="1:13">
      <c r="A2342" s="1">
        <f>HYPERLINK("http://www.twitter.com/NathanBLawrence/status/980194847536697346", "980194847536697346")</f>
        <v/>
      </c>
      <c r="B2342" s="2" t="n">
        <v>43190.89394675926</v>
      </c>
      <c r="C2342" t="n">
        <v>2</v>
      </c>
      <c r="D2342" t="n">
        <v>0</v>
      </c>
      <c r="E2342" t="s">
        <v>2353</v>
      </c>
      <c r="F2342" t="s"/>
      <c r="G2342" t="s"/>
      <c r="H2342" t="s"/>
      <c r="I2342" t="s"/>
      <c r="J2342" t="n">
        <v>0.2714</v>
      </c>
      <c r="K2342" t="n">
        <v>0</v>
      </c>
      <c r="L2342" t="n">
        <v>0.878</v>
      </c>
      <c r="M2342" t="n">
        <v>0.122</v>
      </c>
    </row>
    <row r="2343" spans="1:13">
      <c r="A2343" s="1">
        <f>HYPERLINK("http://www.twitter.com/NathanBLawrence/status/980194591025582080", "980194591025582080")</f>
        <v/>
      </c>
      <c r="B2343" s="2" t="n">
        <v>43190.89324074074</v>
      </c>
      <c r="C2343" t="n">
        <v>1</v>
      </c>
      <c r="D2343" t="n">
        <v>0</v>
      </c>
      <c r="E2343" t="s">
        <v>2354</v>
      </c>
      <c r="F2343" t="s"/>
      <c r="G2343" t="s"/>
      <c r="H2343" t="s"/>
      <c r="I2343" t="s"/>
      <c r="J2343" t="n">
        <v>0</v>
      </c>
      <c r="K2343" t="n">
        <v>0</v>
      </c>
      <c r="L2343" t="n">
        <v>1</v>
      </c>
      <c r="M2343" t="n">
        <v>0</v>
      </c>
    </row>
    <row r="2344" spans="1:13">
      <c r="A2344" s="1">
        <f>HYPERLINK("http://www.twitter.com/NathanBLawrence/status/980187871524151296", "980187871524151296")</f>
        <v/>
      </c>
      <c r="B2344" s="2" t="n">
        <v>43190.87469907408</v>
      </c>
      <c r="C2344" t="n">
        <v>0</v>
      </c>
      <c r="D2344" t="n">
        <v>0</v>
      </c>
      <c r="E2344" t="s">
        <v>2355</v>
      </c>
      <c r="F2344" t="s"/>
      <c r="G2344" t="s"/>
      <c r="H2344" t="s"/>
      <c r="I2344" t="s"/>
      <c r="J2344" t="n">
        <v>0.5994</v>
      </c>
      <c r="K2344" t="n">
        <v>0</v>
      </c>
      <c r="L2344" t="n">
        <v>0.804</v>
      </c>
      <c r="M2344" t="n">
        <v>0.196</v>
      </c>
    </row>
    <row r="2345" spans="1:13">
      <c r="A2345" s="1">
        <f>HYPERLINK("http://www.twitter.com/NathanBLawrence/status/980177114036146178", "980177114036146178")</f>
        <v/>
      </c>
      <c r="B2345" s="2" t="n">
        <v>43190.84501157407</v>
      </c>
      <c r="C2345" t="n">
        <v>1</v>
      </c>
      <c r="D2345" t="n">
        <v>0</v>
      </c>
      <c r="E2345" t="s">
        <v>2356</v>
      </c>
      <c r="F2345" t="s"/>
      <c r="G2345" t="s"/>
      <c r="H2345" t="s"/>
      <c r="I2345" t="s"/>
      <c r="J2345" t="n">
        <v>0.5994</v>
      </c>
      <c r="K2345" t="n">
        <v>0.066</v>
      </c>
      <c r="L2345" t="n">
        <v>0.765</v>
      </c>
      <c r="M2345" t="n">
        <v>0.169</v>
      </c>
    </row>
    <row r="2346" spans="1:13">
      <c r="A2346" s="1">
        <f>HYPERLINK("http://www.twitter.com/NathanBLawrence/status/980171897622159360", "980171897622159360")</f>
        <v/>
      </c>
      <c r="B2346" s="2" t="n">
        <v>43190.83061342593</v>
      </c>
      <c r="C2346" t="n">
        <v>0</v>
      </c>
      <c r="D2346" t="n">
        <v>2</v>
      </c>
      <c r="E2346" t="s">
        <v>2357</v>
      </c>
      <c r="F2346" t="s"/>
      <c r="G2346" t="s"/>
      <c r="H2346" t="s"/>
      <c r="I2346" t="s"/>
      <c r="J2346" t="n">
        <v>-0.7034</v>
      </c>
      <c r="K2346" t="n">
        <v>0.203</v>
      </c>
      <c r="L2346" t="n">
        <v>0.797</v>
      </c>
      <c r="M2346" t="n">
        <v>0</v>
      </c>
    </row>
    <row r="2347" spans="1:13">
      <c r="A2347" s="1">
        <f>HYPERLINK("http://www.twitter.com/NathanBLawrence/status/980171698413670400", "980171698413670400")</f>
        <v/>
      </c>
      <c r="B2347" s="2" t="n">
        <v>43190.83006944445</v>
      </c>
      <c r="C2347" t="n">
        <v>0</v>
      </c>
      <c r="D2347" t="n">
        <v>0</v>
      </c>
      <c r="E2347" t="s">
        <v>2358</v>
      </c>
      <c r="F2347" t="s"/>
      <c r="G2347" t="s"/>
      <c r="H2347" t="s"/>
      <c r="I2347" t="s"/>
      <c r="J2347" t="n">
        <v>-0.7184</v>
      </c>
      <c r="K2347" t="n">
        <v>0.171</v>
      </c>
      <c r="L2347" t="n">
        <v>0.829</v>
      </c>
      <c r="M2347" t="n">
        <v>0</v>
      </c>
    </row>
    <row r="2348" spans="1:13">
      <c r="A2348" s="1">
        <f>HYPERLINK("http://www.twitter.com/NathanBLawrence/status/980170427787022336", "980170427787022336")</f>
        <v/>
      </c>
      <c r="B2348" s="2" t="n">
        <v>43190.8265625</v>
      </c>
      <c r="C2348" t="n">
        <v>2</v>
      </c>
      <c r="D2348" t="n">
        <v>0</v>
      </c>
      <c r="E2348" t="s">
        <v>2359</v>
      </c>
      <c r="F2348" t="s"/>
      <c r="G2348" t="s"/>
      <c r="H2348" t="s"/>
      <c r="I2348" t="s"/>
      <c r="J2348" t="n">
        <v>0.765</v>
      </c>
      <c r="K2348" t="n">
        <v>0.041</v>
      </c>
      <c r="L2348" t="n">
        <v>0.796</v>
      </c>
      <c r="M2348" t="n">
        <v>0.163</v>
      </c>
    </row>
    <row r="2349" spans="1:13">
      <c r="A2349" s="1">
        <f>HYPERLINK("http://www.twitter.com/NathanBLawrence/status/980169519699255296", "980169519699255296")</f>
        <v/>
      </c>
      <c r="B2349" s="2" t="n">
        <v>43190.82405092593</v>
      </c>
      <c r="C2349" t="n">
        <v>2</v>
      </c>
      <c r="D2349" t="n">
        <v>0</v>
      </c>
      <c r="E2349" t="s">
        <v>2360</v>
      </c>
      <c r="F2349" t="s"/>
      <c r="G2349" t="s"/>
      <c r="H2349" t="s"/>
      <c r="I2349" t="s"/>
      <c r="J2349" t="n">
        <v>-0.9578</v>
      </c>
      <c r="K2349" t="n">
        <v>0.278</v>
      </c>
      <c r="L2349" t="n">
        <v>0.722</v>
      </c>
      <c r="M2349" t="n">
        <v>0</v>
      </c>
    </row>
    <row r="2350" spans="1:13">
      <c r="A2350" s="1">
        <f>HYPERLINK("http://www.twitter.com/NathanBLawrence/status/980162752349200386", "980162752349200386")</f>
        <v/>
      </c>
      <c r="B2350" s="2" t="n">
        <v>43190.80538194445</v>
      </c>
      <c r="C2350" t="n">
        <v>2</v>
      </c>
      <c r="D2350" t="n">
        <v>0</v>
      </c>
      <c r="E2350" t="s">
        <v>2361</v>
      </c>
      <c r="F2350" t="s"/>
      <c r="G2350" t="s"/>
      <c r="H2350" t="s"/>
      <c r="I2350" t="s"/>
      <c r="J2350" t="n">
        <v>0.296</v>
      </c>
      <c r="K2350" t="n">
        <v>0</v>
      </c>
      <c r="L2350" t="n">
        <v>0.82</v>
      </c>
      <c r="M2350" t="n">
        <v>0.18</v>
      </c>
    </row>
    <row r="2351" spans="1:13">
      <c r="A2351" s="1">
        <f>HYPERLINK("http://www.twitter.com/NathanBLawrence/status/980153144901595139", "980153144901595139")</f>
        <v/>
      </c>
      <c r="B2351" s="2" t="n">
        <v>43190.77886574074</v>
      </c>
      <c r="C2351" t="n">
        <v>0</v>
      </c>
      <c r="D2351" t="n">
        <v>0</v>
      </c>
      <c r="E2351" t="s">
        <v>2362</v>
      </c>
      <c r="F2351" t="s"/>
      <c r="G2351" t="s"/>
      <c r="H2351" t="s"/>
      <c r="I2351" t="s"/>
      <c r="J2351" t="n">
        <v>0.7351</v>
      </c>
      <c r="K2351" t="n">
        <v>0</v>
      </c>
      <c r="L2351" t="n">
        <v>0.5629999999999999</v>
      </c>
      <c r="M2351" t="n">
        <v>0.437</v>
      </c>
    </row>
    <row r="2352" spans="1:13">
      <c r="A2352" s="1">
        <f>HYPERLINK("http://www.twitter.com/NathanBLawrence/status/980152476216315905", "980152476216315905")</f>
        <v/>
      </c>
      <c r="B2352" s="2" t="n">
        <v>43190.77702546296</v>
      </c>
      <c r="C2352" t="n">
        <v>3</v>
      </c>
      <c r="D2352" t="n">
        <v>0</v>
      </c>
      <c r="E2352" t="s">
        <v>2363</v>
      </c>
      <c r="F2352" t="s"/>
      <c r="G2352" t="s"/>
      <c r="H2352" t="s"/>
      <c r="I2352" t="s"/>
      <c r="J2352" t="n">
        <v>0.5242</v>
      </c>
      <c r="K2352" t="n">
        <v>0</v>
      </c>
      <c r="L2352" t="n">
        <v>0.881</v>
      </c>
      <c r="M2352" t="n">
        <v>0.119</v>
      </c>
    </row>
    <row r="2353" spans="1:13">
      <c r="A2353" s="1">
        <f>HYPERLINK("http://www.twitter.com/NathanBLawrence/status/980150908599328768", "980150908599328768")</f>
        <v/>
      </c>
      <c r="B2353" s="2" t="n">
        <v>43190.77269675926</v>
      </c>
      <c r="C2353" t="n">
        <v>1</v>
      </c>
      <c r="D2353" t="n">
        <v>1</v>
      </c>
      <c r="E2353" t="s">
        <v>2364</v>
      </c>
      <c r="F2353">
        <f>HYPERLINK("http://pbs.twimg.com/media/DZoyCy_VwAAbgzo.jpg", "http://pbs.twimg.com/media/DZoyCy_VwAAbgzo.jpg")</f>
        <v/>
      </c>
      <c r="G2353" t="s"/>
      <c r="H2353" t="s"/>
      <c r="I2353" t="s"/>
      <c r="J2353" t="n">
        <v>0</v>
      </c>
      <c r="K2353" t="n">
        <v>0</v>
      </c>
      <c r="L2353" t="n">
        <v>1</v>
      </c>
      <c r="M2353" t="n">
        <v>0</v>
      </c>
    </row>
    <row r="2354" spans="1:13">
      <c r="A2354" s="1">
        <f>HYPERLINK("http://www.twitter.com/NathanBLawrence/status/980141277286105089", "980141277286105089")</f>
        <v/>
      </c>
      <c r="B2354" s="2" t="n">
        <v>43190.74612268519</v>
      </c>
      <c r="C2354" t="n">
        <v>0</v>
      </c>
      <c r="D2354" t="n">
        <v>0</v>
      </c>
      <c r="E2354" t="s">
        <v>2365</v>
      </c>
      <c r="F2354" t="s"/>
      <c r="G2354" t="s"/>
      <c r="H2354" t="s"/>
      <c r="I2354" t="s"/>
      <c r="J2354" t="n">
        <v>0</v>
      </c>
      <c r="K2354" t="n">
        <v>0</v>
      </c>
      <c r="L2354" t="n">
        <v>1</v>
      </c>
      <c r="M2354" t="n">
        <v>0</v>
      </c>
    </row>
    <row r="2355" spans="1:13">
      <c r="A2355" s="1">
        <f>HYPERLINK("http://www.twitter.com/NathanBLawrence/status/980140962625200128", "980140962625200128")</f>
        <v/>
      </c>
      <c r="B2355" s="2" t="n">
        <v>43190.74525462963</v>
      </c>
      <c r="C2355" t="n">
        <v>1</v>
      </c>
      <c r="D2355" t="n">
        <v>0</v>
      </c>
      <c r="E2355" t="s">
        <v>2366</v>
      </c>
      <c r="F2355" t="s"/>
      <c r="G2355" t="s"/>
      <c r="H2355" t="s"/>
      <c r="I2355" t="s"/>
      <c r="J2355" t="n">
        <v>0.3382</v>
      </c>
      <c r="K2355" t="n">
        <v>0</v>
      </c>
      <c r="L2355" t="n">
        <v>0.676</v>
      </c>
      <c r="M2355" t="n">
        <v>0.324</v>
      </c>
    </row>
    <row r="2356" spans="1:13">
      <c r="A2356" s="1">
        <f>HYPERLINK("http://www.twitter.com/NathanBLawrence/status/980140630302216193", "980140630302216193")</f>
        <v/>
      </c>
      <c r="B2356" s="2" t="n">
        <v>43190.74434027778</v>
      </c>
      <c r="C2356" t="n">
        <v>0</v>
      </c>
      <c r="D2356" t="n">
        <v>0</v>
      </c>
      <c r="E2356" t="s">
        <v>2367</v>
      </c>
      <c r="F2356" t="s"/>
      <c r="G2356" t="s"/>
      <c r="H2356" t="s"/>
      <c r="I2356" t="s"/>
      <c r="J2356" t="n">
        <v>0.6597</v>
      </c>
      <c r="K2356" t="n">
        <v>0</v>
      </c>
      <c r="L2356" t="n">
        <v>0.779</v>
      </c>
      <c r="M2356" t="n">
        <v>0.221</v>
      </c>
    </row>
    <row r="2357" spans="1:13">
      <c r="A2357" s="1">
        <f>HYPERLINK("http://www.twitter.com/NathanBLawrence/status/980140017959034881", "980140017959034881")</f>
        <v/>
      </c>
      <c r="B2357" s="2" t="n">
        <v>43190.74265046296</v>
      </c>
      <c r="C2357" t="n">
        <v>0</v>
      </c>
      <c r="D2357" t="n">
        <v>0</v>
      </c>
      <c r="E2357" t="s">
        <v>2368</v>
      </c>
      <c r="F2357" t="s"/>
      <c r="G2357" t="s"/>
      <c r="H2357" t="s"/>
      <c r="I2357" t="s"/>
      <c r="J2357" t="n">
        <v>-0.128</v>
      </c>
      <c r="K2357" t="n">
        <v>0.316</v>
      </c>
      <c r="L2357" t="n">
        <v>0.421</v>
      </c>
      <c r="M2357" t="n">
        <v>0.263</v>
      </c>
    </row>
    <row r="2358" spans="1:13">
      <c r="A2358" s="1">
        <f>HYPERLINK("http://www.twitter.com/NathanBLawrence/status/980118266671755265", "980118266671755265")</f>
        <v/>
      </c>
      <c r="B2358" s="2" t="n">
        <v>43190.68262731482</v>
      </c>
      <c r="C2358" t="n">
        <v>2</v>
      </c>
      <c r="D2358" t="n">
        <v>0</v>
      </c>
      <c r="E2358" t="s">
        <v>2369</v>
      </c>
      <c r="F2358" t="s"/>
      <c r="G2358" t="s"/>
      <c r="H2358" t="s"/>
      <c r="I2358" t="s"/>
      <c r="J2358" t="n">
        <v>0</v>
      </c>
      <c r="K2358" t="n">
        <v>0</v>
      </c>
      <c r="L2358" t="n">
        <v>1</v>
      </c>
      <c r="M2358" t="n">
        <v>0</v>
      </c>
    </row>
    <row r="2359" spans="1:13">
      <c r="A2359" s="1">
        <f>HYPERLINK("http://www.twitter.com/NathanBLawrence/status/980117475898601472", "980117475898601472")</f>
        <v/>
      </c>
      <c r="B2359" s="2" t="n">
        <v>43190.68043981482</v>
      </c>
      <c r="C2359" t="n">
        <v>0</v>
      </c>
      <c r="D2359" t="n">
        <v>0</v>
      </c>
      <c r="E2359" t="s">
        <v>2370</v>
      </c>
      <c r="F2359" t="s"/>
      <c r="G2359" t="s"/>
      <c r="H2359" t="s"/>
      <c r="I2359" t="s"/>
      <c r="J2359" t="n">
        <v>0</v>
      </c>
      <c r="K2359" t="n">
        <v>0</v>
      </c>
      <c r="L2359" t="n">
        <v>1</v>
      </c>
      <c r="M2359" t="n">
        <v>0</v>
      </c>
    </row>
    <row r="2360" spans="1:13">
      <c r="A2360" s="1">
        <f>HYPERLINK("http://www.twitter.com/NathanBLawrence/status/980115940821164032", "980115940821164032")</f>
        <v/>
      </c>
      <c r="B2360" s="2" t="n">
        <v>43190.6762037037</v>
      </c>
      <c r="C2360" t="n">
        <v>0</v>
      </c>
      <c r="D2360" t="n">
        <v>0</v>
      </c>
      <c r="E2360" t="s">
        <v>2371</v>
      </c>
      <c r="F2360" t="s"/>
      <c r="G2360" t="s"/>
      <c r="H2360" t="s"/>
      <c r="I2360" t="s"/>
      <c r="J2360" t="n">
        <v>0</v>
      </c>
      <c r="K2360" t="n">
        <v>0</v>
      </c>
      <c r="L2360" t="n">
        <v>1</v>
      </c>
      <c r="M2360" t="n">
        <v>0</v>
      </c>
    </row>
    <row r="2361" spans="1:13">
      <c r="A2361" s="1">
        <f>HYPERLINK("http://www.twitter.com/NathanBLawrence/status/980115579976679425", "980115579976679425")</f>
        <v/>
      </c>
      <c r="B2361" s="2" t="n">
        <v>43190.67520833333</v>
      </c>
      <c r="C2361" t="n">
        <v>0</v>
      </c>
      <c r="D2361" t="n">
        <v>2</v>
      </c>
      <c r="E2361" t="s">
        <v>2372</v>
      </c>
      <c r="F2361" t="s"/>
      <c r="G2361" t="s"/>
      <c r="H2361" t="s"/>
      <c r="I2361" t="s"/>
      <c r="J2361" t="n">
        <v>0</v>
      </c>
      <c r="K2361" t="n">
        <v>0</v>
      </c>
      <c r="L2361" t="n">
        <v>1</v>
      </c>
      <c r="M2361" t="n">
        <v>0</v>
      </c>
    </row>
    <row r="2362" spans="1:13">
      <c r="A2362" s="1">
        <f>HYPERLINK("http://www.twitter.com/NathanBLawrence/status/980115542479601665", "980115542479601665")</f>
        <v/>
      </c>
      <c r="B2362" s="2" t="n">
        <v>43190.67510416666</v>
      </c>
      <c r="C2362" t="n">
        <v>0</v>
      </c>
      <c r="D2362" t="n">
        <v>0</v>
      </c>
      <c r="E2362" t="s">
        <v>2373</v>
      </c>
      <c r="F2362" t="s"/>
      <c r="G2362" t="s"/>
      <c r="H2362" t="s"/>
      <c r="I2362" t="s"/>
      <c r="J2362" t="n">
        <v>-0.3076</v>
      </c>
      <c r="K2362" t="n">
        <v>0.189</v>
      </c>
      <c r="L2362" t="n">
        <v>0.6830000000000001</v>
      </c>
      <c r="M2362" t="n">
        <v>0.128</v>
      </c>
    </row>
    <row r="2363" spans="1:13">
      <c r="A2363" s="1">
        <f>HYPERLINK("http://www.twitter.com/NathanBLawrence/status/980115186551009281", "980115186551009281")</f>
        <v/>
      </c>
      <c r="B2363" s="2" t="n">
        <v>43190.67412037037</v>
      </c>
      <c r="C2363" t="n">
        <v>0</v>
      </c>
      <c r="D2363" t="n">
        <v>0</v>
      </c>
      <c r="E2363" t="s">
        <v>2374</v>
      </c>
      <c r="F2363" t="s"/>
      <c r="G2363" t="s"/>
      <c r="H2363" t="s"/>
      <c r="I2363" t="s"/>
      <c r="J2363" t="n">
        <v>0</v>
      </c>
      <c r="K2363" t="n">
        <v>0</v>
      </c>
      <c r="L2363" t="n">
        <v>1</v>
      </c>
      <c r="M2363" t="n">
        <v>0</v>
      </c>
    </row>
    <row r="2364" spans="1:13">
      <c r="A2364" s="1">
        <f>HYPERLINK("http://www.twitter.com/NathanBLawrence/status/980114408532856833", "980114408532856833")</f>
        <v/>
      </c>
      <c r="B2364" s="2" t="n">
        <v>43190.67197916667</v>
      </c>
      <c r="C2364" t="n">
        <v>0</v>
      </c>
      <c r="D2364" t="n">
        <v>0</v>
      </c>
      <c r="E2364" t="s">
        <v>2375</v>
      </c>
      <c r="F2364" t="s"/>
      <c r="G2364" t="s"/>
      <c r="H2364" t="s"/>
      <c r="I2364" t="s"/>
      <c r="J2364" t="n">
        <v>0.9337</v>
      </c>
      <c r="K2364" t="n">
        <v>0</v>
      </c>
      <c r="L2364" t="n">
        <v>0.719</v>
      </c>
      <c r="M2364" t="n">
        <v>0.281</v>
      </c>
    </row>
    <row r="2365" spans="1:13">
      <c r="A2365" s="1">
        <f>HYPERLINK("http://www.twitter.com/NathanBLawrence/status/980113382123692032", "980113382123692032")</f>
        <v/>
      </c>
      <c r="B2365" s="2" t="n">
        <v>43190.66914351852</v>
      </c>
      <c r="C2365" t="n">
        <v>3</v>
      </c>
      <c r="D2365" t="n">
        <v>0</v>
      </c>
      <c r="E2365" t="s">
        <v>2376</v>
      </c>
      <c r="F2365" t="s"/>
      <c r="G2365" t="s"/>
      <c r="H2365" t="s"/>
      <c r="I2365" t="s"/>
      <c r="J2365" t="n">
        <v>0.5859</v>
      </c>
      <c r="K2365" t="n">
        <v>0</v>
      </c>
      <c r="L2365" t="n">
        <v>0.844</v>
      </c>
      <c r="M2365" t="n">
        <v>0.156</v>
      </c>
    </row>
    <row r="2366" spans="1:13">
      <c r="A2366" s="1">
        <f>HYPERLINK("http://www.twitter.com/NathanBLawrence/status/980112933555499008", "980112933555499008")</f>
        <v/>
      </c>
      <c r="B2366" s="2" t="n">
        <v>43190.6679050926</v>
      </c>
      <c r="C2366" t="n">
        <v>0</v>
      </c>
      <c r="D2366" t="n">
        <v>0</v>
      </c>
      <c r="E2366" t="s">
        <v>2377</v>
      </c>
      <c r="F2366" t="s"/>
      <c r="G2366" t="s"/>
      <c r="H2366" t="s"/>
      <c r="I2366" t="s"/>
      <c r="J2366" t="n">
        <v>-0.4753</v>
      </c>
      <c r="K2366" t="n">
        <v>0.176</v>
      </c>
      <c r="L2366" t="n">
        <v>0.71</v>
      </c>
      <c r="M2366" t="n">
        <v>0.114</v>
      </c>
    </row>
    <row r="2367" spans="1:13">
      <c r="A2367" s="1">
        <f>HYPERLINK("http://www.twitter.com/NathanBLawrence/status/980111804620779525", "980111804620779525")</f>
        <v/>
      </c>
      <c r="B2367" s="2" t="n">
        <v>43190.66479166667</v>
      </c>
      <c r="C2367" t="n">
        <v>0</v>
      </c>
      <c r="D2367" t="n">
        <v>0</v>
      </c>
      <c r="E2367" t="s">
        <v>2378</v>
      </c>
      <c r="F2367" t="s"/>
      <c r="G2367" t="s"/>
      <c r="H2367" t="s"/>
      <c r="I2367" t="s"/>
      <c r="J2367" t="n">
        <v>0</v>
      </c>
      <c r="K2367" t="n">
        <v>0</v>
      </c>
      <c r="L2367" t="n">
        <v>1</v>
      </c>
      <c r="M2367" t="n">
        <v>0</v>
      </c>
    </row>
    <row r="2368" spans="1:13">
      <c r="A2368" s="1">
        <f>HYPERLINK("http://www.twitter.com/NathanBLawrence/status/980096920705224704", "980096920705224704")</f>
        <v/>
      </c>
      <c r="B2368" s="2" t="n">
        <v>43190.62371527778</v>
      </c>
      <c r="C2368" t="n">
        <v>3</v>
      </c>
      <c r="D2368" t="n">
        <v>0</v>
      </c>
      <c r="E2368" t="s">
        <v>2379</v>
      </c>
      <c r="F2368" t="s"/>
      <c r="G2368" t="s"/>
      <c r="H2368" t="s"/>
      <c r="I2368" t="s"/>
      <c r="J2368" t="n">
        <v>0</v>
      </c>
      <c r="K2368" t="n">
        <v>0</v>
      </c>
      <c r="L2368" t="n">
        <v>1</v>
      </c>
      <c r="M2368" t="n">
        <v>0</v>
      </c>
    </row>
    <row r="2369" spans="1:13">
      <c r="A2369" s="1">
        <f>HYPERLINK("http://www.twitter.com/NathanBLawrence/status/980065858176380934", "980065858176380934")</f>
        <v/>
      </c>
      <c r="B2369" s="2" t="n">
        <v>43190.53799768518</v>
      </c>
      <c r="C2369" t="n">
        <v>0</v>
      </c>
      <c r="D2369" t="n">
        <v>0</v>
      </c>
      <c r="E2369" t="s">
        <v>2380</v>
      </c>
      <c r="F2369">
        <f>HYPERLINK("http://pbs.twimg.com/media/DZnksinVoAAU6E3.jpg", "http://pbs.twimg.com/media/DZnksinVoAAU6E3.jpg")</f>
        <v/>
      </c>
      <c r="G2369" t="s"/>
      <c r="H2369" t="s"/>
      <c r="I2369" t="s"/>
      <c r="J2369" t="n">
        <v>-0.6705</v>
      </c>
      <c r="K2369" t="n">
        <v>0.175</v>
      </c>
      <c r="L2369" t="n">
        <v>0.757</v>
      </c>
      <c r="M2369" t="n">
        <v>0.06900000000000001</v>
      </c>
    </row>
    <row r="2370" spans="1:13">
      <c r="A2370" s="1">
        <f>HYPERLINK("http://www.twitter.com/NathanBLawrence/status/980065331208126464", "980065331208126464")</f>
        <v/>
      </c>
      <c r="B2370" s="2" t="n">
        <v>43190.53655092593</v>
      </c>
      <c r="C2370" t="n">
        <v>0</v>
      </c>
      <c r="D2370" t="n">
        <v>0</v>
      </c>
      <c r="E2370" t="s">
        <v>2381</v>
      </c>
      <c r="F2370" t="s"/>
      <c r="G2370" t="s"/>
      <c r="H2370" t="s"/>
      <c r="I2370" t="s"/>
      <c r="J2370" t="n">
        <v>-0.6808</v>
      </c>
      <c r="K2370" t="n">
        <v>0.365</v>
      </c>
      <c r="L2370" t="n">
        <v>0.5</v>
      </c>
      <c r="M2370" t="n">
        <v>0.135</v>
      </c>
    </row>
    <row r="2371" spans="1:13">
      <c r="A2371" s="1">
        <f>HYPERLINK("http://www.twitter.com/NathanBLawrence/status/980064371425595393", "980064371425595393")</f>
        <v/>
      </c>
      <c r="B2371" s="2" t="n">
        <v>43190.53390046296</v>
      </c>
      <c r="C2371" t="n">
        <v>2</v>
      </c>
      <c r="D2371" t="n">
        <v>2</v>
      </c>
      <c r="E2371" t="s">
        <v>2382</v>
      </c>
      <c r="F2371" t="s"/>
      <c r="G2371" t="s"/>
      <c r="H2371" t="s"/>
      <c r="I2371" t="s"/>
      <c r="J2371" t="n">
        <v>-0.0572</v>
      </c>
      <c r="K2371" t="n">
        <v>0.064</v>
      </c>
      <c r="L2371" t="n">
        <v>0.9360000000000001</v>
      </c>
      <c r="M2371" t="n">
        <v>0</v>
      </c>
    </row>
    <row r="2372" spans="1:13">
      <c r="A2372" s="1">
        <f>HYPERLINK("http://www.twitter.com/NathanBLawrence/status/980061664824516609", "980061664824516609")</f>
        <v/>
      </c>
      <c r="B2372" s="2" t="n">
        <v>43190.52643518519</v>
      </c>
      <c r="C2372" t="n">
        <v>5</v>
      </c>
      <c r="D2372" t="n">
        <v>0</v>
      </c>
      <c r="E2372" t="s">
        <v>2383</v>
      </c>
      <c r="F2372" t="s"/>
      <c r="G2372" t="s"/>
      <c r="H2372" t="s"/>
      <c r="I2372" t="s"/>
      <c r="J2372" t="n">
        <v>0.8442</v>
      </c>
      <c r="K2372" t="n">
        <v>0</v>
      </c>
      <c r="L2372" t="n">
        <v>0.748</v>
      </c>
      <c r="M2372" t="n">
        <v>0.252</v>
      </c>
    </row>
    <row r="2373" spans="1:13">
      <c r="A2373" s="1">
        <f>HYPERLINK("http://www.twitter.com/NathanBLawrence/status/979955299590328320", "979955299590328320")</f>
        <v/>
      </c>
      <c r="B2373" s="2" t="n">
        <v>43190.23291666667</v>
      </c>
      <c r="C2373" t="n">
        <v>0</v>
      </c>
      <c r="D2373" t="n">
        <v>1550</v>
      </c>
      <c r="E2373" t="s">
        <v>2384</v>
      </c>
      <c r="F2373" t="s"/>
      <c r="G2373" t="s"/>
      <c r="H2373" t="s"/>
      <c r="I2373" t="s"/>
      <c r="J2373" t="n">
        <v>-0.128</v>
      </c>
      <c r="K2373" t="n">
        <v>0.127</v>
      </c>
      <c r="L2373" t="n">
        <v>0.727</v>
      </c>
      <c r="M2373" t="n">
        <v>0.145</v>
      </c>
    </row>
    <row r="2374" spans="1:13">
      <c r="A2374" s="1">
        <f>HYPERLINK("http://www.twitter.com/NathanBLawrence/status/979955022657216513", "979955022657216513")</f>
        <v/>
      </c>
      <c r="B2374" s="2" t="n">
        <v>43190.23215277777</v>
      </c>
      <c r="C2374" t="n">
        <v>0</v>
      </c>
      <c r="D2374" t="n">
        <v>5</v>
      </c>
      <c r="E2374" t="s">
        <v>2385</v>
      </c>
      <c r="F2374" t="s"/>
      <c r="G2374" t="s"/>
      <c r="H2374" t="s"/>
      <c r="I2374" t="s"/>
      <c r="J2374" t="n">
        <v>0</v>
      </c>
      <c r="K2374" t="n">
        <v>0</v>
      </c>
      <c r="L2374" t="n">
        <v>1</v>
      </c>
      <c r="M2374" t="n">
        <v>0</v>
      </c>
    </row>
    <row r="2375" spans="1:13">
      <c r="A2375" s="1">
        <f>HYPERLINK("http://www.twitter.com/NathanBLawrence/status/979954527435722752", "979954527435722752")</f>
        <v/>
      </c>
      <c r="B2375" s="2" t="n">
        <v>43190.23078703704</v>
      </c>
      <c r="C2375" t="n">
        <v>1</v>
      </c>
      <c r="D2375" t="n">
        <v>1</v>
      </c>
      <c r="E2375" t="s">
        <v>2386</v>
      </c>
      <c r="F2375" t="s"/>
      <c r="G2375" t="s"/>
      <c r="H2375" t="s"/>
      <c r="I2375" t="s"/>
      <c r="J2375" t="n">
        <v>-0.5562</v>
      </c>
      <c r="K2375" t="n">
        <v>0.31</v>
      </c>
      <c r="L2375" t="n">
        <v>0.6899999999999999</v>
      </c>
      <c r="M2375" t="n">
        <v>0</v>
      </c>
    </row>
    <row r="2376" spans="1:13">
      <c r="A2376" s="1">
        <f>HYPERLINK("http://www.twitter.com/NathanBLawrence/status/979864458171428864", "979864458171428864")</f>
        <v/>
      </c>
      <c r="B2376" s="2" t="n">
        <v>43189.98224537037</v>
      </c>
      <c r="C2376" t="n">
        <v>0</v>
      </c>
      <c r="D2376" t="n">
        <v>2</v>
      </c>
      <c r="E2376" t="s">
        <v>2387</v>
      </c>
      <c r="F2376" t="s"/>
      <c r="G2376" t="s"/>
      <c r="H2376" t="s"/>
      <c r="I2376" t="s"/>
      <c r="J2376" t="n">
        <v>0.7163</v>
      </c>
      <c r="K2376" t="n">
        <v>0</v>
      </c>
      <c r="L2376" t="n">
        <v>0.774</v>
      </c>
      <c r="M2376" t="n">
        <v>0.226</v>
      </c>
    </row>
    <row r="2377" spans="1:13">
      <c r="A2377" s="1">
        <f>HYPERLINK("http://www.twitter.com/NathanBLawrence/status/979856416944066561", "979856416944066561")</f>
        <v/>
      </c>
      <c r="B2377" s="2" t="n">
        <v>43189.96005787037</v>
      </c>
      <c r="C2377" t="n">
        <v>0</v>
      </c>
      <c r="D2377" t="n">
        <v>0</v>
      </c>
      <c r="E2377" t="s">
        <v>2388</v>
      </c>
      <c r="F2377" t="s"/>
      <c r="G2377" t="s"/>
      <c r="H2377" t="s"/>
      <c r="I2377" t="s"/>
      <c r="J2377" t="n">
        <v>0.7944</v>
      </c>
      <c r="K2377" t="n">
        <v>0.031</v>
      </c>
      <c r="L2377" t="n">
        <v>0.759</v>
      </c>
      <c r="M2377" t="n">
        <v>0.21</v>
      </c>
    </row>
    <row r="2378" spans="1:13">
      <c r="A2378" s="1">
        <f>HYPERLINK("http://www.twitter.com/NathanBLawrence/status/979855918530785283", "979855918530785283")</f>
        <v/>
      </c>
      <c r="B2378" s="2" t="n">
        <v>43189.95868055556</v>
      </c>
      <c r="C2378" t="n">
        <v>0</v>
      </c>
      <c r="D2378" t="n">
        <v>0</v>
      </c>
      <c r="E2378" t="s">
        <v>2389</v>
      </c>
      <c r="F2378" t="s"/>
      <c r="G2378" t="s"/>
      <c r="H2378" t="s"/>
      <c r="I2378" t="s"/>
      <c r="J2378" t="n">
        <v>0</v>
      </c>
      <c r="K2378" t="n">
        <v>0</v>
      </c>
      <c r="L2378" t="n">
        <v>1</v>
      </c>
      <c r="M2378" t="n">
        <v>0</v>
      </c>
    </row>
    <row r="2379" spans="1:13">
      <c r="A2379" s="1">
        <f>HYPERLINK("http://www.twitter.com/NathanBLawrence/status/979855686640205829", "979855686640205829")</f>
        <v/>
      </c>
      <c r="B2379" s="2" t="n">
        <v>43189.95804398148</v>
      </c>
      <c r="C2379" t="n">
        <v>0</v>
      </c>
      <c r="D2379" t="n">
        <v>3028</v>
      </c>
      <c r="E2379" t="s">
        <v>2390</v>
      </c>
      <c r="F2379" t="s"/>
      <c r="G2379" t="s"/>
      <c r="H2379" t="s"/>
      <c r="I2379" t="s"/>
      <c r="J2379" t="n">
        <v>0</v>
      </c>
      <c r="K2379" t="n">
        <v>0</v>
      </c>
      <c r="L2379" t="n">
        <v>1</v>
      </c>
      <c r="M2379" t="n">
        <v>0</v>
      </c>
    </row>
    <row r="2380" spans="1:13">
      <c r="A2380" s="1">
        <f>HYPERLINK("http://www.twitter.com/NathanBLawrence/status/979855488517947392", "979855488517947392")</f>
        <v/>
      </c>
      <c r="B2380" s="2" t="n">
        <v>43189.95748842593</v>
      </c>
      <c r="C2380" t="n">
        <v>0</v>
      </c>
      <c r="D2380" t="n">
        <v>583</v>
      </c>
      <c r="E2380" t="s">
        <v>2391</v>
      </c>
      <c r="F2380" t="s"/>
      <c r="G2380" t="s"/>
      <c r="H2380" t="s"/>
      <c r="I2380" t="s"/>
      <c r="J2380" t="n">
        <v>0.3612</v>
      </c>
      <c r="K2380" t="n">
        <v>0</v>
      </c>
      <c r="L2380" t="n">
        <v>0.898</v>
      </c>
      <c r="M2380" t="n">
        <v>0.102</v>
      </c>
    </row>
    <row r="2381" spans="1:13">
      <c r="A2381" s="1">
        <f>HYPERLINK("http://www.twitter.com/NathanBLawrence/status/979855266945622016", "979855266945622016")</f>
        <v/>
      </c>
      <c r="B2381" s="2" t="n">
        <v>43189.95688657407</v>
      </c>
      <c r="C2381" t="n">
        <v>0</v>
      </c>
      <c r="D2381" t="n">
        <v>3</v>
      </c>
      <c r="E2381" t="s">
        <v>2392</v>
      </c>
      <c r="F2381" t="s"/>
      <c r="G2381" t="s"/>
      <c r="H2381" t="s"/>
      <c r="I2381" t="s"/>
      <c r="J2381" t="n">
        <v>-0.0772</v>
      </c>
      <c r="K2381" t="n">
        <v>0.205</v>
      </c>
      <c r="L2381" t="n">
        <v>0.602</v>
      </c>
      <c r="M2381" t="n">
        <v>0.193</v>
      </c>
    </row>
    <row r="2382" spans="1:13">
      <c r="A2382" s="1">
        <f>HYPERLINK("http://www.twitter.com/NathanBLawrence/status/979854635543531521", "979854635543531521")</f>
        <v/>
      </c>
      <c r="B2382" s="2" t="n">
        <v>43189.95513888889</v>
      </c>
      <c r="C2382" t="n">
        <v>0</v>
      </c>
      <c r="D2382" t="n">
        <v>1841</v>
      </c>
      <c r="E2382" t="s">
        <v>2393</v>
      </c>
      <c r="F2382">
        <f>HYPERLINK("http://pbs.twimg.com/media/DZednWrVMAAyYIn.jpg", "http://pbs.twimg.com/media/DZednWrVMAAyYIn.jpg")</f>
        <v/>
      </c>
      <c r="G2382">
        <f>HYPERLINK("http://pbs.twimg.com/media/DZednWqU0AA3Ln5.jpg", "http://pbs.twimg.com/media/DZednWqU0AA3Ln5.jpg")</f>
        <v/>
      </c>
      <c r="H2382" t="s"/>
      <c r="I2382" t="s"/>
      <c r="J2382" t="n">
        <v>0.6705</v>
      </c>
      <c r="K2382" t="n">
        <v>0</v>
      </c>
      <c r="L2382" t="n">
        <v>0.593</v>
      </c>
      <c r="M2382" t="n">
        <v>0.407</v>
      </c>
    </row>
    <row r="2383" spans="1:13">
      <c r="A2383" s="1">
        <f>HYPERLINK("http://www.twitter.com/NathanBLawrence/status/979854350175625217", "979854350175625217")</f>
        <v/>
      </c>
      <c r="B2383" s="2" t="n">
        <v>43189.95435185185</v>
      </c>
      <c r="C2383" t="n">
        <v>0</v>
      </c>
      <c r="D2383" t="n">
        <v>0</v>
      </c>
      <c r="E2383" t="s">
        <v>2394</v>
      </c>
      <c r="F2383" t="s"/>
      <c r="G2383" t="s"/>
      <c r="H2383" t="s"/>
      <c r="I2383" t="s"/>
      <c r="J2383" t="n">
        <v>0.5574</v>
      </c>
      <c r="K2383" t="n">
        <v>0</v>
      </c>
      <c r="L2383" t="n">
        <v>0.455</v>
      </c>
      <c r="M2383" t="n">
        <v>0.545</v>
      </c>
    </row>
    <row r="2384" spans="1:13">
      <c r="A2384" s="1">
        <f>HYPERLINK("http://www.twitter.com/NathanBLawrence/status/979853209664741376", "979853209664741376")</f>
        <v/>
      </c>
      <c r="B2384" s="2" t="n">
        <v>43189.95120370371</v>
      </c>
      <c r="C2384" t="n">
        <v>1</v>
      </c>
      <c r="D2384" t="n">
        <v>0</v>
      </c>
      <c r="E2384" t="s">
        <v>2395</v>
      </c>
      <c r="F2384" t="s"/>
      <c r="G2384" t="s"/>
      <c r="H2384" t="s"/>
      <c r="I2384" t="s"/>
      <c r="J2384" t="n">
        <v>-0.8294</v>
      </c>
      <c r="K2384" t="n">
        <v>0.292</v>
      </c>
      <c r="L2384" t="n">
        <v>0.579</v>
      </c>
      <c r="M2384" t="n">
        <v>0.129</v>
      </c>
    </row>
    <row r="2385" spans="1:13">
      <c r="A2385" s="1">
        <f>HYPERLINK("http://www.twitter.com/NathanBLawrence/status/979833225366376448", "979833225366376448")</f>
        <v/>
      </c>
      <c r="B2385" s="2" t="n">
        <v>43189.89606481481</v>
      </c>
      <c r="C2385" t="n">
        <v>0</v>
      </c>
      <c r="D2385" t="n">
        <v>0</v>
      </c>
      <c r="E2385" t="s">
        <v>2396</v>
      </c>
      <c r="F2385" t="s"/>
      <c r="G2385" t="s"/>
      <c r="H2385" t="s"/>
      <c r="I2385" t="s"/>
      <c r="J2385" t="n">
        <v>0.6124000000000001</v>
      </c>
      <c r="K2385" t="n">
        <v>0</v>
      </c>
      <c r="L2385" t="n">
        <v>0.706</v>
      </c>
      <c r="M2385" t="n">
        <v>0.294</v>
      </c>
    </row>
    <row r="2386" spans="1:13">
      <c r="A2386" s="1">
        <f>HYPERLINK("http://www.twitter.com/NathanBLawrence/status/979831676653199360", "979831676653199360")</f>
        <v/>
      </c>
      <c r="B2386" s="2" t="n">
        <v>43189.89178240741</v>
      </c>
      <c r="C2386" t="n">
        <v>2</v>
      </c>
      <c r="D2386" t="n">
        <v>0</v>
      </c>
      <c r="E2386" t="s">
        <v>2397</v>
      </c>
      <c r="F2386" t="s"/>
      <c r="G2386" t="s"/>
      <c r="H2386" t="s"/>
      <c r="I2386" t="s"/>
      <c r="J2386" t="n">
        <v>0</v>
      </c>
      <c r="K2386" t="n">
        <v>0</v>
      </c>
      <c r="L2386" t="n">
        <v>1</v>
      </c>
      <c r="M2386" t="n">
        <v>0</v>
      </c>
    </row>
    <row r="2387" spans="1:13">
      <c r="A2387" s="1">
        <f>HYPERLINK("http://www.twitter.com/NathanBLawrence/status/979831415897509890", "979831415897509890")</f>
        <v/>
      </c>
      <c r="B2387" s="2" t="n">
        <v>43189.89106481482</v>
      </c>
      <c r="C2387" t="n">
        <v>0</v>
      </c>
      <c r="D2387" t="n">
        <v>0</v>
      </c>
      <c r="E2387" t="s">
        <v>2398</v>
      </c>
      <c r="F2387" t="s"/>
      <c r="G2387" t="s"/>
      <c r="H2387" t="s"/>
      <c r="I2387" t="s"/>
      <c r="J2387" t="n">
        <v>0</v>
      </c>
      <c r="K2387" t="n">
        <v>0</v>
      </c>
      <c r="L2387" t="n">
        <v>1</v>
      </c>
      <c r="M2387" t="n">
        <v>0</v>
      </c>
    </row>
    <row r="2388" spans="1:13">
      <c r="A2388" s="1">
        <f>HYPERLINK("http://www.twitter.com/NathanBLawrence/status/979825600637566982", "979825600637566982")</f>
        <v/>
      </c>
      <c r="B2388" s="2" t="n">
        <v>43189.87502314815</v>
      </c>
      <c r="C2388" t="n">
        <v>1</v>
      </c>
      <c r="D2388" t="n">
        <v>0</v>
      </c>
      <c r="E2388" t="s">
        <v>2399</v>
      </c>
      <c r="F2388" t="s"/>
      <c r="G2388" t="s"/>
      <c r="H2388" t="s"/>
      <c r="I2388" t="s"/>
      <c r="J2388" t="n">
        <v>0.5106000000000001</v>
      </c>
      <c r="K2388" t="n">
        <v>0.037</v>
      </c>
      <c r="L2388" t="n">
        <v>0.861</v>
      </c>
      <c r="M2388" t="n">
        <v>0.102</v>
      </c>
    </row>
    <row r="2389" spans="1:13">
      <c r="A2389" s="1">
        <f>HYPERLINK("http://www.twitter.com/NathanBLawrence/status/979806759756992513", "979806759756992513")</f>
        <v/>
      </c>
      <c r="B2389" s="2" t="n">
        <v>43189.82303240741</v>
      </c>
      <c r="C2389" t="n">
        <v>0</v>
      </c>
      <c r="D2389" t="n">
        <v>0</v>
      </c>
      <c r="E2389" t="s">
        <v>2400</v>
      </c>
      <c r="F2389" t="s"/>
      <c r="G2389" t="s"/>
      <c r="H2389" t="s"/>
      <c r="I2389" t="s"/>
      <c r="J2389" t="n">
        <v>-0.1695</v>
      </c>
      <c r="K2389" t="n">
        <v>0.032</v>
      </c>
      <c r="L2389" t="n">
        <v>0.968</v>
      </c>
      <c r="M2389" t="n">
        <v>0</v>
      </c>
    </row>
    <row r="2390" spans="1:13">
      <c r="A2390" s="1">
        <f>HYPERLINK("http://www.twitter.com/NathanBLawrence/status/979805966454722560", "979805966454722560")</f>
        <v/>
      </c>
      <c r="B2390" s="2" t="n">
        <v>43189.82083333333</v>
      </c>
      <c r="C2390" t="n">
        <v>0</v>
      </c>
      <c r="D2390" t="n">
        <v>0</v>
      </c>
      <c r="E2390" t="s">
        <v>2401</v>
      </c>
      <c r="F2390" t="s"/>
      <c r="G2390" t="s"/>
      <c r="H2390" t="s"/>
      <c r="I2390" t="s"/>
      <c r="J2390" t="n">
        <v>0</v>
      </c>
      <c r="K2390" t="n">
        <v>0</v>
      </c>
      <c r="L2390" t="n">
        <v>1</v>
      </c>
      <c r="M2390" t="n">
        <v>0</v>
      </c>
    </row>
    <row r="2391" spans="1:13">
      <c r="A2391" s="1">
        <f>HYPERLINK("http://www.twitter.com/NathanBLawrence/status/979805296448213001", "979805296448213001")</f>
        <v/>
      </c>
      <c r="B2391" s="2" t="n">
        <v>43189.81899305555</v>
      </c>
      <c r="C2391" t="n">
        <v>0</v>
      </c>
      <c r="D2391" t="n">
        <v>0</v>
      </c>
      <c r="E2391" t="s">
        <v>2402</v>
      </c>
      <c r="F2391" t="s"/>
      <c r="G2391" t="s"/>
      <c r="H2391" t="s"/>
      <c r="I2391" t="s"/>
      <c r="J2391" t="n">
        <v>-0.296</v>
      </c>
      <c r="K2391" t="n">
        <v>0.355</v>
      </c>
      <c r="L2391" t="n">
        <v>0.645</v>
      </c>
      <c r="M2391" t="n">
        <v>0</v>
      </c>
    </row>
    <row r="2392" spans="1:13">
      <c r="A2392" s="1">
        <f>HYPERLINK("http://www.twitter.com/NathanBLawrence/status/979805053384093696", "979805053384093696")</f>
        <v/>
      </c>
      <c r="B2392" s="2" t="n">
        <v>43189.81832175926</v>
      </c>
      <c r="C2392" t="n">
        <v>0</v>
      </c>
      <c r="D2392" t="n">
        <v>4</v>
      </c>
      <c r="E2392" t="s">
        <v>2403</v>
      </c>
      <c r="F2392" t="s"/>
      <c r="G2392" t="s"/>
      <c r="H2392" t="s"/>
      <c r="I2392" t="s"/>
      <c r="J2392" t="n">
        <v>0.6523</v>
      </c>
      <c r="K2392" t="n">
        <v>0</v>
      </c>
      <c r="L2392" t="n">
        <v>0.805</v>
      </c>
      <c r="M2392" t="n">
        <v>0.195</v>
      </c>
    </row>
    <row r="2393" spans="1:13">
      <c r="A2393" s="1">
        <f>HYPERLINK("http://www.twitter.com/NathanBLawrence/status/979803155729960961", "979803155729960961")</f>
        <v/>
      </c>
      <c r="B2393" s="2" t="n">
        <v>43189.8130787037</v>
      </c>
      <c r="C2393" t="n">
        <v>0</v>
      </c>
      <c r="D2393" t="n">
        <v>0</v>
      </c>
      <c r="E2393" t="s">
        <v>2404</v>
      </c>
      <c r="F2393" t="s"/>
      <c r="G2393" t="s"/>
      <c r="H2393" t="s"/>
      <c r="I2393" t="s"/>
      <c r="J2393" t="n">
        <v>-0.5266999999999999</v>
      </c>
      <c r="K2393" t="n">
        <v>0.112</v>
      </c>
      <c r="L2393" t="n">
        <v>0.888</v>
      </c>
      <c r="M2393" t="n">
        <v>0</v>
      </c>
    </row>
    <row r="2394" spans="1:13">
      <c r="A2394" s="1">
        <f>HYPERLINK("http://www.twitter.com/NathanBLawrence/status/979794307031937024", "979794307031937024")</f>
        <v/>
      </c>
      <c r="B2394" s="2" t="n">
        <v>43189.78866898148</v>
      </c>
      <c r="C2394" t="n">
        <v>0</v>
      </c>
      <c r="D2394" t="n">
        <v>88</v>
      </c>
      <c r="E2394" t="s">
        <v>2405</v>
      </c>
      <c r="F2394" t="s"/>
      <c r="G2394" t="s"/>
      <c r="H2394" t="s"/>
      <c r="I2394" t="s"/>
      <c r="J2394" t="n">
        <v>-0.6486</v>
      </c>
      <c r="K2394" t="n">
        <v>0.202</v>
      </c>
      <c r="L2394" t="n">
        <v>0.798</v>
      </c>
      <c r="M2394" t="n">
        <v>0</v>
      </c>
    </row>
    <row r="2395" spans="1:13">
      <c r="A2395" s="1">
        <f>HYPERLINK("http://www.twitter.com/NathanBLawrence/status/979794125951242242", "979794125951242242")</f>
        <v/>
      </c>
      <c r="B2395" s="2" t="n">
        <v>43189.78815972222</v>
      </c>
      <c r="C2395" t="n">
        <v>0</v>
      </c>
      <c r="D2395" t="n">
        <v>0</v>
      </c>
      <c r="E2395" t="s">
        <v>2406</v>
      </c>
      <c r="F2395" t="s"/>
      <c r="G2395" t="s"/>
      <c r="H2395" t="s"/>
      <c r="I2395" t="s"/>
      <c r="J2395" t="n">
        <v>0.3412</v>
      </c>
      <c r="K2395" t="n">
        <v>0</v>
      </c>
      <c r="L2395" t="n">
        <v>0.844</v>
      </c>
      <c r="M2395" t="n">
        <v>0.156</v>
      </c>
    </row>
    <row r="2396" spans="1:13">
      <c r="A2396" s="1">
        <f>HYPERLINK("http://www.twitter.com/NathanBLawrence/status/979793890655047680", "979793890655047680")</f>
        <v/>
      </c>
      <c r="B2396" s="2" t="n">
        <v>43189.78751157408</v>
      </c>
      <c r="C2396" t="n">
        <v>0</v>
      </c>
      <c r="D2396" t="n">
        <v>15</v>
      </c>
      <c r="E2396" t="s">
        <v>2407</v>
      </c>
      <c r="F2396" t="s"/>
      <c r="G2396" t="s"/>
      <c r="H2396" t="s"/>
      <c r="I2396" t="s"/>
      <c r="J2396" t="n">
        <v>0</v>
      </c>
      <c r="K2396" t="n">
        <v>0</v>
      </c>
      <c r="L2396" t="n">
        <v>1</v>
      </c>
      <c r="M2396" t="n">
        <v>0</v>
      </c>
    </row>
    <row r="2397" spans="1:13">
      <c r="A2397" s="1">
        <f>HYPERLINK("http://www.twitter.com/NathanBLawrence/status/979793677798330374", "979793677798330374")</f>
        <v/>
      </c>
      <c r="B2397" s="2" t="n">
        <v>43189.78693287037</v>
      </c>
      <c r="C2397" t="n">
        <v>0</v>
      </c>
      <c r="D2397" t="n">
        <v>0</v>
      </c>
      <c r="E2397" t="s">
        <v>2408</v>
      </c>
      <c r="F2397">
        <f>HYPERLINK("http://pbs.twimg.com/media/DZjtJkzVAAAnD6Y.jpg", "http://pbs.twimg.com/media/DZjtJkzVAAAnD6Y.jpg")</f>
        <v/>
      </c>
      <c r="G2397" t="s"/>
      <c r="H2397" t="s"/>
      <c r="I2397" t="s"/>
      <c r="J2397" t="n">
        <v>-0.1759</v>
      </c>
      <c r="K2397" t="n">
        <v>0.145</v>
      </c>
      <c r="L2397" t="n">
        <v>0.855</v>
      </c>
      <c r="M2397" t="n">
        <v>0</v>
      </c>
    </row>
    <row r="2398" spans="1:13">
      <c r="A2398" s="1">
        <f>HYPERLINK("http://www.twitter.com/NathanBLawrence/status/979793674560311299", "979793674560311299")</f>
        <v/>
      </c>
      <c r="B2398" s="2" t="n">
        <v>43189.7869212963</v>
      </c>
      <c r="C2398" t="n">
        <v>0</v>
      </c>
      <c r="D2398" t="n">
        <v>0</v>
      </c>
      <c r="E2398" t="s">
        <v>2409</v>
      </c>
      <c r="F2398">
        <f>HYPERLINK("http://pbs.twimg.com/media/DZjtJk1UQAAiuc8.jpg", "http://pbs.twimg.com/media/DZjtJk1UQAAiuc8.jpg")</f>
        <v/>
      </c>
      <c r="G2398" t="s"/>
      <c r="H2398" t="s"/>
      <c r="I2398" t="s"/>
      <c r="J2398" t="n">
        <v>0.9093</v>
      </c>
      <c r="K2398" t="n">
        <v>0</v>
      </c>
      <c r="L2398" t="n">
        <v>0.699</v>
      </c>
      <c r="M2398" t="n">
        <v>0.301</v>
      </c>
    </row>
    <row r="2399" spans="1:13">
      <c r="A2399" s="1">
        <f>HYPERLINK("http://www.twitter.com/NathanBLawrence/status/979727853347655681", "979727853347655681")</f>
        <v/>
      </c>
      <c r="B2399" s="2" t="n">
        <v>43189.60528935185</v>
      </c>
      <c r="C2399" t="n">
        <v>5</v>
      </c>
      <c r="D2399" t="n">
        <v>1</v>
      </c>
      <c r="E2399" t="s">
        <v>2410</v>
      </c>
      <c r="F2399" t="s"/>
      <c r="G2399" t="s"/>
      <c r="H2399" t="s"/>
      <c r="I2399" t="s"/>
      <c r="J2399" t="n">
        <v>0.3382</v>
      </c>
      <c r="K2399" t="n">
        <v>0</v>
      </c>
      <c r="L2399" t="n">
        <v>0.87</v>
      </c>
      <c r="M2399" t="n">
        <v>0.13</v>
      </c>
    </row>
    <row r="2400" spans="1:13">
      <c r="A2400" s="1">
        <f>HYPERLINK("http://www.twitter.com/NathanBLawrence/status/979723061237878784", "979723061237878784")</f>
        <v/>
      </c>
      <c r="B2400" s="2" t="n">
        <v>43189.59206018518</v>
      </c>
      <c r="C2400" t="n">
        <v>0</v>
      </c>
      <c r="D2400" t="n">
        <v>0</v>
      </c>
      <c r="E2400" t="s">
        <v>2411</v>
      </c>
      <c r="F2400" t="s"/>
      <c r="G2400" t="s"/>
      <c r="H2400" t="s"/>
      <c r="I2400" t="s"/>
      <c r="J2400" t="n">
        <v>-0.0941</v>
      </c>
      <c r="K2400" t="n">
        <v>0.074</v>
      </c>
      <c r="L2400" t="n">
        <v>0.926</v>
      </c>
      <c r="M2400" t="n">
        <v>0</v>
      </c>
    </row>
    <row r="2401" spans="1:13">
      <c r="A2401" s="1">
        <f>HYPERLINK("http://www.twitter.com/NathanBLawrence/status/979707316974096385", "979707316974096385")</f>
        <v/>
      </c>
      <c r="B2401" s="2" t="n">
        <v>43189.54862268519</v>
      </c>
      <c r="C2401" t="n">
        <v>0</v>
      </c>
      <c r="D2401" t="n">
        <v>0</v>
      </c>
      <c r="E2401" t="s">
        <v>2412</v>
      </c>
      <c r="F2401" t="s"/>
      <c r="G2401" t="s"/>
      <c r="H2401" t="s"/>
      <c r="I2401" t="s"/>
      <c r="J2401" t="n">
        <v>0.4278</v>
      </c>
      <c r="K2401" t="n">
        <v>0.079</v>
      </c>
      <c r="L2401" t="n">
        <v>0.757</v>
      </c>
      <c r="M2401" t="n">
        <v>0.164</v>
      </c>
    </row>
    <row r="2402" spans="1:13">
      <c r="A2402" s="1">
        <f>HYPERLINK("http://www.twitter.com/NathanBLawrence/status/979706845886590976", "979706845886590976")</f>
        <v/>
      </c>
      <c r="B2402" s="2" t="n">
        <v>43189.54731481482</v>
      </c>
      <c r="C2402" t="n">
        <v>0</v>
      </c>
      <c r="D2402" t="n">
        <v>0</v>
      </c>
      <c r="E2402" t="s">
        <v>2413</v>
      </c>
      <c r="F2402" t="s"/>
      <c r="G2402" t="s"/>
      <c r="H2402" t="s"/>
      <c r="I2402" t="s"/>
      <c r="J2402" t="n">
        <v>-0.7378</v>
      </c>
      <c r="K2402" t="n">
        <v>0.231</v>
      </c>
      <c r="L2402" t="n">
        <v>0.681</v>
      </c>
      <c r="M2402" t="n">
        <v>0.08799999999999999</v>
      </c>
    </row>
    <row r="2403" spans="1:13">
      <c r="A2403" s="1">
        <f>HYPERLINK("http://www.twitter.com/NathanBLawrence/status/979706298836115457", "979706298836115457")</f>
        <v/>
      </c>
      <c r="B2403" s="2" t="n">
        <v>43189.54581018518</v>
      </c>
      <c r="C2403" t="n">
        <v>0</v>
      </c>
      <c r="D2403" t="n">
        <v>1</v>
      </c>
      <c r="E2403" t="s">
        <v>2414</v>
      </c>
      <c r="F2403" t="s"/>
      <c r="G2403" t="s"/>
      <c r="H2403" t="s"/>
      <c r="I2403" t="s"/>
      <c r="J2403" t="n">
        <v>0</v>
      </c>
      <c r="K2403" t="n">
        <v>0</v>
      </c>
      <c r="L2403" t="n">
        <v>1</v>
      </c>
      <c r="M2403" t="n">
        <v>0</v>
      </c>
    </row>
    <row r="2404" spans="1:13">
      <c r="A2404" s="1">
        <f>HYPERLINK("http://www.twitter.com/NathanBLawrence/status/979706182599434241", "979706182599434241")</f>
        <v/>
      </c>
      <c r="B2404" s="2" t="n">
        <v>43189.54548611111</v>
      </c>
      <c r="C2404" t="n">
        <v>0</v>
      </c>
      <c r="D2404" t="n">
        <v>9812</v>
      </c>
      <c r="E2404" t="s">
        <v>2415</v>
      </c>
      <c r="F2404">
        <f>HYPERLINK("http://pbs.twimg.com/media/DZeonPGX0AAvvGb.jpg", "http://pbs.twimg.com/media/DZeonPGX0AAvvGb.jpg")</f>
        <v/>
      </c>
      <c r="G2404" t="s"/>
      <c r="H2404" t="s"/>
      <c r="I2404" t="s"/>
      <c r="J2404" t="n">
        <v>-0.4404</v>
      </c>
      <c r="K2404" t="n">
        <v>0.127</v>
      </c>
      <c r="L2404" t="n">
        <v>0.873</v>
      </c>
      <c r="M2404" t="n">
        <v>0</v>
      </c>
    </row>
    <row r="2405" spans="1:13">
      <c r="A2405" s="1">
        <f>HYPERLINK("http://www.twitter.com/NathanBLawrence/status/979705927522832384", "979705927522832384")</f>
        <v/>
      </c>
      <c r="B2405" s="2" t="n">
        <v>43189.54478009259</v>
      </c>
      <c r="C2405" t="n">
        <v>0</v>
      </c>
      <c r="D2405" t="n">
        <v>4</v>
      </c>
      <c r="E2405" t="s">
        <v>2416</v>
      </c>
      <c r="F2405" t="s"/>
      <c r="G2405" t="s"/>
      <c r="H2405" t="s"/>
      <c r="I2405" t="s"/>
      <c r="J2405" t="n">
        <v>0</v>
      </c>
      <c r="K2405" t="n">
        <v>0</v>
      </c>
      <c r="L2405" t="n">
        <v>1</v>
      </c>
      <c r="M2405" t="n">
        <v>0</v>
      </c>
    </row>
    <row r="2406" spans="1:13">
      <c r="A2406" s="1">
        <f>HYPERLINK("http://www.twitter.com/NathanBLawrence/status/979698540619423745", "979698540619423745")</f>
        <v/>
      </c>
      <c r="B2406" s="2" t="n">
        <v>43189.52439814815</v>
      </c>
      <c r="C2406" t="n">
        <v>0</v>
      </c>
      <c r="D2406" t="n">
        <v>0</v>
      </c>
      <c r="E2406" t="s">
        <v>2417</v>
      </c>
      <c r="F2406" t="s"/>
      <c r="G2406" t="s"/>
      <c r="H2406" t="s"/>
      <c r="I2406" t="s"/>
      <c r="J2406" t="n">
        <v>0.595</v>
      </c>
      <c r="K2406" t="n">
        <v>0.169</v>
      </c>
      <c r="L2406" t="n">
        <v>0.596</v>
      </c>
      <c r="M2406" t="n">
        <v>0.235</v>
      </c>
    </row>
    <row r="2407" spans="1:13">
      <c r="A2407" s="1">
        <f>HYPERLINK("http://www.twitter.com/NathanBLawrence/status/979696732434063360", "979696732434063360")</f>
        <v/>
      </c>
      <c r="B2407" s="2" t="n">
        <v>43189.51940972222</v>
      </c>
      <c r="C2407" t="n">
        <v>0</v>
      </c>
      <c r="D2407" t="n">
        <v>1997</v>
      </c>
      <c r="E2407" t="s">
        <v>2418</v>
      </c>
      <c r="F2407">
        <f>HYPERLINK("http://pbs.twimg.com/media/DZdvOGkUQAAlYzk.jpg", "http://pbs.twimg.com/media/DZdvOGkUQAAlYzk.jpg")</f>
        <v/>
      </c>
      <c r="G2407">
        <f>HYPERLINK("http://pbs.twimg.com/media/DZdvOGlU8AU6Ivp.jpg", "http://pbs.twimg.com/media/DZdvOGlU8AU6Ivp.jpg")</f>
        <v/>
      </c>
      <c r="H2407">
        <f>HYPERLINK("http://pbs.twimg.com/media/DZdvOGeVAAE5s5h.jpg", "http://pbs.twimg.com/media/DZdvOGeVAAE5s5h.jpg")</f>
        <v/>
      </c>
      <c r="I2407" t="s"/>
      <c r="J2407" t="n">
        <v>-0.6249</v>
      </c>
      <c r="K2407" t="n">
        <v>0.212</v>
      </c>
      <c r="L2407" t="n">
        <v>0.788</v>
      </c>
      <c r="M2407" t="n">
        <v>0</v>
      </c>
    </row>
    <row r="2408" spans="1:13">
      <c r="A2408" s="1">
        <f>HYPERLINK("http://www.twitter.com/NathanBLawrence/status/979696099119136768", "979696099119136768")</f>
        <v/>
      </c>
      <c r="B2408" s="2" t="n">
        <v>43189.51766203704</v>
      </c>
      <c r="C2408" t="n">
        <v>0</v>
      </c>
      <c r="D2408" t="n">
        <v>0</v>
      </c>
      <c r="E2408" t="s">
        <v>2419</v>
      </c>
      <c r="F2408" t="s"/>
      <c r="G2408" t="s"/>
      <c r="H2408" t="s"/>
      <c r="I2408" t="s"/>
      <c r="J2408" t="n">
        <v>-0.9476</v>
      </c>
      <c r="K2408" t="n">
        <v>0.371</v>
      </c>
      <c r="L2408" t="n">
        <v>0.629</v>
      </c>
      <c r="M2408" t="n">
        <v>0</v>
      </c>
    </row>
    <row r="2409" spans="1:13">
      <c r="A2409" s="1">
        <f>HYPERLINK("http://www.twitter.com/NathanBLawrence/status/979695157200216064", "979695157200216064")</f>
        <v/>
      </c>
      <c r="B2409" s="2" t="n">
        <v>43189.51505787037</v>
      </c>
      <c r="C2409" t="n">
        <v>0</v>
      </c>
      <c r="D2409" t="n">
        <v>0</v>
      </c>
      <c r="E2409" t="s">
        <v>2420</v>
      </c>
      <c r="F2409" t="s"/>
      <c r="G2409" t="s"/>
      <c r="H2409" t="s"/>
      <c r="I2409" t="s"/>
      <c r="J2409" t="n">
        <v>-0.5574</v>
      </c>
      <c r="K2409" t="n">
        <v>0.545</v>
      </c>
      <c r="L2409" t="n">
        <v>0.455</v>
      </c>
      <c r="M2409" t="n">
        <v>0</v>
      </c>
    </row>
    <row r="2410" spans="1:13">
      <c r="A2410" s="1">
        <f>HYPERLINK("http://www.twitter.com/NathanBLawrence/status/979694766437920768", "979694766437920768")</f>
        <v/>
      </c>
      <c r="B2410" s="2" t="n">
        <v>43189.51398148148</v>
      </c>
      <c r="C2410" t="n">
        <v>0</v>
      </c>
      <c r="D2410" t="n">
        <v>57</v>
      </c>
      <c r="E2410" t="s">
        <v>2421</v>
      </c>
      <c r="F2410" t="s"/>
      <c r="G2410" t="s"/>
      <c r="H2410" t="s"/>
      <c r="I2410" t="s"/>
      <c r="J2410" t="n">
        <v>0</v>
      </c>
      <c r="K2410" t="n">
        <v>0</v>
      </c>
      <c r="L2410" t="n">
        <v>1</v>
      </c>
      <c r="M2410" t="n">
        <v>0</v>
      </c>
    </row>
    <row r="2411" spans="1:13">
      <c r="A2411" s="1">
        <f>HYPERLINK("http://www.twitter.com/NathanBLawrence/status/979694555346931715", "979694555346931715")</f>
        <v/>
      </c>
      <c r="B2411" s="2" t="n">
        <v>43189.51340277777</v>
      </c>
      <c r="C2411" t="n">
        <v>0</v>
      </c>
      <c r="D2411" t="n">
        <v>0</v>
      </c>
      <c r="E2411" t="s">
        <v>2422</v>
      </c>
      <c r="F2411" t="s"/>
      <c r="G2411" t="s"/>
      <c r="H2411" t="s"/>
      <c r="I2411" t="s"/>
      <c r="J2411" t="n">
        <v>0.6369</v>
      </c>
      <c r="K2411" t="n">
        <v>0</v>
      </c>
      <c r="L2411" t="n">
        <v>0.543</v>
      </c>
      <c r="M2411" t="n">
        <v>0.457</v>
      </c>
    </row>
    <row r="2412" spans="1:13">
      <c r="A2412" s="1">
        <f>HYPERLINK("http://www.twitter.com/NathanBLawrence/status/979694133622296576", "979694133622296576")</f>
        <v/>
      </c>
      <c r="B2412" s="2" t="n">
        <v>43189.5122337963</v>
      </c>
      <c r="C2412" t="n">
        <v>0</v>
      </c>
      <c r="D2412" t="n">
        <v>46169</v>
      </c>
      <c r="E2412" t="s">
        <v>2423</v>
      </c>
      <c r="F2412" t="s"/>
      <c r="G2412" t="s"/>
      <c r="H2412" t="s"/>
      <c r="I2412" t="s"/>
      <c r="J2412" t="n">
        <v>-0.2023</v>
      </c>
      <c r="K2412" t="n">
        <v>0.204</v>
      </c>
      <c r="L2412" t="n">
        <v>0.657</v>
      </c>
      <c r="M2412" t="n">
        <v>0.139</v>
      </c>
    </row>
    <row r="2413" spans="1:13">
      <c r="A2413" s="1">
        <f>HYPERLINK("http://www.twitter.com/NathanBLawrence/status/979571136638935041", "979571136638935041")</f>
        <v/>
      </c>
      <c r="B2413" s="2" t="n">
        <v>43189.17283564815</v>
      </c>
      <c r="C2413" t="n">
        <v>5</v>
      </c>
      <c r="D2413" t="n">
        <v>0</v>
      </c>
      <c r="E2413" t="s">
        <v>2424</v>
      </c>
      <c r="F2413" t="s"/>
      <c r="G2413" t="s"/>
      <c r="H2413" t="s"/>
      <c r="I2413" t="s"/>
      <c r="J2413" t="n">
        <v>0.7845</v>
      </c>
      <c r="K2413" t="n">
        <v>0</v>
      </c>
      <c r="L2413" t="n">
        <v>0.42</v>
      </c>
      <c r="M2413" t="n">
        <v>0.58</v>
      </c>
    </row>
    <row r="2414" spans="1:13">
      <c r="A2414" s="1">
        <f>HYPERLINK("http://www.twitter.com/NathanBLawrence/status/979570657708204032", "979570657708204032")</f>
        <v/>
      </c>
      <c r="B2414" s="2" t="n">
        <v>43189.17150462963</v>
      </c>
      <c r="C2414" t="n">
        <v>0</v>
      </c>
      <c r="D2414" t="n">
        <v>0</v>
      </c>
      <c r="E2414" t="s">
        <v>2425</v>
      </c>
      <c r="F2414" t="s"/>
      <c r="G2414" t="s"/>
      <c r="H2414" t="s"/>
      <c r="I2414" t="s"/>
      <c r="J2414" t="n">
        <v>0.3031</v>
      </c>
      <c r="K2414" t="n">
        <v>0</v>
      </c>
      <c r="L2414" t="n">
        <v>0.926</v>
      </c>
      <c r="M2414" t="n">
        <v>0.074</v>
      </c>
    </row>
    <row r="2415" spans="1:13">
      <c r="A2415" s="1">
        <f>HYPERLINK("http://www.twitter.com/NathanBLawrence/status/979569350754603008", "979569350754603008")</f>
        <v/>
      </c>
      <c r="B2415" s="2" t="n">
        <v>43189.1679050926</v>
      </c>
      <c r="C2415" t="n">
        <v>1</v>
      </c>
      <c r="D2415" t="n">
        <v>0</v>
      </c>
      <c r="E2415" t="s">
        <v>2426</v>
      </c>
      <c r="F2415" t="s"/>
      <c r="G2415" t="s"/>
      <c r="H2415" t="s"/>
      <c r="I2415" t="s"/>
      <c r="J2415" t="n">
        <v>0</v>
      </c>
      <c r="K2415" t="n">
        <v>0</v>
      </c>
      <c r="L2415" t="n">
        <v>1</v>
      </c>
      <c r="M2415" t="n">
        <v>0</v>
      </c>
    </row>
    <row r="2416" spans="1:13">
      <c r="A2416" s="1">
        <f>HYPERLINK("http://www.twitter.com/NathanBLawrence/status/979567565654683648", "979567565654683648")</f>
        <v/>
      </c>
      <c r="B2416" s="2" t="n">
        <v>43189.16297453704</v>
      </c>
      <c r="C2416" t="n">
        <v>3</v>
      </c>
      <c r="D2416" t="n">
        <v>0</v>
      </c>
      <c r="E2416" t="s">
        <v>2427</v>
      </c>
      <c r="F2416">
        <f>HYPERLINK("http://pbs.twimg.com/media/DZgfeqGVAAAdXr6.jpg", "http://pbs.twimg.com/media/DZgfeqGVAAAdXr6.jpg")</f>
        <v/>
      </c>
      <c r="G2416" t="s"/>
      <c r="H2416" t="s"/>
      <c r="I2416" t="s"/>
      <c r="J2416" t="n">
        <v>0</v>
      </c>
      <c r="K2416" t="n">
        <v>0</v>
      </c>
      <c r="L2416" t="n">
        <v>1</v>
      </c>
      <c r="M2416" t="n">
        <v>0</v>
      </c>
    </row>
    <row r="2417" spans="1:13">
      <c r="A2417" s="1">
        <f>HYPERLINK("http://www.twitter.com/NathanBLawrence/status/979493133959483392", "979493133959483392")</f>
        <v/>
      </c>
      <c r="B2417" s="2" t="n">
        <v>43188.95758101852</v>
      </c>
      <c r="C2417" t="n">
        <v>2</v>
      </c>
      <c r="D2417" t="n">
        <v>0</v>
      </c>
      <c r="E2417" t="s">
        <v>2428</v>
      </c>
      <c r="F2417">
        <f>HYPERLINK("http://pbs.twimg.com/media/DZfbyBAVQAAwEQu.jpg", "http://pbs.twimg.com/media/DZfbyBAVQAAwEQu.jpg")</f>
        <v/>
      </c>
      <c r="G2417" t="s"/>
      <c r="H2417" t="s"/>
      <c r="I2417" t="s"/>
      <c r="J2417" t="n">
        <v>-0.4084</v>
      </c>
      <c r="K2417" t="n">
        <v>0.146</v>
      </c>
      <c r="L2417" t="n">
        <v>0.854</v>
      </c>
      <c r="M2417" t="n">
        <v>0</v>
      </c>
    </row>
    <row r="2418" spans="1:13">
      <c r="A2418" s="1">
        <f>HYPERLINK("http://www.twitter.com/NathanBLawrence/status/979468420952592384", "979468420952592384")</f>
        <v/>
      </c>
      <c r="B2418" s="2" t="n">
        <v>43188.88938657408</v>
      </c>
      <c r="C2418" t="n">
        <v>0</v>
      </c>
      <c r="D2418" t="n">
        <v>16</v>
      </c>
      <c r="E2418" t="s">
        <v>2429</v>
      </c>
      <c r="F2418">
        <f>HYPERLINK("http://pbs.twimg.com/media/DZbDzxzX4AAGIrI.jpg", "http://pbs.twimg.com/media/DZbDzxzX4AAGIrI.jpg")</f>
        <v/>
      </c>
      <c r="G2418" t="s"/>
      <c r="H2418" t="s"/>
      <c r="I2418" t="s"/>
      <c r="J2418" t="n">
        <v>0</v>
      </c>
      <c r="K2418" t="n">
        <v>0</v>
      </c>
      <c r="L2418" t="n">
        <v>1</v>
      </c>
      <c r="M2418" t="n">
        <v>0</v>
      </c>
    </row>
    <row r="2419" spans="1:13">
      <c r="A2419" s="1">
        <f>HYPERLINK("http://www.twitter.com/NathanBLawrence/status/979468178014330881", "979468178014330881")</f>
        <v/>
      </c>
      <c r="B2419" s="2" t="n">
        <v>43188.88871527778</v>
      </c>
      <c r="C2419" t="n">
        <v>0</v>
      </c>
      <c r="D2419" t="n">
        <v>0</v>
      </c>
      <c r="E2419" t="s">
        <v>2430</v>
      </c>
      <c r="F2419" t="s"/>
      <c r="G2419" t="s"/>
      <c r="H2419" t="s"/>
      <c r="I2419" t="s"/>
      <c r="J2419" t="n">
        <v>0</v>
      </c>
      <c r="K2419" t="n">
        <v>0</v>
      </c>
      <c r="L2419" t="n">
        <v>1</v>
      </c>
      <c r="M2419" t="n">
        <v>0</v>
      </c>
    </row>
    <row r="2420" spans="1:13">
      <c r="A2420" s="1">
        <f>HYPERLINK("http://www.twitter.com/NathanBLawrence/status/979467923327717376", "979467923327717376")</f>
        <v/>
      </c>
      <c r="B2420" s="2" t="n">
        <v>43188.88802083334</v>
      </c>
      <c r="C2420" t="n">
        <v>1</v>
      </c>
      <c r="D2420" t="n">
        <v>0</v>
      </c>
      <c r="E2420" t="s">
        <v>2431</v>
      </c>
      <c r="F2420" t="s"/>
      <c r="G2420" t="s"/>
      <c r="H2420" t="s"/>
      <c r="I2420" t="s"/>
      <c r="J2420" t="n">
        <v>-0.6834</v>
      </c>
      <c r="K2420" t="n">
        <v>0.23</v>
      </c>
      <c r="L2420" t="n">
        <v>0.66</v>
      </c>
      <c r="M2420" t="n">
        <v>0.11</v>
      </c>
    </row>
    <row r="2421" spans="1:13">
      <c r="A2421" s="1">
        <f>HYPERLINK("http://www.twitter.com/NathanBLawrence/status/979459706703044611", "979459706703044611")</f>
        <v/>
      </c>
      <c r="B2421" s="2" t="n">
        <v>43188.86534722222</v>
      </c>
      <c r="C2421" t="n">
        <v>0</v>
      </c>
      <c r="D2421" t="n">
        <v>0</v>
      </c>
      <c r="E2421" t="s">
        <v>2432</v>
      </c>
      <c r="F2421" t="s"/>
      <c r="G2421" t="s"/>
      <c r="H2421" t="s"/>
      <c r="I2421" t="s"/>
      <c r="J2421" t="n">
        <v>-0.5106000000000001</v>
      </c>
      <c r="K2421" t="n">
        <v>0.248</v>
      </c>
      <c r="L2421" t="n">
        <v>0.752</v>
      </c>
      <c r="M2421" t="n">
        <v>0</v>
      </c>
    </row>
    <row r="2422" spans="1:13">
      <c r="A2422" s="1">
        <f>HYPERLINK("http://www.twitter.com/NathanBLawrence/status/979459024415584256", "979459024415584256")</f>
        <v/>
      </c>
      <c r="B2422" s="2" t="n">
        <v>43188.86346064815</v>
      </c>
      <c r="C2422" t="n">
        <v>0</v>
      </c>
      <c r="D2422" t="n">
        <v>0</v>
      </c>
      <c r="E2422" t="s">
        <v>2433</v>
      </c>
      <c r="F2422" t="s"/>
      <c r="G2422" t="s"/>
      <c r="H2422" t="s"/>
      <c r="I2422" t="s"/>
      <c r="J2422" t="n">
        <v>0.128</v>
      </c>
      <c r="K2422" t="n">
        <v>0.083</v>
      </c>
      <c r="L2422" t="n">
        <v>0.82</v>
      </c>
      <c r="M2422" t="n">
        <v>0.097</v>
      </c>
    </row>
    <row r="2423" spans="1:13">
      <c r="A2423" s="1">
        <f>HYPERLINK("http://www.twitter.com/NathanBLawrence/status/979458297353957376", "979458297353957376")</f>
        <v/>
      </c>
      <c r="B2423" s="2" t="n">
        <v>43188.86145833333</v>
      </c>
      <c r="C2423" t="n">
        <v>1</v>
      </c>
      <c r="D2423" t="n">
        <v>0</v>
      </c>
      <c r="E2423" t="s">
        <v>2434</v>
      </c>
      <c r="F2423" t="s"/>
      <c r="G2423" t="s"/>
      <c r="H2423" t="s"/>
      <c r="I2423" t="s"/>
      <c r="J2423" t="n">
        <v>0.4329</v>
      </c>
      <c r="K2423" t="n">
        <v>0</v>
      </c>
      <c r="L2423" t="n">
        <v>0.9379999999999999</v>
      </c>
      <c r="M2423" t="n">
        <v>0.062</v>
      </c>
    </row>
    <row r="2424" spans="1:13">
      <c r="A2424" s="1">
        <f>HYPERLINK("http://www.twitter.com/NathanBLawrence/status/979456360248233984", "979456360248233984")</f>
        <v/>
      </c>
      <c r="B2424" s="2" t="n">
        <v>43188.85611111111</v>
      </c>
      <c r="C2424" t="n">
        <v>0</v>
      </c>
      <c r="D2424" t="n">
        <v>0</v>
      </c>
      <c r="E2424" t="s">
        <v>2435</v>
      </c>
      <c r="F2424" t="s"/>
      <c r="G2424" t="s"/>
      <c r="H2424" t="s"/>
      <c r="I2424" t="s"/>
      <c r="J2424" t="n">
        <v>0</v>
      </c>
      <c r="K2424" t="n">
        <v>0</v>
      </c>
      <c r="L2424" t="n">
        <v>1</v>
      </c>
      <c r="M2424" t="n">
        <v>0</v>
      </c>
    </row>
    <row r="2425" spans="1:13">
      <c r="A2425" s="1">
        <f>HYPERLINK("http://www.twitter.com/NathanBLawrence/status/979455945951645696", "979455945951645696")</f>
        <v/>
      </c>
      <c r="B2425" s="2" t="n">
        <v>43188.85496527778</v>
      </c>
      <c r="C2425" t="n">
        <v>0</v>
      </c>
      <c r="D2425" t="n">
        <v>0</v>
      </c>
      <c r="E2425" t="s">
        <v>2436</v>
      </c>
      <c r="F2425" t="s"/>
      <c r="G2425" t="s"/>
      <c r="H2425" t="s"/>
      <c r="I2425" t="s"/>
      <c r="J2425" t="n">
        <v>0.31</v>
      </c>
      <c r="K2425" t="n">
        <v>0.09</v>
      </c>
      <c r="L2425" t="n">
        <v>0.76</v>
      </c>
      <c r="M2425" t="n">
        <v>0.151</v>
      </c>
    </row>
    <row r="2426" spans="1:13">
      <c r="A2426" s="1">
        <f>HYPERLINK("http://www.twitter.com/NathanBLawrence/status/979455223587639297", "979455223587639297")</f>
        <v/>
      </c>
      <c r="B2426" s="2" t="n">
        <v>43188.85297453704</v>
      </c>
      <c r="C2426" t="n">
        <v>0</v>
      </c>
      <c r="D2426" t="n">
        <v>1</v>
      </c>
      <c r="E2426" t="s">
        <v>2437</v>
      </c>
      <c r="F2426" t="s"/>
      <c r="G2426" t="s"/>
      <c r="H2426" t="s"/>
      <c r="I2426" t="s"/>
      <c r="J2426" t="n">
        <v>-0.3818</v>
      </c>
      <c r="K2426" t="n">
        <v>0.07099999999999999</v>
      </c>
      <c r="L2426" t="n">
        <v>0.929</v>
      </c>
      <c r="M2426" t="n">
        <v>0</v>
      </c>
    </row>
    <row r="2427" spans="1:13">
      <c r="A2427" s="1">
        <f>HYPERLINK("http://www.twitter.com/NathanBLawrence/status/979454409691234304", "979454409691234304")</f>
        <v/>
      </c>
      <c r="B2427" s="2" t="n">
        <v>43188.85072916667</v>
      </c>
      <c r="C2427" t="n">
        <v>3</v>
      </c>
      <c r="D2427" t="n">
        <v>0</v>
      </c>
      <c r="E2427" t="s">
        <v>2438</v>
      </c>
      <c r="F2427" t="s"/>
      <c r="G2427" t="s"/>
      <c r="H2427" t="s"/>
      <c r="I2427" t="s"/>
      <c r="J2427" t="n">
        <v>-0.8316</v>
      </c>
      <c r="K2427" t="n">
        <v>0.209</v>
      </c>
      <c r="L2427" t="n">
        <v>0.748</v>
      </c>
      <c r="M2427" t="n">
        <v>0.043</v>
      </c>
    </row>
    <row r="2428" spans="1:13">
      <c r="A2428" s="1">
        <f>HYPERLINK("http://www.twitter.com/NathanBLawrence/status/979453654741737473", "979453654741737473")</f>
        <v/>
      </c>
      <c r="B2428" s="2" t="n">
        <v>43188.84864583334</v>
      </c>
      <c r="C2428" t="n">
        <v>0</v>
      </c>
      <c r="D2428" t="n">
        <v>0</v>
      </c>
      <c r="E2428" t="s">
        <v>2439</v>
      </c>
      <c r="F2428" t="s"/>
      <c r="G2428" t="s"/>
      <c r="H2428" t="s"/>
      <c r="I2428" t="s"/>
      <c r="J2428" t="n">
        <v>0</v>
      </c>
      <c r="K2428" t="n">
        <v>0</v>
      </c>
      <c r="L2428" t="n">
        <v>1</v>
      </c>
      <c r="M2428" t="n">
        <v>0</v>
      </c>
    </row>
    <row r="2429" spans="1:13">
      <c r="A2429" s="1">
        <f>HYPERLINK("http://www.twitter.com/NathanBLawrence/status/979452937616404484", "979452937616404484")</f>
        <v/>
      </c>
      <c r="B2429" s="2" t="n">
        <v>43188.84666666666</v>
      </c>
      <c r="C2429" t="n">
        <v>1</v>
      </c>
      <c r="D2429" t="n">
        <v>0</v>
      </c>
      <c r="E2429" t="s">
        <v>2440</v>
      </c>
      <c r="F2429" t="s"/>
      <c r="G2429" t="s"/>
      <c r="H2429" t="s"/>
      <c r="I2429" t="s"/>
      <c r="J2429" t="n">
        <v>0</v>
      </c>
      <c r="K2429" t="n">
        <v>0</v>
      </c>
      <c r="L2429" t="n">
        <v>1</v>
      </c>
      <c r="M2429" t="n">
        <v>0</v>
      </c>
    </row>
    <row r="2430" spans="1:13">
      <c r="A2430" s="1">
        <f>HYPERLINK("http://www.twitter.com/NathanBLawrence/status/979452441153466369", "979452441153466369")</f>
        <v/>
      </c>
      <c r="B2430" s="2" t="n">
        <v>43188.84528935186</v>
      </c>
      <c r="C2430" t="n">
        <v>1</v>
      </c>
      <c r="D2430" t="n">
        <v>1</v>
      </c>
      <c r="E2430" t="s">
        <v>2441</v>
      </c>
      <c r="F2430" t="s"/>
      <c r="G2430" t="s"/>
      <c r="H2430" t="s"/>
      <c r="I2430" t="s"/>
      <c r="J2430" t="n">
        <v>0.4019</v>
      </c>
      <c r="K2430" t="n">
        <v>0</v>
      </c>
      <c r="L2430" t="n">
        <v>0.803</v>
      </c>
      <c r="M2430" t="n">
        <v>0.197</v>
      </c>
    </row>
    <row r="2431" spans="1:13">
      <c r="A2431" s="1">
        <f>HYPERLINK("http://www.twitter.com/NathanBLawrence/status/979452141822672896", "979452141822672896")</f>
        <v/>
      </c>
      <c r="B2431" s="2" t="n">
        <v>43188.84446759259</v>
      </c>
      <c r="C2431" t="n">
        <v>0</v>
      </c>
      <c r="D2431" t="n">
        <v>10</v>
      </c>
      <c r="E2431" t="s">
        <v>2442</v>
      </c>
      <c r="F2431" t="s"/>
      <c r="G2431" t="s"/>
      <c r="H2431" t="s"/>
      <c r="I2431" t="s"/>
      <c r="J2431" t="n">
        <v>0</v>
      </c>
      <c r="K2431" t="n">
        <v>0</v>
      </c>
      <c r="L2431" t="n">
        <v>1</v>
      </c>
      <c r="M2431" t="n">
        <v>0</v>
      </c>
    </row>
    <row r="2432" spans="1:13">
      <c r="A2432" s="1">
        <f>HYPERLINK("http://www.twitter.com/NathanBLawrence/status/979451927405711363", "979451927405711363")</f>
        <v/>
      </c>
      <c r="B2432" s="2" t="n">
        <v>43188.84387731482</v>
      </c>
      <c r="C2432" t="n">
        <v>0</v>
      </c>
      <c r="D2432" t="n">
        <v>0</v>
      </c>
      <c r="E2432" t="s">
        <v>2443</v>
      </c>
      <c r="F2432" t="s"/>
      <c r="G2432" t="s"/>
      <c r="H2432" t="s"/>
      <c r="I2432" t="s"/>
      <c r="J2432" t="n">
        <v>-0.841</v>
      </c>
      <c r="K2432" t="n">
        <v>0.218</v>
      </c>
      <c r="L2432" t="n">
        <v>0.782</v>
      </c>
      <c r="M2432" t="n">
        <v>0</v>
      </c>
    </row>
    <row r="2433" spans="1:13">
      <c r="A2433" s="1">
        <f>HYPERLINK("http://www.twitter.com/NathanBLawrence/status/979451433480278016", "979451433480278016")</f>
        <v/>
      </c>
      <c r="B2433" s="2" t="n">
        <v>43188.84251157408</v>
      </c>
      <c r="C2433" t="n">
        <v>2</v>
      </c>
      <c r="D2433" t="n">
        <v>0</v>
      </c>
      <c r="E2433" t="s">
        <v>2444</v>
      </c>
      <c r="F2433" t="s"/>
      <c r="G2433" t="s"/>
      <c r="H2433" t="s"/>
      <c r="I2433" t="s"/>
      <c r="J2433" t="n">
        <v>0.3076</v>
      </c>
      <c r="K2433" t="n">
        <v>0.075</v>
      </c>
      <c r="L2433" t="n">
        <v>0.795</v>
      </c>
      <c r="M2433" t="n">
        <v>0.13</v>
      </c>
    </row>
    <row r="2434" spans="1:13">
      <c r="A2434" s="1">
        <f>HYPERLINK("http://www.twitter.com/NathanBLawrence/status/979443090015571968", "979443090015571968")</f>
        <v/>
      </c>
      <c r="B2434" s="2" t="n">
        <v>43188.81949074074</v>
      </c>
      <c r="C2434" t="n">
        <v>0</v>
      </c>
      <c r="D2434" t="n">
        <v>0</v>
      </c>
      <c r="E2434" t="s">
        <v>2445</v>
      </c>
      <c r="F2434" t="s"/>
      <c r="G2434" t="s"/>
      <c r="H2434" t="s"/>
      <c r="I2434" t="s"/>
      <c r="J2434" t="n">
        <v>0</v>
      </c>
      <c r="K2434" t="n">
        <v>0</v>
      </c>
      <c r="L2434" t="n">
        <v>1</v>
      </c>
      <c r="M2434" t="n">
        <v>0</v>
      </c>
    </row>
    <row r="2435" spans="1:13">
      <c r="A2435" s="1">
        <f>HYPERLINK("http://www.twitter.com/NathanBLawrence/status/979442071835684865", "979442071835684865")</f>
        <v/>
      </c>
      <c r="B2435" s="2" t="n">
        <v>43188.81667824074</v>
      </c>
      <c r="C2435" t="n">
        <v>2</v>
      </c>
      <c r="D2435" t="n">
        <v>1</v>
      </c>
      <c r="E2435" t="s">
        <v>2446</v>
      </c>
      <c r="F2435">
        <f>HYPERLINK("http://pbs.twimg.com/media/DZetXhcVwAABOJ8.jpg", "http://pbs.twimg.com/media/DZetXhcVwAABOJ8.jpg")</f>
        <v/>
      </c>
      <c r="G2435" t="s"/>
      <c r="H2435" t="s"/>
      <c r="I2435" t="s"/>
      <c r="J2435" t="n">
        <v>0</v>
      </c>
      <c r="K2435" t="n">
        <v>0</v>
      </c>
      <c r="L2435" t="n">
        <v>1</v>
      </c>
      <c r="M2435" t="n">
        <v>0</v>
      </c>
    </row>
    <row r="2436" spans="1:13">
      <c r="A2436" s="1">
        <f>HYPERLINK("http://www.twitter.com/NathanBLawrence/status/979440271346798592", "979440271346798592")</f>
        <v/>
      </c>
      <c r="B2436" s="2" t="n">
        <v>43188.81171296296</v>
      </c>
      <c r="C2436" t="n">
        <v>4</v>
      </c>
      <c r="D2436" t="n">
        <v>0</v>
      </c>
      <c r="E2436" t="s">
        <v>2447</v>
      </c>
      <c r="F2436" t="s"/>
      <c r="G2436" t="s"/>
      <c r="H2436" t="s"/>
      <c r="I2436" t="s"/>
      <c r="J2436" t="n">
        <v>0</v>
      </c>
      <c r="K2436" t="n">
        <v>0</v>
      </c>
      <c r="L2436" t="n">
        <v>1</v>
      </c>
      <c r="M2436" t="n">
        <v>0</v>
      </c>
    </row>
    <row r="2437" spans="1:13">
      <c r="A2437" s="1">
        <f>HYPERLINK("http://www.twitter.com/NathanBLawrence/status/979439895818186752", "979439895818186752")</f>
        <v/>
      </c>
      <c r="B2437" s="2" t="n">
        <v>43188.8106712963</v>
      </c>
      <c r="C2437" t="n">
        <v>5</v>
      </c>
      <c r="D2437" t="n">
        <v>0</v>
      </c>
      <c r="E2437" t="s">
        <v>2448</v>
      </c>
      <c r="F2437" t="s"/>
      <c r="G2437" t="s"/>
      <c r="H2437" t="s"/>
      <c r="I2437" t="s"/>
      <c r="J2437" t="n">
        <v>-0.9141</v>
      </c>
      <c r="K2437" t="n">
        <v>0.288</v>
      </c>
      <c r="L2437" t="n">
        <v>0.712</v>
      </c>
      <c r="M2437" t="n">
        <v>0</v>
      </c>
    </row>
    <row r="2438" spans="1:13">
      <c r="A2438" s="1">
        <f>HYPERLINK("http://www.twitter.com/NathanBLawrence/status/979439424055455746", "979439424055455746")</f>
        <v/>
      </c>
      <c r="B2438" s="2" t="n">
        <v>43188.809375</v>
      </c>
      <c r="C2438" t="n">
        <v>0</v>
      </c>
      <c r="D2438" t="n">
        <v>0</v>
      </c>
      <c r="E2438" t="s">
        <v>2449</v>
      </c>
      <c r="F2438" t="s"/>
      <c r="G2438" t="s"/>
      <c r="H2438" t="s"/>
      <c r="I2438" t="s"/>
      <c r="J2438" t="n">
        <v>0</v>
      </c>
      <c r="K2438" t="n">
        <v>0</v>
      </c>
      <c r="L2438" t="n">
        <v>1</v>
      </c>
      <c r="M2438" t="n">
        <v>0</v>
      </c>
    </row>
    <row r="2439" spans="1:13">
      <c r="A2439" s="1">
        <f>HYPERLINK("http://www.twitter.com/NathanBLawrence/status/979438834445414401", "979438834445414401")</f>
        <v/>
      </c>
      <c r="B2439" s="2" t="n">
        <v>43188.80774305556</v>
      </c>
      <c r="C2439" t="n">
        <v>3</v>
      </c>
      <c r="D2439" t="n">
        <v>0</v>
      </c>
      <c r="E2439" t="s">
        <v>2450</v>
      </c>
      <c r="F2439" t="s"/>
      <c r="G2439" t="s"/>
      <c r="H2439" t="s"/>
      <c r="I2439" t="s"/>
      <c r="J2439" t="n">
        <v>0.7412</v>
      </c>
      <c r="K2439" t="n">
        <v>0</v>
      </c>
      <c r="L2439" t="n">
        <v>0.827</v>
      </c>
      <c r="M2439" t="n">
        <v>0.173</v>
      </c>
    </row>
    <row r="2440" spans="1:13">
      <c r="A2440" s="1">
        <f>HYPERLINK("http://www.twitter.com/NathanBLawrence/status/979438227420565504", "979438227420565504")</f>
        <v/>
      </c>
      <c r="B2440" s="2" t="n">
        <v>43188.80607638889</v>
      </c>
      <c r="C2440" t="n">
        <v>0</v>
      </c>
      <c r="D2440" t="n">
        <v>0</v>
      </c>
      <c r="E2440" t="s">
        <v>2451</v>
      </c>
      <c r="F2440" t="s"/>
      <c r="G2440" t="s"/>
      <c r="H2440" t="s"/>
      <c r="I2440" t="s"/>
      <c r="J2440" t="n">
        <v>-0.7302999999999999</v>
      </c>
      <c r="K2440" t="n">
        <v>0.155</v>
      </c>
      <c r="L2440" t="n">
        <v>0.845</v>
      </c>
      <c r="M2440" t="n">
        <v>0</v>
      </c>
    </row>
    <row r="2441" spans="1:13">
      <c r="A2441" s="1">
        <f>HYPERLINK("http://www.twitter.com/NathanBLawrence/status/979437514736984065", "979437514736984065")</f>
        <v/>
      </c>
      <c r="B2441" s="2" t="n">
        <v>43188.8041087963</v>
      </c>
      <c r="C2441" t="n">
        <v>0</v>
      </c>
      <c r="D2441" t="n">
        <v>0</v>
      </c>
      <c r="E2441" t="s">
        <v>2452</v>
      </c>
      <c r="F2441" t="s"/>
      <c r="G2441" t="s"/>
      <c r="H2441" t="s"/>
      <c r="I2441" t="s"/>
      <c r="J2441" t="n">
        <v>0</v>
      </c>
      <c r="K2441" t="n">
        <v>0</v>
      </c>
      <c r="L2441" t="n">
        <v>1</v>
      </c>
      <c r="M2441" t="n">
        <v>0</v>
      </c>
    </row>
    <row r="2442" spans="1:13">
      <c r="A2442" s="1">
        <f>HYPERLINK("http://www.twitter.com/NathanBLawrence/status/979436989253550085", "979436989253550085")</f>
        <v/>
      </c>
      <c r="B2442" s="2" t="n">
        <v>43188.80265046296</v>
      </c>
      <c r="C2442" t="n">
        <v>1</v>
      </c>
      <c r="D2442" t="n">
        <v>0</v>
      </c>
      <c r="E2442" t="s">
        <v>2453</v>
      </c>
      <c r="F2442" t="s"/>
      <c r="G2442" t="s"/>
      <c r="H2442" t="s"/>
      <c r="I2442" t="s"/>
      <c r="J2442" t="n">
        <v>0.6114000000000001</v>
      </c>
      <c r="K2442" t="n">
        <v>0</v>
      </c>
      <c r="L2442" t="n">
        <v>0.8149999999999999</v>
      </c>
      <c r="M2442" t="n">
        <v>0.185</v>
      </c>
    </row>
    <row r="2443" spans="1:13">
      <c r="A2443" s="1">
        <f>HYPERLINK("http://www.twitter.com/NathanBLawrence/status/979436555822616577", "979436555822616577")</f>
        <v/>
      </c>
      <c r="B2443" s="2" t="n">
        <v>43188.80145833334</v>
      </c>
      <c r="C2443" t="n">
        <v>0</v>
      </c>
      <c r="D2443" t="n">
        <v>0</v>
      </c>
      <c r="E2443" t="s">
        <v>2454</v>
      </c>
      <c r="F2443" t="s"/>
      <c r="G2443" t="s"/>
      <c r="H2443" t="s"/>
      <c r="I2443" t="s"/>
      <c r="J2443" t="n">
        <v>-0.5423</v>
      </c>
      <c r="K2443" t="n">
        <v>0.137</v>
      </c>
      <c r="L2443" t="n">
        <v>0.863</v>
      </c>
      <c r="M2443" t="n">
        <v>0</v>
      </c>
    </row>
    <row r="2444" spans="1:13">
      <c r="A2444" s="1">
        <f>HYPERLINK("http://www.twitter.com/NathanBLawrence/status/979435808573751296", "979435808573751296")</f>
        <v/>
      </c>
      <c r="B2444" s="2" t="n">
        <v>43188.79939814815</v>
      </c>
      <c r="C2444" t="n">
        <v>0</v>
      </c>
      <c r="D2444" t="n">
        <v>0</v>
      </c>
      <c r="E2444" t="s">
        <v>2455</v>
      </c>
      <c r="F2444" t="s"/>
      <c r="G2444" t="s"/>
      <c r="H2444" t="s"/>
      <c r="I2444" t="s"/>
      <c r="J2444" t="n">
        <v>-0.184</v>
      </c>
      <c r="K2444" t="n">
        <v>0.129</v>
      </c>
      <c r="L2444" t="n">
        <v>0.758</v>
      </c>
      <c r="M2444" t="n">
        <v>0.113</v>
      </c>
    </row>
    <row r="2445" spans="1:13">
      <c r="A2445" s="1">
        <f>HYPERLINK("http://www.twitter.com/NathanBLawrence/status/979433754207883266", "979433754207883266")</f>
        <v/>
      </c>
      <c r="B2445" s="2" t="n">
        <v>43188.79372685185</v>
      </c>
      <c r="C2445" t="n">
        <v>1</v>
      </c>
      <c r="D2445" t="n">
        <v>0</v>
      </c>
      <c r="E2445" t="s">
        <v>2456</v>
      </c>
      <c r="F2445" t="s"/>
      <c r="G2445" t="s"/>
      <c r="H2445" t="s"/>
      <c r="I2445" t="s"/>
      <c r="J2445" t="n">
        <v>0</v>
      </c>
      <c r="K2445" t="n">
        <v>0</v>
      </c>
      <c r="L2445" t="n">
        <v>1</v>
      </c>
      <c r="M2445" t="n">
        <v>0</v>
      </c>
    </row>
    <row r="2446" spans="1:13">
      <c r="A2446" s="1">
        <f>HYPERLINK("http://www.twitter.com/NathanBLawrence/status/979389926440611841", "979389926440611841")</f>
        <v/>
      </c>
      <c r="B2446" s="2" t="n">
        <v>43188.67278935185</v>
      </c>
      <c r="C2446" t="n">
        <v>0</v>
      </c>
      <c r="D2446" t="n">
        <v>1</v>
      </c>
      <c r="E2446" t="s">
        <v>2457</v>
      </c>
      <c r="F2446" t="s"/>
      <c r="G2446" t="s"/>
      <c r="H2446" t="s"/>
      <c r="I2446" t="s"/>
      <c r="J2446" t="n">
        <v>0.3862</v>
      </c>
      <c r="K2446" t="n">
        <v>0</v>
      </c>
      <c r="L2446" t="n">
        <v>0.821</v>
      </c>
      <c r="M2446" t="n">
        <v>0.179</v>
      </c>
    </row>
    <row r="2447" spans="1:13">
      <c r="A2447" s="1">
        <f>HYPERLINK("http://www.twitter.com/NathanBLawrence/status/979389164377567233", "979389164377567233")</f>
        <v/>
      </c>
      <c r="B2447" s="2" t="n">
        <v>43188.67068287037</v>
      </c>
      <c r="C2447" t="n">
        <v>0</v>
      </c>
      <c r="D2447" t="n">
        <v>0</v>
      </c>
      <c r="E2447" t="s">
        <v>2458</v>
      </c>
      <c r="F2447" t="s"/>
      <c r="G2447" t="s"/>
      <c r="H2447" t="s"/>
      <c r="I2447" t="s"/>
      <c r="J2447" t="n">
        <v>0.4648</v>
      </c>
      <c r="K2447" t="n">
        <v>0</v>
      </c>
      <c r="L2447" t="n">
        <v>0.8110000000000001</v>
      </c>
      <c r="M2447" t="n">
        <v>0.189</v>
      </c>
    </row>
    <row r="2448" spans="1:13">
      <c r="A2448" s="1">
        <f>HYPERLINK("http://www.twitter.com/NathanBLawrence/status/979388382383046659", "979388382383046659")</f>
        <v/>
      </c>
      <c r="B2448" s="2" t="n">
        <v>43188.66853009259</v>
      </c>
      <c r="C2448" t="n">
        <v>0</v>
      </c>
      <c r="D2448" t="n">
        <v>0</v>
      </c>
      <c r="E2448" t="s">
        <v>2459</v>
      </c>
      <c r="F2448">
        <f>HYPERLINK("http://pbs.twimg.com/media/DZd8iQ1VMAA3Ce4.jpg", "http://pbs.twimg.com/media/DZd8iQ1VMAA3Ce4.jpg")</f>
        <v/>
      </c>
      <c r="G2448" t="s"/>
      <c r="H2448" t="s"/>
      <c r="I2448" t="s"/>
      <c r="J2448" t="n">
        <v>-0.5255</v>
      </c>
      <c r="K2448" t="n">
        <v>0.134</v>
      </c>
      <c r="L2448" t="n">
        <v>0.866</v>
      </c>
      <c r="M2448" t="n">
        <v>0</v>
      </c>
    </row>
    <row r="2449" spans="1:13">
      <c r="A2449" s="1">
        <f>HYPERLINK("http://www.twitter.com/NathanBLawrence/status/979387941200986112", "979387941200986112")</f>
        <v/>
      </c>
      <c r="B2449" s="2" t="n">
        <v>43188.66730324074</v>
      </c>
      <c r="C2449" t="n">
        <v>2</v>
      </c>
      <c r="D2449" t="n">
        <v>0</v>
      </c>
      <c r="E2449" t="s">
        <v>2460</v>
      </c>
      <c r="F2449" t="s"/>
      <c r="G2449" t="s"/>
      <c r="H2449" t="s"/>
      <c r="I2449" t="s"/>
      <c r="J2449" t="n">
        <v>0.7184</v>
      </c>
      <c r="K2449" t="n">
        <v>0</v>
      </c>
      <c r="L2449" t="n">
        <v>0.333</v>
      </c>
      <c r="M2449" t="n">
        <v>0.667</v>
      </c>
    </row>
    <row r="2450" spans="1:13">
      <c r="A2450" s="1">
        <f>HYPERLINK("http://www.twitter.com/NathanBLawrence/status/979383418168344577", "979383418168344577")</f>
        <v/>
      </c>
      <c r="B2450" s="2" t="n">
        <v>43188.65482638889</v>
      </c>
      <c r="C2450" t="n">
        <v>1</v>
      </c>
      <c r="D2450" t="n">
        <v>1</v>
      </c>
      <c r="E2450" t="s">
        <v>2461</v>
      </c>
      <c r="F2450">
        <f>HYPERLINK("http://pbs.twimg.com/media/DZd4BJaU8AAwZA1.jpg", "http://pbs.twimg.com/media/DZd4BJaU8AAwZA1.jpg")</f>
        <v/>
      </c>
      <c r="G2450" t="s"/>
      <c r="H2450" t="s"/>
      <c r="I2450" t="s"/>
      <c r="J2450" t="n">
        <v>0.763</v>
      </c>
      <c r="K2450" t="n">
        <v>0</v>
      </c>
      <c r="L2450" t="n">
        <v>0.603</v>
      </c>
      <c r="M2450" t="n">
        <v>0.397</v>
      </c>
    </row>
    <row r="2451" spans="1:13">
      <c r="A2451" s="1">
        <f>HYPERLINK("http://www.twitter.com/NathanBLawrence/status/979366198319120386", "979366198319120386")</f>
        <v/>
      </c>
      <c r="B2451" s="2" t="n">
        <v>43188.60731481481</v>
      </c>
      <c r="C2451" t="n">
        <v>0</v>
      </c>
      <c r="D2451" t="n">
        <v>0</v>
      </c>
      <c r="E2451" t="s">
        <v>2462</v>
      </c>
      <c r="F2451" t="s"/>
      <c r="G2451" t="s"/>
      <c r="H2451" t="s"/>
      <c r="I2451" t="s"/>
      <c r="J2451" t="n">
        <v>-0.4767</v>
      </c>
      <c r="K2451" t="n">
        <v>0.237</v>
      </c>
      <c r="L2451" t="n">
        <v>0.763</v>
      </c>
      <c r="M2451" t="n">
        <v>0</v>
      </c>
    </row>
    <row r="2452" spans="1:13">
      <c r="A2452" s="1">
        <f>HYPERLINK("http://www.twitter.com/NathanBLawrence/status/979364507427450881", "979364507427450881")</f>
        <v/>
      </c>
      <c r="B2452" s="2" t="n">
        <v>43188.60263888889</v>
      </c>
      <c r="C2452" t="n">
        <v>1</v>
      </c>
      <c r="D2452" t="n">
        <v>0</v>
      </c>
      <c r="E2452" t="s">
        <v>2463</v>
      </c>
      <c r="F2452" t="s"/>
      <c r="G2452" t="s"/>
      <c r="H2452" t="s"/>
      <c r="I2452" t="s"/>
      <c r="J2452" t="n">
        <v>0.4199</v>
      </c>
      <c r="K2452" t="n">
        <v>0</v>
      </c>
      <c r="L2452" t="n">
        <v>0.859</v>
      </c>
      <c r="M2452" t="n">
        <v>0.141</v>
      </c>
    </row>
    <row r="2453" spans="1:13">
      <c r="A2453" s="1">
        <f>HYPERLINK("http://www.twitter.com/NathanBLawrence/status/979364291555004417", "979364291555004417")</f>
        <v/>
      </c>
      <c r="B2453" s="2" t="n">
        <v>43188.60204861111</v>
      </c>
      <c r="C2453" t="n">
        <v>0</v>
      </c>
      <c r="D2453" t="n">
        <v>514</v>
      </c>
      <c r="E2453" t="s">
        <v>2464</v>
      </c>
      <c r="F2453" t="s"/>
      <c r="G2453" t="s"/>
      <c r="H2453" t="s"/>
      <c r="I2453" t="s"/>
      <c r="J2453" t="n">
        <v>-0.6874</v>
      </c>
      <c r="K2453" t="n">
        <v>0.25</v>
      </c>
      <c r="L2453" t="n">
        <v>0.75</v>
      </c>
      <c r="M2453" t="n">
        <v>0</v>
      </c>
    </row>
    <row r="2454" spans="1:13">
      <c r="A2454" s="1">
        <f>HYPERLINK("http://www.twitter.com/NathanBLawrence/status/979363902910758912", "979363902910758912")</f>
        <v/>
      </c>
      <c r="B2454" s="2" t="n">
        <v>43188.60097222222</v>
      </c>
      <c r="C2454" t="n">
        <v>4</v>
      </c>
      <c r="D2454" t="n">
        <v>1</v>
      </c>
      <c r="E2454" t="s">
        <v>2465</v>
      </c>
      <c r="F2454" t="s"/>
      <c r="G2454" t="s"/>
      <c r="H2454" t="s"/>
      <c r="I2454" t="s"/>
      <c r="J2454" t="n">
        <v>0.3802</v>
      </c>
      <c r="K2454" t="n">
        <v>0</v>
      </c>
      <c r="L2454" t="n">
        <v>0.73</v>
      </c>
      <c r="M2454" t="n">
        <v>0.27</v>
      </c>
    </row>
    <row r="2455" spans="1:13">
      <c r="A2455" s="1">
        <f>HYPERLINK("http://www.twitter.com/NathanBLawrence/status/979359590990143488", "979359590990143488")</f>
        <v/>
      </c>
      <c r="B2455" s="2" t="n">
        <v>43188.58907407407</v>
      </c>
      <c r="C2455" t="n">
        <v>0</v>
      </c>
      <c r="D2455" t="n">
        <v>0</v>
      </c>
      <c r="E2455" t="s">
        <v>2466</v>
      </c>
      <c r="F2455" t="s"/>
      <c r="G2455" t="s"/>
      <c r="H2455" t="s"/>
      <c r="I2455" t="s"/>
      <c r="J2455" t="n">
        <v>-0.4939</v>
      </c>
      <c r="K2455" t="n">
        <v>0.242</v>
      </c>
      <c r="L2455" t="n">
        <v>0.758</v>
      </c>
      <c r="M2455" t="n">
        <v>0</v>
      </c>
    </row>
    <row r="2456" spans="1:13">
      <c r="A2456" s="1">
        <f>HYPERLINK("http://www.twitter.com/NathanBLawrence/status/979358898661527552", "979358898661527552")</f>
        <v/>
      </c>
      <c r="B2456" s="2" t="n">
        <v>43188.58716435185</v>
      </c>
      <c r="C2456" t="n">
        <v>1</v>
      </c>
      <c r="D2456" t="n">
        <v>0</v>
      </c>
      <c r="E2456" t="s">
        <v>2467</v>
      </c>
      <c r="F2456" t="s"/>
      <c r="G2456" t="s"/>
      <c r="H2456" t="s"/>
      <c r="I2456" t="s"/>
      <c r="J2456" t="n">
        <v>-0.3612</v>
      </c>
      <c r="K2456" t="n">
        <v>0.143</v>
      </c>
      <c r="L2456" t="n">
        <v>0.729</v>
      </c>
      <c r="M2456" t="n">
        <v>0.128</v>
      </c>
    </row>
    <row r="2457" spans="1:13">
      <c r="A2457" s="1">
        <f>HYPERLINK("http://www.twitter.com/NathanBLawrence/status/979357335557689344", "979357335557689344")</f>
        <v/>
      </c>
      <c r="B2457" s="2" t="n">
        <v>43188.5828587963</v>
      </c>
      <c r="C2457" t="n">
        <v>1</v>
      </c>
      <c r="D2457" t="n">
        <v>1</v>
      </c>
      <c r="E2457" t="s">
        <v>2468</v>
      </c>
      <c r="F2457" t="s"/>
      <c r="G2457" t="s"/>
      <c r="H2457" t="s"/>
      <c r="I2457" t="s"/>
      <c r="J2457" t="n">
        <v>0</v>
      </c>
      <c r="K2457" t="n">
        <v>0</v>
      </c>
      <c r="L2457" t="n">
        <v>1</v>
      </c>
      <c r="M2457" t="n">
        <v>0</v>
      </c>
    </row>
    <row r="2458" spans="1:13">
      <c r="A2458" s="1">
        <f>HYPERLINK("http://www.twitter.com/NathanBLawrence/status/979355737230110731", "979355737230110731")</f>
        <v/>
      </c>
      <c r="B2458" s="2" t="n">
        <v>43188.5784375</v>
      </c>
      <c r="C2458" t="n">
        <v>1</v>
      </c>
      <c r="D2458" t="n">
        <v>1</v>
      </c>
      <c r="E2458" t="s">
        <v>2469</v>
      </c>
      <c r="F2458" t="s"/>
      <c r="G2458" t="s"/>
      <c r="H2458" t="s"/>
      <c r="I2458" t="s"/>
      <c r="J2458" t="n">
        <v>-0.5719</v>
      </c>
      <c r="K2458" t="n">
        <v>0.195</v>
      </c>
      <c r="L2458" t="n">
        <v>0.738</v>
      </c>
      <c r="M2458" t="n">
        <v>0.067</v>
      </c>
    </row>
    <row r="2459" spans="1:13">
      <c r="A2459" s="1">
        <f>HYPERLINK("http://www.twitter.com/NathanBLawrence/status/979353969360334850", "979353969360334850")</f>
        <v/>
      </c>
      <c r="B2459" s="2" t="n">
        <v>43188.57356481482</v>
      </c>
      <c r="C2459" t="n">
        <v>1</v>
      </c>
      <c r="D2459" t="n">
        <v>0</v>
      </c>
      <c r="E2459" t="s">
        <v>2470</v>
      </c>
      <c r="F2459" t="s"/>
      <c r="G2459" t="s"/>
      <c r="H2459" t="s"/>
      <c r="I2459" t="s"/>
      <c r="J2459" t="n">
        <v>0.3612</v>
      </c>
      <c r="K2459" t="n">
        <v>0</v>
      </c>
      <c r="L2459" t="n">
        <v>0.878</v>
      </c>
      <c r="M2459" t="n">
        <v>0.122</v>
      </c>
    </row>
    <row r="2460" spans="1:13">
      <c r="A2460" s="1">
        <f>HYPERLINK("http://www.twitter.com/NathanBLawrence/status/979336556145233927", "979336556145233927")</f>
        <v/>
      </c>
      <c r="B2460" s="2" t="n">
        <v>43188.52550925926</v>
      </c>
      <c r="C2460" t="n">
        <v>2</v>
      </c>
      <c r="D2460" t="n">
        <v>1</v>
      </c>
      <c r="E2460" t="s">
        <v>2471</v>
      </c>
      <c r="F2460" t="s"/>
      <c r="G2460" t="s"/>
      <c r="H2460" t="s"/>
      <c r="I2460" t="s"/>
      <c r="J2460" t="n">
        <v>-0.5867</v>
      </c>
      <c r="K2460" t="n">
        <v>0.173</v>
      </c>
      <c r="L2460" t="n">
        <v>0.827</v>
      </c>
      <c r="M2460" t="n">
        <v>0</v>
      </c>
    </row>
    <row r="2461" spans="1:13">
      <c r="A2461" s="1">
        <f>HYPERLINK("http://www.twitter.com/NathanBLawrence/status/979336208332591104", "979336208332591104")</f>
        <v/>
      </c>
      <c r="B2461" s="2" t="n">
        <v>43188.52454861111</v>
      </c>
      <c r="C2461" t="n">
        <v>0</v>
      </c>
      <c r="D2461" t="n">
        <v>1</v>
      </c>
      <c r="E2461" t="s">
        <v>2472</v>
      </c>
      <c r="F2461" t="s"/>
      <c r="G2461" t="s"/>
      <c r="H2461" t="s"/>
      <c r="I2461" t="s"/>
      <c r="J2461" t="n">
        <v>0</v>
      </c>
      <c r="K2461" t="n">
        <v>0</v>
      </c>
      <c r="L2461" t="n">
        <v>1</v>
      </c>
      <c r="M2461" t="n">
        <v>0</v>
      </c>
    </row>
    <row r="2462" spans="1:13">
      <c r="A2462" s="1">
        <f>HYPERLINK("http://www.twitter.com/NathanBLawrence/status/979333030807556097", "979333030807556097")</f>
        <v/>
      </c>
      <c r="B2462" s="2" t="n">
        <v>43188.51578703704</v>
      </c>
      <c r="C2462" t="n">
        <v>2</v>
      </c>
      <c r="D2462" t="n">
        <v>0</v>
      </c>
      <c r="E2462" t="s">
        <v>2473</v>
      </c>
      <c r="F2462" t="s"/>
      <c r="G2462" t="s"/>
      <c r="H2462" t="s"/>
      <c r="I2462" t="s"/>
      <c r="J2462" t="n">
        <v>0.2003</v>
      </c>
      <c r="K2462" t="n">
        <v>0.058</v>
      </c>
      <c r="L2462" t="n">
        <v>0.866</v>
      </c>
      <c r="M2462" t="n">
        <v>0.076</v>
      </c>
    </row>
    <row r="2463" spans="1:13">
      <c r="A2463" s="1">
        <f>HYPERLINK("http://www.twitter.com/NathanBLawrence/status/979325425578070016", "979325425578070016")</f>
        <v/>
      </c>
      <c r="B2463" s="2" t="n">
        <v>43188.49480324074</v>
      </c>
      <c r="C2463" t="n">
        <v>0</v>
      </c>
      <c r="D2463" t="n">
        <v>0</v>
      </c>
      <c r="E2463" t="s">
        <v>2474</v>
      </c>
      <c r="F2463" t="s"/>
      <c r="G2463" t="s"/>
      <c r="H2463" t="s"/>
      <c r="I2463" t="s"/>
      <c r="J2463" t="n">
        <v>-0.1406</v>
      </c>
      <c r="K2463" t="n">
        <v>0.066</v>
      </c>
      <c r="L2463" t="n">
        <v>0.9340000000000001</v>
      </c>
      <c r="M2463" t="n">
        <v>0</v>
      </c>
    </row>
    <row r="2464" spans="1:13">
      <c r="A2464" s="1">
        <f>HYPERLINK("http://www.twitter.com/NathanBLawrence/status/979320038011424769", "979320038011424769")</f>
        <v/>
      </c>
      <c r="B2464" s="2" t="n">
        <v>43188.47993055556</v>
      </c>
      <c r="C2464" t="n">
        <v>0</v>
      </c>
      <c r="D2464" t="n">
        <v>0</v>
      </c>
      <c r="E2464" t="s">
        <v>2475</v>
      </c>
      <c r="F2464" t="s"/>
      <c r="G2464" t="s"/>
      <c r="H2464" t="s"/>
      <c r="I2464" t="s"/>
      <c r="J2464" t="n">
        <v>0</v>
      </c>
      <c r="K2464" t="n">
        <v>0</v>
      </c>
      <c r="L2464" t="n">
        <v>1</v>
      </c>
      <c r="M2464" t="n">
        <v>0</v>
      </c>
    </row>
    <row r="2465" spans="1:13">
      <c r="A2465" s="1">
        <f>HYPERLINK("http://www.twitter.com/NathanBLawrence/status/979171821030395904", "979171821030395904")</f>
        <v/>
      </c>
      <c r="B2465" s="2" t="n">
        <v>43188.07092592592</v>
      </c>
      <c r="C2465" t="n">
        <v>0</v>
      </c>
      <c r="D2465" t="n">
        <v>21</v>
      </c>
      <c r="E2465" t="s">
        <v>2476</v>
      </c>
      <c r="F2465" t="s"/>
      <c r="G2465" t="s"/>
      <c r="H2465" t="s"/>
      <c r="I2465" t="s"/>
      <c r="J2465" t="n">
        <v>0</v>
      </c>
      <c r="K2465" t="n">
        <v>0</v>
      </c>
      <c r="L2465" t="n">
        <v>1</v>
      </c>
      <c r="M2465" t="n">
        <v>0</v>
      </c>
    </row>
    <row r="2466" spans="1:13">
      <c r="A2466" s="1">
        <f>HYPERLINK("http://www.twitter.com/NathanBLawrence/status/979167126475943936", "979167126475943936")</f>
        <v/>
      </c>
      <c r="B2466" s="2" t="n">
        <v>43188.05797453703</v>
      </c>
      <c r="C2466" t="n">
        <v>0</v>
      </c>
      <c r="D2466" t="n">
        <v>0</v>
      </c>
      <c r="E2466" t="s">
        <v>2477</v>
      </c>
      <c r="F2466" t="s"/>
      <c r="G2466" t="s"/>
      <c r="H2466" t="s"/>
      <c r="I2466" t="s"/>
      <c r="J2466" t="n">
        <v>0</v>
      </c>
      <c r="K2466" t="n">
        <v>0</v>
      </c>
      <c r="L2466" t="n">
        <v>1</v>
      </c>
      <c r="M2466" t="n">
        <v>0</v>
      </c>
    </row>
    <row r="2467" spans="1:13">
      <c r="A2467" s="1">
        <f>HYPERLINK("http://www.twitter.com/NathanBLawrence/status/979166474534301697", "979166474534301697")</f>
        <v/>
      </c>
      <c r="B2467" s="2" t="n">
        <v>43188.05618055556</v>
      </c>
      <c r="C2467" t="n">
        <v>0</v>
      </c>
      <c r="D2467" t="n">
        <v>4</v>
      </c>
      <c r="E2467" t="s">
        <v>2478</v>
      </c>
      <c r="F2467" t="s"/>
      <c r="G2467" t="s"/>
      <c r="H2467" t="s"/>
      <c r="I2467" t="s"/>
      <c r="J2467" t="n">
        <v>-0.4767</v>
      </c>
      <c r="K2467" t="n">
        <v>0.171</v>
      </c>
      <c r="L2467" t="n">
        <v>0.829</v>
      </c>
      <c r="M2467" t="n">
        <v>0</v>
      </c>
    </row>
    <row r="2468" spans="1:13">
      <c r="A2468" s="1">
        <f>HYPERLINK("http://www.twitter.com/NathanBLawrence/status/979166221961781248", "979166221961781248")</f>
        <v/>
      </c>
      <c r="B2468" s="2" t="n">
        <v>43188.05548611111</v>
      </c>
      <c r="C2468" t="n">
        <v>0</v>
      </c>
      <c r="D2468" t="n">
        <v>511</v>
      </c>
      <c r="E2468" t="s">
        <v>2479</v>
      </c>
      <c r="F2468" t="s"/>
      <c r="G2468" t="s"/>
      <c r="H2468" t="s"/>
      <c r="I2468" t="s"/>
      <c r="J2468" t="n">
        <v>-0.5719</v>
      </c>
      <c r="K2468" t="n">
        <v>0.161</v>
      </c>
      <c r="L2468" t="n">
        <v>0.784</v>
      </c>
      <c r="M2468" t="n">
        <v>0.055</v>
      </c>
    </row>
    <row r="2469" spans="1:13">
      <c r="A2469" s="1">
        <f>HYPERLINK("http://www.twitter.com/NathanBLawrence/status/979149236049797120", "979149236049797120")</f>
        <v/>
      </c>
      <c r="B2469" s="2" t="n">
        <v>43188.00861111111</v>
      </c>
      <c r="C2469" t="n">
        <v>0</v>
      </c>
      <c r="D2469" t="n">
        <v>0</v>
      </c>
      <c r="E2469" t="s">
        <v>2480</v>
      </c>
      <c r="F2469" t="s"/>
      <c r="G2469" t="s"/>
      <c r="H2469" t="s"/>
      <c r="I2469" t="s"/>
      <c r="J2469" t="n">
        <v>-0.9264</v>
      </c>
      <c r="K2469" t="n">
        <v>0.361</v>
      </c>
      <c r="L2469" t="n">
        <v>0.639</v>
      </c>
      <c r="M2469" t="n">
        <v>0</v>
      </c>
    </row>
    <row r="2470" spans="1:13">
      <c r="A2470" s="1">
        <f>HYPERLINK("http://www.twitter.com/NathanBLawrence/status/979148544916557824", "979148544916557824")</f>
        <v/>
      </c>
      <c r="B2470" s="2" t="n">
        <v>43188.00670138889</v>
      </c>
      <c r="C2470" t="n">
        <v>1</v>
      </c>
      <c r="D2470" t="n">
        <v>0</v>
      </c>
      <c r="E2470" t="s">
        <v>2481</v>
      </c>
      <c r="F2470" t="s"/>
      <c r="G2470" t="s"/>
      <c r="H2470" t="s"/>
      <c r="I2470" t="s"/>
      <c r="J2470" t="n">
        <v>0</v>
      </c>
      <c r="K2470" t="n">
        <v>0</v>
      </c>
      <c r="L2470" t="n">
        <v>1</v>
      </c>
      <c r="M2470" t="n">
        <v>0</v>
      </c>
    </row>
    <row r="2471" spans="1:13">
      <c r="A2471" s="1">
        <f>HYPERLINK("http://www.twitter.com/NathanBLawrence/status/979148215206506497", "979148215206506497")</f>
        <v/>
      </c>
      <c r="B2471" s="2" t="n">
        <v>43188.00578703704</v>
      </c>
      <c r="C2471" t="n">
        <v>0</v>
      </c>
      <c r="D2471" t="n">
        <v>0</v>
      </c>
      <c r="E2471" t="s">
        <v>2482</v>
      </c>
      <c r="F2471" t="s"/>
      <c r="G2471" t="s"/>
      <c r="H2471" t="s"/>
      <c r="I2471" t="s"/>
      <c r="J2471" t="n">
        <v>0</v>
      </c>
      <c r="K2471" t="n">
        <v>0</v>
      </c>
      <c r="L2471" t="n">
        <v>1</v>
      </c>
      <c r="M2471" t="n">
        <v>0</v>
      </c>
    </row>
    <row r="2472" spans="1:13">
      <c r="A2472" s="1">
        <f>HYPERLINK("http://www.twitter.com/NathanBLawrence/status/979145942317371392", "979145942317371392")</f>
        <v/>
      </c>
      <c r="B2472" s="2" t="n">
        <v>43187.99951388889</v>
      </c>
      <c r="C2472" t="n">
        <v>0</v>
      </c>
      <c r="D2472" t="n">
        <v>0</v>
      </c>
      <c r="E2472" t="s">
        <v>2483</v>
      </c>
      <c r="F2472" t="s"/>
      <c r="G2472" t="s"/>
      <c r="H2472" t="s"/>
      <c r="I2472" t="s"/>
      <c r="J2472" t="n">
        <v>-0.128</v>
      </c>
      <c r="K2472" t="n">
        <v>0.201</v>
      </c>
      <c r="L2472" t="n">
        <v>0.629</v>
      </c>
      <c r="M2472" t="n">
        <v>0.17</v>
      </c>
    </row>
    <row r="2473" spans="1:13">
      <c r="A2473" s="1">
        <f>HYPERLINK("http://www.twitter.com/NathanBLawrence/status/979137022987206656", "979137022987206656")</f>
        <v/>
      </c>
      <c r="B2473" s="2" t="n">
        <v>43187.97490740741</v>
      </c>
      <c r="C2473" t="n">
        <v>0</v>
      </c>
      <c r="D2473" t="n">
        <v>1918</v>
      </c>
      <c r="E2473" t="s">
        <v>2484</v>
      </c>
      <c r="F2473">
        <f>HYPERLINK("http://pbs.twimg.com/media/DZZsR_uXkAA1Wi1.jpg", "http://pbs.twimg.com/media/DZZsR_uXkAA1Wi1.jpg")</f>
        <v/>
      </c>
      <c r="G2473" t="s"/>
      <c r="H2473" t="s"/>
      <c r="I2473" t="s"/>
      <c r="J2473" t="n">
        <v>0</v>
      </c>
      <c r="K2473" t="n">
        <v>0</v>
      </c>
      <c r="L2473" t="n">
        <v>1</v>
      </c>
      <c r="M2473" t="n">
        <v>0</v>
      </c>
    </row>
    <row r="2474" spans="1:13">
      <c r="A2474" s="1">
        <f>HYPERLINK("http://www.twitter.com/NathanBLawrence/status/979134401744396293", "979134401744396293")</f>
        <v/>
      </c>
      <c r="B2474" s="2" t="n">
        <v>43187.96767361111</v>
      </c>
      <c r="C2474" t="n">
        <v>0</v>
      </c>
      <c r="D2474" t="n">
        <v>62</v>
      </c>
      <c r="E2474" t="s">
        <v>2485</v>
      </c>
      <c r="F2474">
        <f>HYPERLINK("http://pbs.twimg.com/media/DZZPRG3VMAUGYv2.jpg", "http://pbs.twimg.com/media/DZZPRG3VMAUGYv2.jpg")</f>
        <v/>
      </c>
      <c r="G2474" t="s"/>
      <c r="H2474" t="s"/>
      <c r="I2474" t="s"/>
      <c r="J2474" t="n">
        <v>0</v>
      </c>
      <c r="K2474" t="n">
        <v>0</v>
      </c>
      <c r="L2474" t="n">
        <v>1</v>
      </c>
      <c r="M2474" t="n">
        <v>0</v>
      </c>
    </row>
    <row r="2475" spans="1:13">
      <c r="A2475" s="1">
        <f>HYPERLINK("http://www.twitter.com/NathanBLawrence/status/979134214749736961", "979134214749736961")</f>
        <v/>
      </c>
      <c r="B2475" s="2" t="n">
        <v>43187.96715277778</v>
      </c>
      <c r="C2475" t="n">
        <v>0</v>
      </c>
      <c r="D2475" t="n">
        <v>0</v>
      </c>
      <c r="E2475" t="s">
        <v>2486</v>
      </c>
      <c r="F2475" t="s"/>
      <c r="G2475" t="s"/>
      <c r="H2475" t="s"/>
      <c r="I2475" t="s"/>
      <c r="J2475" t="n">
        <v>-0.5829</v>
      </c>
      <c r="K2475" t="n">
        <v>0.544</v>
      </c>
      <c r="L2475" t="n">
        <v>0.456</v>
      </c>
      <c r="M2475" t="n">
        <v>0</v>
      </c>
    </row>
    <row r="2476" spans="1:13">
      <c r="A2476" s="1">
        <f>HYPERLINK("http://www.twitter.com/NathanBLawrence/status/979132143254327296", "979132143254327296")</f>
        <v/>
      </c>
      <c r="B2476" s="2" t="n">
        <v>43187.96144675926</v>
      </c>
      <c r="C2476" t="n">
        <v>4</v>
      </c>
      <c r="D2476" t="n">
        <v>4</v>
      </c>
      <c r="E2476" t="s">
        <v>2487</v>
      </c>
      <c r="F2476" t="s"/>
      <c r="G2476" t="s"/>
      <c r="H2476" t="s"/>
      <c r="I2476" t="s"/>
      <c r="J2476" t="n">
        <v>0.4019</v>
      </c>
      <c r="K2476" t="n">
        <v>0</v>
      </c>
      <c r="L2476" t="n">
        <v>0.903</v>
      </c>
      <c r="M2476" t="n">
        <v>0.097</v>
      </c>
    </row>
    <row r="2477" spans="1:13">
      <c r="A2477" s="1">
        <f>HYPERLINK("http://www.twitter.com/NathanBLawrence/status/979082842377539584", "979082842377539584")</f>
        <v/>
      </c>
      <c r="B2477" s="2" t="n">
        <v>43187.82539351852</v>
      </c>
      <c r="C2477" t="n">
        <v>0</v>
      </c>
      <c r="D2477" t="n">
        <v>14728</v>
      </c>
      <c r="E2477" t="s">
        <v>2488</v>
      </c>
      <c r="F2477" t="s"/>
      <c r="G2477" t="s"/>
      <c r="H2477" t="s"/>
      <c r="I2477" t="s"/>
      <c r="J2477" t="n">
        <v>-0.2263</v>
      </c>
      <c r="K2477" t="n">
        <v>0.101</v>
      </c>
      <c r="L2477" t="n">
        <v>0.899</v>
      </c>
      <c r="M2477" t="n">
        <v>0</v>
      </c>
    </row>
    <row r="2478" spans="1:13">
      <c r="A2478" s="1">
        <f>HYPERLINK("http://www.twitter.com/NathanBLawrence/status/979082758147526657", "979082758147526657")</f>
        <v/>
      </c>
      <c r="B2478" s="2" t="n">
        <v>43187.82516203704</v>
      </c>
      <c r="C2478" t="n">
        <v>0</v>
      </c>
      <c r="D2478" t="n">
        <v>991</v>
      </c>
      <c r="E2478" t="s">
        <v>2489</v>
      </c>
      <c r="F2478">
        <f>HYPERLINK("http://pbs.twimg.com/media/DVRXDuFVoAAwvmS.jpg", "http://pbs.twimg.com/media/DVRXDuFVoAAwvmS.jpg")</f>
        <v/>
      </c>
      <c r="G2478" t="s"/>
      <c r="H2478" t="s"/>
      <c r="I2478" t="s"/>
      <c r="J2478" t="n">
        <v>0</v>
      </c>
      <c r="K2478" t="n">
        <v>0</v>
      </c>
      <c r="L2478" t="n">
        <v>1</v>
      </c>
      <c r="M2478" t="n">
        <v>0</v>
      </c>
    </row>
    <row r="2479" spans="1:13">
      <c r="A2479" s="1">
        <f>HYPERLINK("http://www.twitter.com/NathanBLawrence/status/979081343039627265", "979081343039627265")</f>
        <v/>
      </c>
      <c r="B2479" s="2" t="n">
        <v>43187.82126157408</v>
      </c>
      <c r="C2479" t="n">
        <v>2</v>
      </c>
      <c r="D2479" t="n">
        <v>2</v>
      </c>
      <c r="E2479" t="s">
        <v>2490</v>
      </c>
      <c r="F2479" t="s"/>
      <c r="G2479" t="s"/>
      <c r="H2479" t="s"/>
      <c r="I2479" t="s"/>
      <c r="J2479" t="n">
        <v>0.6553</v>
      </c>
      <c r="K2479" t="n">
        <v>0</v>
      </c>
      <c r="L2479" t="n">
        <v>0.913</v>
      </c>
      <c r="M2479" t="n">
        <v>0.08699999999999999</v>
      </c>
    </row>
    <row r="2480" spans="1:13">
      <c r="A2480" s="1">
        <f>HYPERLINK("http://www.twitter.com/NathanBLawrence/status/979080444640747521", "979080444640747521")</f>
        <v/>
      </c>
      <c r="B2480" s="2" t="n">
        <v>43187.81878472222</v>
      </c>
      <c r="C2480" t="n">
        <v>1</v>
      </c>
      <c r="D2480" t="n">
        <v>0</v>
      </c>
      <c r="E2480" t="s">
        <v>2491</v>
      </c>
      <c r="F2480" t="s"/>
      <c r="G2480" t="s"/>
      <c r="H2480" t="s"/>
      <c r="I2480" t="s"/>
      <c r="J2480" t="n">
        <v>-0.4939</v>
      </c>
      <c r="K2480" t="n">
        <v>0.186</v>
      </c>
      <c r="L2480" t="n">
        <v>0.8139999999999999</v>
      </c>
      <c r="M2480" t="n">
        <v>0</v>
      </c>
    </row>
    <row r="2481" spans="1:13">
      <c r="A2481" s="1">
        <f>HYPERLINK("http://www.twitter.com/NathanBLawrence/status/979078245512564736", "979078245512564736")</f>
        <v/>
      </c>
      <c r="B2481" s="2" t="n">
        <v>43187.81270833333</v>
      </c>
      <c r="C2481" t="n">
        <v>0</v>
      </c>
      <c r="D2481" t="n">
        <v>0</v>
      </c>
      <c r="E2481" t="s">
        <v>2492</v>
      </c>
      <c r="F2481" t="s"/>
      <c r="G2481" t="s"/>
      <c r="H2481" t="s"/>
      <c r="I2481" t="s"/>
      <c r="J2481" t="n">
        <v>0</v>
      </c>
      <c r="K2481" t="n">
        <v>0</v>
      </c>
      <c r="L2481" t="n">
        <v>1</v>
      </c>
      <c r="M2481" t="n">
        <v>0</v>
      </c>
    </row>
    <row r="2482" spans="1:13">
      <c r="A2482" s="1">
        <f>HYPERLINK("http://www.twitter.com/NathanBLawrence/status/979060146675552257", "979060146675552257")</f>
        <v/>
      </c>
      <c r="B2482" s="2" t="n">
        <v>43187.7627662037</v>
      </c>
      <c r="C2482" t="n">
        <v>0</v>
      </c>
      <c r="D2482" t="n">
        <v>0</v>
      </c>
      <c r="E2482" t="s">
        <v>2493</v>
      </c>
      <c r="F2482" t="s"/>
      <c r="G2482" t="s"/>
      <c r="H2482" t="s"/>
      <c r="I2482" t="s"/>
      <c r="J2482" t="n">
        <v>0</v>
      </c>
      <c r="K2482" t="n">
        <v>0</v>
      </c>
      <c r="L2482" t="n">
        <v>1</v>
      </c>
      <c r="M2482" t="n">
        <v>0</v>
      </c>
    </row>
    <row r="2483" spans="1:13">
      <c r="A2483" s="1">
        <f>HYPERLINK("http://www.twitter.com/NathanBLawrence/status/979059862872231936", "979059862872231936")</f>
        <v/>
      </c>
      <c r="B2483" s="2" t="n">
        <v>43187.76199074074</v>
      </c>
      <c r="C2483" t="n">
        <v>1</v>
      </c>
      <c r="D2483" t="n">
        <v>0</v>
      </c>
      <c r="E2483" t="s">
        <v>2494</v>
      </c>
      <c r="F2483" t="s"/>
      <c r="G2483" t="s"/>
      <c r="H2483" t="s"/>
      <c r="I2483" t="s"/>
      <c r="J2483" t="n">
        <v>-0.9199000000000001</v>
      </c>
      <c r="K2483" t="n">
        <v>0.413</v>
      </c>
      <c r="L2483" t="n">
        <v>0.587</v>
      </c>
      <c r="M2483" t="n">
        <v>0</v>
      </c>
    </row>
    <row r="2484" spans="1:13">
      <c r="A2484" s="1">
        <f>HYPERLINK("http://www.twitter.com/NathanBLawrence/status/979058619705647104", "979058619705647104")</f>
        <v/>
      </c>
      <c r="B2484" s="2" t="n">
        <v>43187.75855324074</v>
      </c>
      <c r="C2484" t="n">
        <v>0</v>
      </c>
      <c r="D2484" t="n">
        <v>0</v>
      </c>
      <c r="E2484" t="s">
        <v>2495</v>
      </c>
      <c r="F2484">
        <f>HYPERLINK("http://pbs.twimg.com/media/DZZQnwRU0AAYXXy.jpg", "http://pbs.twimg.com/media/DZZQnwRU0AAYXXy.jpg")</f>
        <v/>
      </c>
      <c r="G2484" t="s"/>
      <c r="H2484" t="s"/>
      <c r="I2484" t="s"/>
      <c r="J2484" t="n">
        <v>-0.7579</v>
      </c>
      <c r="K2484" t="n">
        <v>0.338</v>
      </c>
      <c r="L2484" t="n">
        <v>0.597</v>
      </c>
      <c r="M2484" t="n">
        <v>0.065</v>
      </c>
    </row>
    <row r="2485" spans="1:13">
      <c r="A2485" s="1">
        <f>HYPERLINK("http://www.twitter.com/NathanBLawrence/status/979043333459849216", "979043333459849216")</f>
        <v/>
      </c>
      <c r="B2485" s="2" t="n">
        <v>43187.71637731481</v>
      </c>
      <c r="C2485" t="n">
        <v>0</v>
      </c>
      <c r="D2485" t="n">
        <v>0</v>
      </c>
      <c r="E2485" t="s">
        <v>2496</v>
      </c>
      <c r="F2485" t="s"/>
      <c r="G2485" t="s"/>
      <c r="H2485" t="s"/>
      <c r="I2485" t="s"/>
      <c r="J2485" t="n">
        <v>0</v>
      </c>
      <c r="K2485" t="n">
        <v>0</v>
      </c>
      <c r="L2485" t="n">
        <v>1</v>
      </c>
      <c r="M2485" t="n">
        <v>0</v>
      </c>
    </row>
    <row r="2486" spans="1:13">
      <c r="A2486" s="1">
        <f>HYPERLINK("http://www.twitter.com/NathanBLawrence/status/979039857862463488", "979039857862463488")</f>
        <v/>
      </c>
      <c r="B2486" s="2" t="n">
        <v>43187.7067824074</v>
      </c>
      <c r="C2486" t="n">
        <v>1</v>
      </c>
      <c r="D2486" t="n">
        <v>0</v>
      </c>
      <c r="E2486" t="s">
        <v>2497</v>
      </c>
      <c r="F2486">
        <f>HYPERLINK("http://pbs.twimg.com/media/DZY_jrMUQAAH_Uu.jpg", "http://pbs.twimg.com/media/DZY_jrMUQAAH_Uu.jpg")</f>
        <v/>
      </c>
      <c r="G2486" t="s"/>
      <c r="H2486" t="s"/>
      <c r="I2486" t="s"/>
      <c r="J2486" t="n">
        <v>0</v>
      </c>
      <c r="K2486" t="n">
        <v>0</v>
      </c>
      <c r="L2486" t="n">
        <v>1</v>
      </c>
      <c r="M2486" t="n">
        <v>0</v>
      </c>
    </row>
    <row r="2487" spans="1:13">
      <c r="A2487" s="1">
        <f>HYPERLINK("http://www.twitter.com/NathanBLawrence/status/979013755836264449", "979013755836264449")</f>
        <v/>
      </c>
      <c r="B2487" s="2" t="n">
        <v>43187.63475694445</v>
      </c>
      <c r="C2487" t="n">
        <v>0</v>
      </c>
      <c r="D2487" t="n">
        <v>2</v>
      </c>
      <c r="E2487" t="s">
        <v>2498</v>
      </c>
      <c r="F2487" t="s"/>
      <c r="G2487" t="s"/>
      <c r="H2487" t="s"/>
      <c r="I2487" t="s"/>
      <c r="J2487" t="n">
        <v>0.5983000000000001</v>
      </c>
      <c r="K2487" t="n">
        <v>0</v>
      </c>
      <c r="L2487" t="n">
        <v>0.72</v>
      </c>
      <c r="M2487" t="n">
        <v>0.28</v>
      </c>
    </row>
    <row r="2488" spans="1:13">
      <c r="A2488" s="1">
        <f>HYPERLINK("http://www.twitter.com/NathanBLawrence/status/979013526042955777", "979013526042955777")</f>
        <v/>
      </c>
      <c r="B2488" s="2" t="n">
        <v>43187.63412037037</v>
      </c>
      <c r="C2488" t="n">
        <v>0</v>
      </c>
      <c r="D2488" t="n">
        <v>1183</v>
      </c>
      <c r="E2488" t="s">
        <v>2499</v>
      </c>
      <c r="F2488" t="s"/>
      <c r="G2488" t="s"/>
      <c r="H2488" t="s"/>
      <c r="I2488" t="s"/>
      <c r="J2488" t="n">
        <v>0.4574</v>
      </c>
      <c r="K2488" t="n">
        <v>0</v>
      </c>
      <c r="L2488" t="n">
        <v>0.751</v>
      </c>
      <c r="M2488" t="n">
        <v>0.249</v>
      </c>
    </row>
    <row r="2489" spans="1:13">
      <c r="A2489" s="1">
        <f>HYPERLINK("http://www.twitter.com/NathanBLawrence/status/979007893369475072", "979007893369475072")</f>
        <v/>
      </c>
      <c r="B2489" s="2" t="n">
        <v>43187.61857638889</v>
      </c>
      <c r="C2489" t="n">
        <v>0</v>
      </c>
      <c r="D2489" t="n">
        <v>0</v>
      </c>
      <c r="E2489" t="s">
        <v>2500</v>
      </c>
      <c r="F2489" t="s"/>
      <c r="G2489" t="s"/>
      <c r="H2489" t="s"/>
      <c r="I2489" t="s"/>
      <c r="J2489" t="n">
        <v>-0.3182</v>
      </c>
      <c r="K2489" t="n">
        <v>0.081</v>
      </c>
      <c r="L2489" t="n">
        <v>0.919</v>
      </c>
      <c r="M2489" t="n">
        <v>0</v>
      </c>
    </row>
    <row r="2490" spans="1:13">
      <c r="A2490" s="1">
        <f>HYPERLINK("http://www.twitter.com/NathanBLawrence/status/979007326639345664", "979007326639345664")</f>
        <v/>
      </c>
      <c r="B2490" s="2" t="n">
        <v>43187.61701388889</v>
      </c>
      <c r="C2490" t="n">
        <v>0</v>
      </c>
      <c r="D2490" t="n">
        <v>100</v>
      </c>
      <c r="E2490" t="s">
        <v>2501</v>
      </c>
      <c r="F2490">
        <f>HYPERLINK("http://pbs.twimg.com/media/DZVCQ3DVAAA-61L.jpg", "http://pbs.twimg.com/media/DZVCQ3DVAAA-61L.jpg")</f>
        <v/>
      </c>
      <c r="G2490" t="s"/>
      <c r="H2490" t="s"/>
      <c r="I2490" t="s"/>
      <c r="J2490" t="n">
        <v>-0.7955</v>
      </c>
      <c r="K2490" t="n">
        <v>0.235</v>
      </c>
      <c r="L2490" t="n">
        <v>0.765</v>
      </c>
      <c r="M2490" t="n">
        <v>0</v>
      </c>
    </row>
    <row r="2491" spans="1:13">
      <c r="A2491" s="1">
        <f>HYPERLINK("http://www.twitter.com/NathanBLawrence/status/978995606181081088", "978995606181081088")</f>
        <v/>
      </c>
      <c r="B2491" s="2" t="n">
        <v>43187.58467592593</v>
      </c>
      <c r="C2491" t="n">
        <v>0</v>
      </c>
      <c r="D2491" t="n">
        <v>0</v>
      </c>
      <c r="E2491" t="s">
        <v>2502</v>
      </c>
      <c r="F2491">
        <f>HYPERLINK("http://pbs.twimg.com/media/DZYXQrtVQAAR8X-.jpg", "http://pbs.twimg.com/media/DZYXQrtVQAAR8X-.jpg")</f>
        <v/>
      </c>
      <c r="G2491" t="s"/>
      <c r="H2491" t="s"/>
      <c r="I2491" t="s"/>
      <c r="J2491" t="n">
        <v>0.6114000000000001</v>
      </c>
      <c r="K2491" t="n">
        <v>0</v>
      </c>
      <c r="L2491" t="n">
        <v>0.429</v>
      </c>
      <c r="M2491" t="n">
        <v>0.571</v>
      </c>
    </row>
    <row r="2492" spans="1:13">
      <c r="A2492" s="1">
        <f>HYPERLINK("http://www.twitter.com/NathanBLawrence/status/978994295045873664", "978994295045873664")</f>
        <v/>
      </c>
      <c r="B2492" s="2" t="n">
        <v>43187.58105324074</v>
      </c>
      <c r="C2492" t="n">
        <v>0</v>
      </c>
      <c r="D2492" t="n">
        <v>1</v>
      </c>
      <c r="E2492" t="s">
        <v>2503</v>
      </c>
      <c r="F2492" t="s"/>
      <c r="G2492" t="s"/>
      <c r="H2492" t="s"/>
      <c r="I2492" t="s"/>
      <c r="J2492" t="n">
        <v>0.5095</v>
      </c>
      <c r="K2492" t="n">
        <v>0.106</v>
      </c>
      <c r="L2492" t="n">
        <v>0.672</v>
      </c>
      <c r="M2492" t="n">
        <v>0.222</v>
      </c>
    </row>
    <row r="2493" spans="1:13">
      <c r="A2493" s="1">
        <f>HYPERLINK("http://www.twitter.com/NathanBLawrence/status/978994247398580224", "978994247398580224")</f>
        <v/>
      </c>
      <c r="B2493" s="2" t="n">
        <v>43187.58092592593</v>
      </c>
      <c r="C2493" t="n">
        <v>0</v>
      </c>
      <c r="D2493" t="n">
        <v>0</v>
      </c>
      <c r="E2493" t="s">
        <v>2504</v>
      </c>
      <c r="F2493" t="s"/>
      <c r="G2493" t="s"/>
      <c r="H2493" t="s"/>
      <c r="I2493" t="s"/>
      <c r="J2493" t="n">
        <v>0.0258</v>
      </c>
      <c r="K2493" t="n">
        <v>0.151</v>
      </c>
      <c r="L2493" t="n">
        <v>0.656</v>
      </c>
      <c r="M2493" t="n">
        <v>0.193</v>
      </c>
    </row>
    <row r="2494" spans="1:13">
      <c r="A2494" s="1">
        <f>HYPERLINK("http://www.twitter.com/NathanBLawrence/status/978993594039193600", "978993594039193600")</f>
        <v/>
      </c>
      <c r="B2494" s="2" t="n">
        <v>43187.57912037037</v>
      </c>
      <c r="C2494" t="n">
        <v>0</v>
      </c>
      <c r="D2494" t="n">
        <v>0</v>
      </c>
      <c r="E2494" t="s">
        <v>2505</v>
      </c>
      <c r="F2494" t="s"/>
      <c r="G2494" t="s"/>
      <c r="H2494" t="s"/>
      <c r="I2494" t="s"/>
      <c r="J2494" t="n">
        <v>-0.7922</v>
      </c>
      <c r="K2494" t="n">
        <v>0.501</v>
      </c>
      <c r="L2494" t="n">
        <v>0.499</v>
      </c>
      <c r="M2494" t="n">
        <v>0</v>
      </c>
    </row>
    <row r="2495" spans="1:13">
      <c r="A2495" s="1">
        <f>HYPERLINK("http://www.twitter.com/NathanBLawrence/status/978987036031049728", "978987036031049728")</f>
        <v/>
      </c>
      <c r="B2495" s="2" t="n">
        <v>43187.56101851852</v>
      </c>
      <c r="C2495" t="n">
        <v>0</v>
      </c>
      <c r="D2495" t="n">
        <v>0</v>
      </c>
      <c r="E2495" t="s">
        <v>2506</v>
      </c>
      <c r="F2495" t="s"/>
      <c r="G2495" t="s"/>
      <c r="H2495" t="s"/>
      <c r="I2495" t="s"/>
      <c r="J2495" t="n">
        <v>0.2577</v>
      </c>
      <c r="K2495" t="n">
        <v>0</v>
      </c>
      <c r="L2495" t="n">
        <v>0.865</v>
      </c>
      <c r="M2495" t="n">
        <v>0.135</v>
      </c>
    </row>
    <row r="2496" spans="1:13">
      <c r="A2496" s="1">
        <f>HYPERLINK("http://www.twitter.com/NathanBLawrence/status/978986401332121600", "978986401332121600")</f>
        <v/>
      </c>
      <c r="B2496" s="2" t="n">
        <v>43187.55927083334</v>
      </c>
      <c r="C2496" t="n">
        <v>0</v>
      </c>
      <c r="D2496" t="n">
        <v>710</v>
      </c>
      <c r="E2496" t="s">
        <v>2507</v>
      </c>
      <c r="F2496" t="s"/>
      <c r="G2496" t="s"/>
      <c r="H2496" t="s"/>
      <c r="I2496" t="s"/>
      <c r="J2496" t="n">
        <v>0</v>
      </c>
      <c r="K2496" t="n">
        <v>0</v>
      </c>
      <c r="L2496" t="n">
        <v>1</v>
      </c>
      <c r="M2496" t="n">
        <v>0</v>
      </c>
    </row>
    <row r="2497" spans="1:13">
      <c r="A2497" s="1">
        <f>HYPERLINK("http://www.twitter.com/NathanBLawrence/status/978981763874742273", "978981763874742273")</f>
        <v/>
      </c>
      <c r="B2497" s="2" t="n">
        <v>43187.54646990741</v>
      </c>
      <c r="C2497" t="n">
        <v>1</v>
      </c>
      <c r="D2497" t="n">
        <v>1</v>
      </c>
      <c r="E2497" t="s">
        <v>2508</v>
      </c>
      <c r="F2497" t="s"/>
      <c r="G2497" t="s"/>
      <c r="H2497" t="s"/>
      <c r="I2497" t="s"/>
      <c r="J2497" t="n">
        <v>0.7922</v>
      </c>
      <c r="K2497" t="n">
        <v>0</v>
      </c>
      <c r="L2497" t="n">
        <v>0.703</v>
      </c>
      <c r="M2497" t="n">
        <v>0.297</v>
      </c>
    </row>
    <row r="2498" spans="1:13">
      <c r="A2498" s="1">
        <f>HYPERLINK("http://www.twitter.com/NathanBLawrence/status/978981181772455936", "978981181772455936")</f>
        <v/>
      </c>
      <c r="B2498" s="2" t="n">
        <v>43187.54486111111</v>
      </c>
      <c r="C2498" t="n">
        <v>0</v>
      </c>
      <c r="D2498" t="n">
        <v>554</v>
      </c>
      <c r="E2498" t="s">
        <v>2509</v>
      </c>
      <c r="F2498" t="s"/>
      <c r="G2498" t="s"/>
      <c r="H2498" t="s"/>
      <c r="I2498" t="s"/>
      <c r="J2498" t="n">
        <v>0</v>
      </c>
      <c r="K2498" t="n">
        <v>0</v>
      </c>
      <c r="L2498" t="n">
        <v>1</v>
      </c>
      <c r="M2498" t="n">
        <v>0</v>
      </c>
    </row>
    <row r="2499" spans="1:13">
      <c r="A2499" s="1">
        <f>HYPERLINK("http://www.twitter.com/NathanBLawrence/status/978981086272348160", "978981086272348160")</f>
        <v/>
      </c>
      <c r="B2499" s="2" t="n">
        <v>43187.54460648148</v>
      </c>
      <c r="C2499" t="n">
        <v>1</v>
      </c>
      <c r="D2499" t="n">
        <v>0</v>
      </c>
      <c r="E2499" t="s">
        <v>2510</v>
      </c>
      <c r="F2499" t="s"/>
      <c r="G2499" t="s"/>
      <c r="H2499" t="s"/>
      <c r="I2499" t="s"/>
      <c r="J2499" t="n">
        <v>0.1779</v>
      </c>
      <c r="K2499" t="n">
        <v>0</v>
      </c>
      <c r="L2499" t="n">
        <v>0.925</v>
      </c>
      <c r="M2499" t="n">
        <v>0.075</v>
      </c>
    </row>
    <row r="2500" spans="1:13">
      <c r="A2500" s="1">
        <f>HYPERLINK("http://www.twitter.com/NathanBLawrence/status/978980518376206337", "978980518376206337")</f>
        <v/>
      </c>
      <c r="B2500" s="2" t="n">
        <v>43187.5430324074</v>
      </c>
      <c r="C2500" t="n">
        <v>0</v>
      </c>
      <c r="D2500" t="n">
        <v>0</v>
      </c>
      <c r="E2500" t="s">
        <v>2511</v>
      </c>
      <c r="F2500" t="s"/>
      <c r="G2500" t="s"/>
      <c r="H2500" t="s"/>
      <c r="I2500" t="s"/>
      <c r="J2500" t="n">
        <v>0</v>
      </c>
      <c r="K2500" t="n">
        <v>0</v>
      </c>
      <c r="L2500" t="n">
        <v>1</v>
      </c>
      <c r="M2500" t="n">
        <v>0</v>
      </c>
    </row>
    <row r="2501" spans="1:13">
      <c r="A2501" s="1">
        <f>HYPERLINK("http://www.twitter.com/NathanBLawrence/status/978979443694800896", "978979443694800896")</f>
        <v/>
      </c>
      <c r="B2501" s="2" t="n">
        <v>43187.54006944445</v>
      </c>
      <c r="C2501" t="n">
        <v>0</v>
      </c>
      <c r="D2501" t="n">
        <v>1</v>
      </c>
      <c r="E2501" t="s">
        <v>2512</v>
      </c>
      <c r="F2501" t="s"/>
      <c r="G2501" t="s"/>
      <c r="H2501" t="s"/>
      <c r="I2501" t="s"/>
      <c r="J2501" t="n">
        <v>-0.5411</v>
      </c>
      <c r="K2501" t="n">
        <v>0.428</v>
      </c>
      <c r="L2501" t="n">
        <v>0.572</v>
      </c>
      <c r="M2501" t="n">
        <v>0</v>
      </c>
    </row>
    <row r="2502" spans="1:13">
      <c r="A2502" s="1">
        <f>HYPERLINK("http://www.twitter.com/NathanBLawrence/status/978978519052144642", "978978519052144642")</f>
        <v/>
      </c>
      <c r="B2502" s="2" t="n">
        <v>43187.53752314814</v>
      </c>
      <c r="C2502" t="n">
        <v>0</v>
      </c>
      <c r="D2502" t="n">
        <v>0</v>
      </c>
      <c r="E2502" t="s">
        <v>2513</v>
      </c>
      <c r="F2502" t="s"/>
      <c r="G2502" t="s"/>
      <c r="H2502" t="s"/>
      <c r="I2502" t="s"/>
      <c r="J2502" t="n">
        <v>0.3612</v>
      </c>
      <c r="K2502" t="n">
        <v>0</v>
      </c>
      <c r="L2502" t="n">
        <v>0.857</v>
      </c>
      <c r="M2502" t="n">
        <v>0.143</v>
      </c>
    </row>
    <row r="2503" spans="1:13">
      <c r="A2503" s="1">
        <f>HYPERLINK("http://www.twitter.com/NathanBLawrence/status/978977852040339456", "978977852040339456")</f>
        <v/>
      </c>
      <c r="B2503" s="2" t="n">
        <v>43187.53568287037</v>
      </c>
      <c r="C2503" t="n">
        <v>0</v>
      </c>
      <c r="D2503" t="n">
        <v>36</v>
      </c>
      <c r="E2503" t="s">
        <v>2514</v>
      </c>
      <c r="F2503">
        <f>HYPERLINK("http://pbs.twimg.com/media/DZX7jfpWsAAEr_B.jpg", "http://pbs.twimg.com/media/DZX7jfpWsAAEr_B.jpg")</f>
        <v/>
      </c>
      <c r="G2503" t="s"/>
      <c r="H2503" t="s"/>
      <c r="I2503" t="s"/>
      <c r="J2503" t="n">
        <v>0.0343</v>
      </c>
      <c r="K2503" t="n">
        <v>0.263</v>
      </c>
      <c r="L2503" t="n">
        <v>0.464</v>
      </c>
      <c r="M2503" t="n">
        <v>0.273</v>
      </c>
    </row>
    <row r="2504" spans="1:13">
      <c r="A2504" s="1">
        <f>HYPERLINK("http://www.twitter.com/NathanBLawrence/status/978976012049502208", "978976012049502208")</f>
        <v/>
      </c>
      <c r="B2504" s="2" t="n">
        <v>43187.53060185185</v>
      </c>
      <c r="C2504" t="n">
        <v>2</v>
      </c>
      <c r="D2504" t="n">
        <v>0</v>
      </c>
      <c r="E2504" t="s">
        <v>2515</v>
      </c>
      <c r="F2504" t="s"/>
      <c r="G2504" t="s"/>
      <c r="H2504" t="s"/>
      <c r="I2504" t="s"/>
      <c r="J2504" t="n">
        <v>0</v>
      </c>
      <c r="K2504" t="n">
        <v>0</v>
      </c>
      <c r="L2504" t="n">
        <v>1</v>
      </c>
      <c r="M2504" t="n">
        <v>0</v>
      </c>
    </row>
    <row r="2505" spans="1:13">
      <c r="A2505" s="1">
        <f>HYPERLINK("http://www.twitter.com/NathanBLawrence/status/978972441031663617", "978972441031663617")</f>
        <v/>
      </c>
      <c r="B2505" s="2" t="n">
        <v>43187.52075231481</v>
      </c>
      <c r="C2505" t="n">
        <v>0</v>
      </c>
      <c r="D2505" t="n">
        <v>362</v>
      </c>
      <c r="E2505" t="s">
        <v>2516</v>
      </c>
      <c r="F2505" t="s"/>
      <c r="G2505" t="s"/>
      <c r="H2505" t="s"/>
      <c r="I2505" t="s"/>
      <c r="J2505" t="n">
        <v>0</v>
      </c>
      <c r="K2505" t="n">
        <v>0</v>
      </c>
      <c r="L2505" t="n">
        <v>1</v>
      </c>
      <c r="M2505" t="n">
        <v>0</v>
      </c>
    </row>
    <row r="2506" spans="1:13">
      <c r="A2506" s="1">
        <f>HYPERLINK("http://www.twitter.com/NathanBLawrence/status/978971975916904449", "978971975916904449")</f>
        <v/>
      </c>
      <c r="B2506" s="2" t="n">
        <v>43187.5194675926</v>
      </c>
      <c r="C2506" t="n">
        <v>0</v>
      </c>
      <c r="D2506" t="n">
        <v>3654</v>
      </c>
      <c r="E2506" t="s">
        <v>2517</v>
      </c>
      <c r="F2506" t="s"/>
      <c r="G2506" t="s"/>
      <c r="H2506" t="s"/>
      <c r="I2506" t="s"/>
      <c r="J2506" t="n">
        <v>0.743</v>
      </c>
      <c r="K2506" t="n">
        <v>0</v>
      </c>
      <c r="L2506" t="n">
        <v>0.769</v>
      </c>
      <c r="M2506" t="n">
        <v>0.231</v>
      </c>
    </row>
    <row r="2507" spans="1:13">
      <c r="A2507" s="1">
        <f>HYPERLINK("http://www.twitter.com/NathanBLawrence/status/978964430905053186", "978964430905053186")</f>
        <v/>
      </c>
      <c r="B2507" s="2" t="n">
        <v>43187.49864583334</v>
      </c>
      <c r="C2507" t="n">
        <v>0</v>
      </c>
      <c r="D2507" t="n">
        <v>1</v>
      </c>
      <c r="E2507" t="s">
        <v>2518</v>
      </c>
      <c r="F2507" t="s"/>
      <c r="G2507" t="s"/>
      <c r="H2507" t="s"/>
      <c r="I2507" t="s"/>
      <c r="J2507" t="n">
        <v>0</v>
      </c>
      <c r="K2507" t="n">
        <v>0</v>
      </c>
      <c r="L2507" t="n">
        <v>1</v>
      </c>
      <c r="M2507" t="n">
        <v>0</v>
      </c>
    </row>
    <row r="2508" spans="1:13">
      <c r="A2508" s="1">
        <f>HYPERLINK("http://www.twitter.com/NathanBLawrence/status/978964380229554176", "978964380229554176")</f>
        <v/>
      </c>
      <c r="B2508" s="2" t="n">
        <v>43187.49850694444</v>
      </c>
      <c r="C2508" t="n">
        <v>0</v>
      </c>
      <c r="D2508" t="n">
        <v>0</v>
      </c>
      <c r="E2508" t="s">
        <v>2519</v>
      </c>
      <c r="F2508" t="s"/>
      <c r="G2508" t="s"/>
      <c r="H2508" t="s"/>
      <c r="I2508" t="s"/>
      <c r="J2508" t="n">
        <v>-0.8074</v>
      </c>
      <c r="K2508" t="n">
        <v>0.265</v>
      </c>
      <c r="L2508" t="n">
        <v>0.735</v>
      </c>
      <c r="M2508" t="n">
        <v>0</v>
      </c>
    </row>
    <row r="2509" spans="1:13">
      <c r="A2509" s="1">
        <f>HYPERLINK("http://www.twitter.com/NathanBLawrence/status/978962379085107205", "978962379085107205")</f>
        <v/>
      </c>
      <c r="B2509" s="2" t="n">
        <v>43187.49298611111</v>
      </c>
      <c r="C2509" t="n">
        <v>0</v>
      </c>
      <c r="D2509" t="n">
        <v>1857</v>
      </c>
      <c r="E2509" t="s">
        <v>2520</v>
      </c>
      <c r="F2509" t="s"/>
      <c r="G2509" t="s"/>
      <c r="H2509" t="s"/>
      <c r="I2509" t="s"/>
      <c r="J2509" t="n">
        <v>-0.3612</v>
      </c>
      <c r="K2509" t="n">
        <v>0.137</v>
      </c>
      <c r="L2509" t="n">
        <v>0.863</v>
      </c>
      <c r="M2509" t="n">
        <v>0</v>
      </c>
    </row>
    <row r="2510" spans="1:13">
      <c r="A2510" s="1">
        <f>HYPERLINK("http://www.twitter.com/NathanBLawrence/status/978961632364843010", "978961632364843010")</f>
        <v/>
      </c>
      <c r="B2510" s="2" t="n">
        <v>43187.49092592593</v>
      </c>
      <c r="C2510" t="n">
        <v>4</v>
      </c>
      <c r="D2510" t="n">
        <v>0</v>
      </c>
      <c r="E2510" t="s">
        <v>2521</v>
      </c>
      <c r="F2510" t="s"/>
      <c r="G2510" t="s"/>
      <c r="H2510" t="s"/>
      <c r="I2510" t="s"/>
      <c r="J2510" t="n">
        <v>0</v>
      </c>
      <c r="K2510" t="n">
        <v>0</v>
      </c>
      <c r="L2510" t="n">
        <v>1</v>
      </c>
      <c r="M2510" t="n">
        <v>0</v>
      </c>
    </row>
    <row r="2511" spans="1:13">
      <c r="A2511" s="1">
        <f>HYPERLINK("http://www.twitter.com/NathanBLawrence/status/978957862155190272", "978957862155190272")</f>
        <v/>
      </c>
      <c r="B2511" s="2" t="n">
        <v>43187.48052083333</v>
      </c>
      <c r="C2511" t="n">
        <v>2</v>
      </c>
      <c r="D2511" t="n">
        <v>1</v>
      </c>
      <c r="E2511" t="s">
        <v>2522</v>
      </c>
      <c r="F2511" t="s"/>
      <c r="G2511" t="s"/>
      <c r="H2511" t="s"/>
      <c r="I2511" t="s"/>
      <c r="J2511" t="n">
        <v>0.2165</v>
      </c>
      <c r="K2511" t="n">
        <v>0.06</v>
      </c>
      <c r="L2511" t="n">
        <v>0.843</v>
      </c>
      <c r="M2511" t="n">
        <v>0.097</v>
      </c>
    </row>
    <row r="2512" spans="1:13">
      <c r="A2512" s="1">
        <f>HYPERLINK("http://www.twitter.com/NathanBLawrence/status/978956867002163200", "978956867002163200")</f>
        <v/>
      </c>
      <c r="B2512" s="2" t="n">
        <v>43187.4777662037</v>
      </c>
      <c r="C2512" t="n">
        <v>0</v>
      </c>
      <c r="D2512" t="n">
        <v>18</v>
      </c>
      <c r="E2512" t="s">
        <v>2523</v>
      </c>
      <c r="F2512" t="s"/>
      <c r="G2512" t="s"/>
      <c r="H2512" t="s"/>
      <c r="I2512" t="s"/>
      <c r="J2512" t="n">
        <v>0.3519</v>
      </c>
      <c r="K2512" t="n">
        <v>0.078</v>
      </c>
      <c r="L2512" t="n">
        <v>0.791</v>
      </c>
      <c r="M2512" t="n">
        <v>0.131</v>
      </c>
    </row>
    <row r="2513" spans="1:13">
      <c r="A2513" s="1">
        <f>HYPERLINK("http://www.twitter.com/NathanBLawrence/status/978832099443662849", "978832099443662849")</f>
        <v/>
      </c>
      <c r="B2513" s="2" t="n">
        <v>43187.13347222222</v>
      </c>
      <c r="C2513" t="n">
        <v>0</v>
      </c>
      <c r="D2513" t="n">
        <v>0</v>
      </c>
      <c r="E2513" t="s">
        <v>2524</v>
      </c>
      <c r="F2513" t="s"/>
      <c r="G2513" t="s"/>
      <c r="H2513" t="s"/>
      <c r="I2513" t="s"/>
      <c r="J2513" t="n">
        <v>-0.5904</v>
      </c>
      <c r="K2513" t="n">
        <v>0.154</v>
      </c>
      <c r="L2513" t="n">
        <v>0.846</v>
      </c>
      <c r="M2513" t="n">
        <v>0</v>
      </c>
    </row>
    <row r="2514" spans="1:13">
      <c r="A2514" s="1">
        <f>HYPERLINK("http://www.twitter.com/NathanBLawrence/status/978831358012411904", "978831358012411904")</f>
        <v/>
      </c>
      <c r="B2514" s="2" t="n">
        <v>43187.13143518518</v>
      </c>
      <c r="C2514" t="n">
        <v>1</v>
      </c>
      <c r="D2514" t="n">
        <v>0</v>
      </c>
      <c r="E2514" t="s">
        <v>2525</v>
      </c>
      <c r="F2514" t="s"/>
      <c r="G2514" t="s"/>
      <c r="H2514" t="s"/>
      <c r="I2514" t="s"/>
      <c r="J2514" t="n">
        <v>0</v>
      </c>
      <c r="K2514" t="n">
        <v>0</v>
      </c>
      <c r="L2514" t="n">
        <v>1</v>
      </c>
      <c r="M2514" t="n">
        <v>0</v>
      </c>
    </row>
    <row r="2515" spans="1:13">
      <c r="A2515" s="1">
        <f>HYPERLINK("http://www.twitter.com/NathanBLawrence/status/978830679143256067", "978830679143256067")</f>
        <v/>
      </c>
      <c r="B2515" s="2" t="n">
        <v>43187.12956018518</v>
      </c>
      <c r="C2515" t="n">
        <v>0</v>
      </c>
      <c r="D2515" t="n">
        <v>1452</v>
      </c>
      <c r="E2515" t="s">
        <v>2526</v>
      </c>
      <c r="F2515">
        <f>HYPERLINK("http://pbs.twimg.com/media/DZVsWIkX0AIma-p.jpg", "http://pbs.twimg.com/media/DZVsWIkX0AIma-p.jpg")</f>
        <v/>
      </c>
      <c r="G2515" t="s"/>
      <c r="H2515" t="s"/>
      <c r="I2515" t="s"/>
      <c r="J2515" t="n">
        <v>0.8398</v>
      </c>
      <c r="K2515" t="n">
        <v>0</v>
      </c>
      <c r="L2515" t="n">
        <v>0.704</v>
      </c>
      <c r="M2515" t="n">
        <v>0.296</v>
      </c>
    </row>
    <row r="2516" spans="1:13">
      <c r="A2516" s="1">
        <f>HYPERLINK("http://www.twitter.com/NathanBLawrence/status/978830300477353984", "978830300477353984")</f>
        <v/>
      </c>
      <c r="B2516" s="2" t="n">
        <v>43187.12851851852</v>
      </c>
      <c r="C2516" t="n">
        <v>0</v>
      </c>
      <c r="D2516" t="n">
        <v>6881</v>
      </c>
      <c r="E2516" t="s">
        <v>2527</v>
      </c>
      <c r="F2516" t="s"/>
      <c r="G2516" t="s"/>
      <c r="H2516" t="s"/>
      <c r="I2516" t="s"/>
      <c r="J2516" t="n">
        <v>-0.5972</v>
      </c>
      <c r="K2516" t="n">
        <v>0.289</v>
      </c>
      <c r="L2516" t="n">
        <v>0.621</v>
      </c>
      <c r="M2516" t="n">
        <v>0.09</v>
      </c>
    </row>
    <row r="2517" spans="1:13">
      <c r="A2517" s="1">
        <f>HYPERLINK("http://www.twitter.com/NathanBLawrence/status/978830022529159168", "978830022529159168")</f>
        <v/>
      </c>
      <c r="B2517" s="2" t="n">
        <v>43187.12774305556</v>
      </c>
      <c r="C2517" t="n">
        <v>0</v>
      </c>
      <c r="D2517" t="n">
        <v>0</v>
      </c>
      <c r="E2517" t="s">
        <v>2528</v>
      </c>
      <c r="F2517" t="s"/>
      <c r="G2517" t="s"/>
      <c r="H2517" t="s"/>
      <c r="I2517" t="s"/>
      <c r="J2517" t="n">
        <v>0</v>
      </c>
      <c r="K2517" t="n">
        <v>0</v>
      </c>
      <c r="L2517" t="n">
        <v>1</v>
      </c>
      <c r="M2517" t="n">
        <v>0</v>
      </c>
    </row>
    <row r="2518" spans="1:13">
      <c r="A2518" s="1">
        <f>HYPERLINK("http://www.twitter.com/NathanBLawrence/status/978828793392631808", "978828793392631808")</f>
        <v/>
      </c>
      <c r="B2518" s="2" t="n">
        <v>43187.12435185185</v>
      </c>
      <c r="C2518" t="n">
        <v>0</v>
      </c>
      <c r="D2518" t="n">
        <v>89</v>
      </c>
      <c r="E2518" t="s">
        <v>2529</v>
      </c>
      <c r="F2518" t="s"/>
      <c r="G2518" t="s"/>
      <c r="H2518" t="s"/>
      <c r="I2518" t="s"/>
      <c r="J2518" t="n">
        <v>0.4215</v>
      </c>
      <c r="K2518" t="n">
        <v>0</v>
      </c>
      <c r="L2518" t="n">
        <v>0.847</v>
      </c>
      <c r="M2518" t="n">
        <v>0.153</v>
      </c>
    </row>
    <row r="2519" spans="1:13">
      <c r="A2519" s="1">
        <f>HYPERLINK("http://www.twitter.com/NathanBLawrence/status/978828450810290178", "978828450810290178")</f>
        <v/>
      </c>
      <c r="B2519" s="2" t="n">
        <v>43187.12341435185</v>
      </c>
      <c r="C2519" t="n">
        <v>0</v>
      </c>
      <c r="D2519" t="n">
        <v>43</v>
      </c>
      <c r="E2519" t="s">
        <v>2530</v>
      </c>
      <c r="F2519" t="s"/>
      <c r="G2519" t="s"/>
      <c r="H2519" t="s"/>
      <c r="I2519" t="s"/>
      <c r="J2519" t="n">
        <v>0.2944</v>
      </c>
      <c r="K2519" t="n">
        <v>0</v>
      </c>
      <c r="L2519" t="n">
        <v>0.897</v>
      </c>
      <c r="M2519" t="n">
        <v>0.103</v>
      </c>
    </row>
    <row r="2520" spans="1:13">
      <c r="A2520" s="1">
        <f>HYPERLINK("http://www.twitter.com/NathanBLawrence/status/978827784071143424", "978827784071143424")</f>
        <v/>
      </c>
      <c r="B2520" s="2" t="n">
        <v>43187.12157407407</v>
      </c>
      <c r="C2520" t="n">
        <v>1</v>
      </c>
      <c r="D2520" t="n">
        <v>0</v>
      </c>
      <c r="E2520" t="s">
        <v>2531</v>
      </c>
      <c r="F2520" t="s"/>
      <c r="G2520" t="s"/>
      <c r="H2520" t="s"/>
      <c r="I2520" t="s"/>
      <c r="J2520" t="n">
        <v>0</v>
      </c>
      <c r="K2520" t="n">
        <v>0</v>
      </c>
      <c r="L2520" t="n">
        <v>1</v>
      </c>
      <c r="M2520" t="n">
        <v>0</v>
      </c>
    </row>
    <row r="2521" spans="1:13">
      <c r="A2521" s="1">
        <f>HYPERLINK("http://www.twitter.com/NathanBLawrence/status/978812457169846272", "978812457169846272")</f>
        <v/>
      </c>
      <c r="B2521" s="2" t="n">
        <v>43187.07927083333</v>
      </c>
      <c r="C2521" t="n">
        <v>0</v>
      </c>
      <c r="D2521" t="n">
        <v>1</v>
      </c>
      <c r="E2521" t="s">
        <v>2532</v>
      </c>
      <c r="F2521">
        <f>HYPERLINK("http://pbs.twimg.com/media/DZVwuUiU8AAoOYM.jpg", "http://pbs.twimg.com/media/DZVwuUiU8AAoOYM.jpg")</f>
        <v/>
      </c>
      <c r="G2521" t="s"/>
      <c r="H2521" t="s"/>
      <c r="I2521" t="s"/>
      <c r="J2521" t="n">
        <v>0.4215</v>
      </c>
      <c r="K2521" t="n">
        <v>0</v>
      </c>
      <c r="L2521" t="n">
        <v>0.763</v>
      </c>
      <c r="M2521" t="n">
        <v>0.237</v>
      </c>
    </row>
    <row r="2522" spans="1:13">
      <c r="A2522" s="1">
        <f>HYPERLINK("http://www.twitter.com/NathanBLawrence/status/978808786021384192", "978808786021384192")</f>
        <v/>
      </c>
      <c r="B2522" s="2" t="n">
        <v>43187.06914351852</v>
      </c>
      <c r="C2522" t="n">
        <v>0</v>
      </c>
      <c r="D2522" t="n">
        <v>45</v>
      </c>
      <c r="E2522" t="s">
        <v>2533</v>
      </c>
      <c r="F2522" t="s"/>
      <c r="G2522" t="s"/>
      <c r="H2522" t="s"/>
      <c r="I2522" t="s"/>
      <c r="J2522" t="n">
        <v>-0.8679</v>
      </c>
      <c r="K2522" t="n">
        <v>0.328</v>
      </c>
      <c r="L2522" t="n">
        <v>0.589</v>
      </c>
      <c r="M2522" t="n">
        <v>0.082</v>
      </c>
    </row>
    <row r="2523" spans="1:13">
      <c r="A2523" s="1">
        <f>HYPERLINK("http://www.twitter.com/NathanBLawrence/status/978804218755678208", "978804218755678208")</f>
        <v/>
      </c>
      <c r="B2523" s="2" t="n">
        <v>43187.05653935186</v>
      </c>
      <c r="C2523" t="n">
        <v>0</v>
      </c>
      <c r="D2523" t="n">
        <v>1</v>
      </c>
      <c r="E2523" t="s">
        <v>2534</v>
      </c>
      <c r="F2523" t="s"/>
      <c r="G2523" t="s"/>
      <c r="H2523" t="s"/>
      <c r="I2523" t="s"/>
      <c r="J2523" t="n">
        <v>-0.0772</v>
      </c>
      <c r="K2523" t="n">
        <v>0.056</v>
      </c>
      <c r="L2523" t="n">
        <v>0.944</v>
      </c>
      <c r="M2523" t="n">
        <v>0</v>
      </c>
    </row>
    <row r="2524" spans="1:13">
      <c r="A2524" s="1">
        <f>HYPERLINK("http://www.twitter.com/NathanBLawrence/status/978804104444174336", "978804104444174336")</f>
        <v/>
      </c>
      <c r="B2524" s="2" t="n">
        <v>43187.05622685186</v>
      </c>
      <c r="C2524" t="n">
        <v>0</v>
      </c>
      <c r="D2524" t="n">
        <v>0</v>
      </c>
      <c r="E2524" t="s">
        <v>2535</v>
      </c>
      <c r="F2524" t="s"/>
      <c r="G2524" t="s"/>
      <c r="H2524" t="s"/>
      <c r="I2524" t="s"/>
      <c r="J2524" t="n">
        <v>0</v>
      </c>
      <c r="K2524" t="n">
        <v>0</v>
      </c>
      <c r="L2524" t="n">
        <v>1</v>
      </c>
      <c r="M2524" t="n">
        <v>0</v>
      </c>
    </row>
    <row r="2525" spans="1:13">
      <c r="A2525" s="1">
        <f>HYPERLINK("http://www.twitter.com/NathanBLawrence/status/978790261215186944", "978790261215186944")</f>
        <v/>
      </c>
      <c r="B2525" s="2" t="n">
        <v>43187.01802083333</v>
      </c>
      <c r="C2525" t="n">
        <v>0</v>
      </c>
      <c r="D2525" t="n">
        <v>0</v>
      </c>
      <c r="E2525" t="s">
        <v>2536</v>
      </c>
      <c r="F2525" t="s"/>
      <c r="G2525" t="s"/>
      <c r="H2525" t="s"/>
      <c r="I2525" t="s"/>
      <c r="J2525" t="n">
        <v>0.7365</v>
      </c>
      <c r="K2525" t="n">
        <v>0</v>
      </c>
      <c r="L2525" t="n">
        <v>0.489</v>
      </c>
      <c r="M2525" t="n">
        <v>0.511</v>
      </c>
    </row>
    <row r="2526" spans="1:13">
      <c r="A2526" s="1">
        <f>HYPERLINK("http://www.twitter.com/NathanBLawrence/status/978789848634089474", "978789848634089474")</f>
        <v/>
      </c>
      <c r="B2526" s="2" t="n">
        <v>43187.01688657407</v>
      </c>
      <c r="C2526" t="n">
        <v>0</v>
      </c>
      <c r="D2526" t="n">
        <v>0</v>
      </c>
      <c r="E2526" t="s">
        <v>2537</v>
      </c>
      <c r="F2526" t="s"/>
      <c r="G2526" t="s"/>
      <c r="H2526" t="s"/>
      <c r="I2526" t="s"/>
      <c r="J2526" t="n">
        <v>0.3071</v>
      </c>
      <c r="K2526" t="n">
        <v>0.189</v>
      </c>
      <c r="L2526" t="n">
        <v>0.473</v>
      </c>
      <c r="M2526" t="n">
        <v>0.337</v>
      </c>
    </row>
    <row r="2527" spans="1:13">
      <c r="A2527" s="1">
        <f>HYPERLINK("http://www.twitter.com/NathanBLawrence/status/978788618851536896", "978788618851536896")</f>
        <v/>
      </c>
      <c r="B2527" s="2" t="n">
        <v>43187.01349537037</v>
      </c>
      <c r="C2527" t="n">
        <v>0</v>
      </c>
      <c r="D2527" t="n">
        <v>4096</v>
      </c>
      <c r="E2527" t="s">
        <v>2538</v>
      </c>
      <c r="F2527">
        <f>HYPERLINK("https://video.twimg.com/ext_tw_video/978639183702036485/pu/vid/640x360/UnygSveGLCkDb4ub.mp4", "https://video.twimg.com/ext_tw_video/978639183702036485/pu/vid/640x360/UnygSveGLCkDb4ub.mp4")</f>
        <v/>
      </c>
      <c r="G2527" t="s"/>
      <c r="H2527" t="s"/>
      <c r="I2527" t="s"/>
      <c r="J2527" t="n">
        <v>0</v>
      </c>
      <c r="K2527" t="n">
        <v>0</v>
      </c>
      <c r="L2527" t="n">
        <v>1</v>
      </c>
      <c r="M2527" t="n">
        <v>0</v>
      </c>
    </row>
    <row r="2528" spans="1:13">
      <c r="A2528" s="1">
        <f>HYPERLINK("http://www.twitter.com/NathanBLawrence/status/978788426639200256", "978788426639200256")</f>
        <v/>
      </c>
      <c r="B2528" s="2" t="n">
        <v>43187.01296296297</v>
      </c>
      <c r="C2528" t="n">
        <v>0</v>
      </c>
      <c r="D2528" t="n">
        <v>443</v>
      </c>
      <c r="E2528" t="s">
        <v>2539</v>
      </c>
      <c r="F2528">
        <f>HYPERLINK("http://pbs.twimg.com/media/DZPmGRqXUAA_1ZT.jpg", "http://pbs.twimg.com/media/DZPmGRqXUAA_1ZT.jpg")</f>
        <v/>
      </c>
      <c r="G2528" t="s"/>
      <c r="H2528" t="s"/>
      <c r="I2528" t="s"/>
      <c r="J2528" t="n">
        <v>0.4404</v>
      </c>
      <c r="K2528" t="n">
        <v>0.103</v>
      </c>
      <c r="L2528" t="n">
        <v>0.698</v>
      </c>
      <c r="M2528" t="n">
        <v>0.199</v>
      </c>
    </row>
    <row r="2529" spans="1:13">
      <c r="A2529" s="1">
        <f>HYPERLINK("http://www.twitter.com/NathanBLawrence/status/978787414285176838", "978787414285176838")</f>
        <v/>
      </c>
      <c r="B2529" s="2" t="n">
        <v>43187.01017361111</v>
      </c>
      <c r="C2529" t="n">
        <v>0</v>
      </c>
      <c r="D2529" t="n">
        <v>0</v>
      </c>
      <c r="E2529" t="s">
        <v>2540</v>
      </c>
      <c r="F2529" t="s"/>
      <c r="G2529" t="s"/>
      <c r="H2529" t="s"/>
      <c r="I2529" t="s"/>
      <c r="J2529" t="n">
        <v>0.5707</v>
      </c>
      <c r="K2529" t="n">
        <v>0.132</v>
      </c>
      <c r="L2529" t="n">
        <v>0.622</v>
      </c>
      <c r="M2529" t="n">
        <v>0.246</v>
      </c>
    </row>
    <row r="2530" spans="1:13">
      <c r="A2530" s="1">
        <f>HYPERLINK("http://www.twitter.com/NathanBLawrence/status/978749917538799617", "978749917538799617")</f>
        <v/>
      </c>
      <c r="B2530" s="2" t="n">
        <v>43186.90670138889</v>
      </c>
      <c r="C2530" t="n">
        <v>0</v>
      </c>
      <c r="D2530" t="n">
        <v>289</v>
      </c>
      <c r="E2530" t="s">
        <v>2541</v>
      </c>
      <c r="F2530" t="s"/>
      <c r="G2530" t="s"/>
      <c r="H2530" t="s"/>
      <c r="I2530" t="s"/>
      <c r="J2530" t="n">
        <v>0</v>
      </c>
      <c r="K2530" t="n">
        <v>0</v>
      </c>
      <c r="L2530" t="n">
        <v>1</v>
      </c>
      <c r="M2530" t="n">
        <v>0</v>
      </c>
    </row>
    <row r="2531" spans="1:13">
      <c r="A2531" s="1">
        <f>HYPERLINK("http://www.twitter.com/NathanBLawrence/status/978749792762388480", "978749792762388480")</f>
        <v/>
      </c>
      <c r="B2531" s="2" t="n">
        <v>43186.90635416667</v>
      </c>
      <c r="C2531" t="n">
        <v>0</v>
      </c>
      <c r="D2531" t="n">
        <v>0</v>
      </c>
      <c r="E2531" t="s">
        <v>2542</v>
      </c>
      <c r="F2531" t="s"/>
      <c r="G2531" t="s"/>
      <c r="H2531" t="s"/>
      <c r="I2531" t="s"/>
      <c r="J2531" t="n">
        <v>-0.6289</v>
      </c>
      <c r="K2531" t="n">
        <v>0.508</v>
      </c>
      <c r="L2531" t="n">
        <v>0.492</v>
      </c>
      <c r="M2531" t="n">
        <v>0</v>
      </c>
    </row>
    <row r="2532" spans="1:13">
      <c r="A2532" s="1">
        <f>HYPERLINK("http://www.twitter.com/NathanBLawrence/status/978745359332724736", "978745359332724736")</f>
        <v/>
      </c>
      <c r="B2532" s="2" t="n">
        <v>43186.89412037037</v>
      </c>
      <c r="C2532" t="n">
        <v>0</v>
      </c>
      <c r="D2532" t="n">
        <v>1011</v>
      </c>
      <c r="E2532" t="s">
        <v>2543</v>
      </c>
      <c r="F2532" t="s"/>
      <c r="G2532" t="s"/>
      <c r="H2532" t="s"/>
      <c r="I2532" t="s"/>
      <c r="J2532" t="n">
        <v>-0.3089</v>
      </c>
      <c r="K2532" t="n">
        <v>0.097</v>
      </c>
      <c r="L2532" t="n">
        <v>0.903</v>
      </c>
      <c r="M2532" t="n">
        <v>0</v>
      </c>
    </row>
    <row r="2533" spans="1:13">
      <c r="A2533" s="1">
        <f>HYPERLINK("http://www.twitter.com/NathanBLawrence/status/978719765555564548", "978719765555564548")</f>
        <v/>
      </c>
      <c r="B2533" s="2" t="n">
        <v>43186.82349537037</v>
      </c>
      <c r="C2533" t="n">
        <v>0</v>
      </c>
      <c r="D2533" t="n">
        <v>0</v>
      </c>
      <c r="E2533" t="s">
        <v>2544</v>
      </c>
      <c r="F2533" t="s"/>
      <c r="G2533" t="s"/>
      <c r="H2533" t="s"/>
      <c r="I2533" t="s"/>
      <c r="J2533" t="n">
        <v>-0.5423</v>
      </c>
      <c r="K2533" t="n">
        <v>0.22</v>
      </c>
      <c r="L2533" t="n">
        <v>0.78</v>
      </c>
      <c r="M2533" t="n">
        <v>0</v>
      </c>
    </row>
    <row r="2534" spans="1:13">
      <c r="A2534" s="1">
        <f>HYPERLINK("http://www.twitter.com/NathanBLawrence/status/978701329978839041", "978701329978839041")</f>
        <v/>
      </c>
      <c r="B2534" s="2" t="n">
        <v>43186.77262731481</v>
      </c>
      <c r="C2534" t="n">
        <v>0</v>
      </c>
      <c r="D2534" t="n">
        <v>0</v>
      </c>
      <c r="E2534" t="s">
        <v>2545</v>
      </c>
      <c r="F2534" t="s"/>
      <c r="G2534" t="s"/>
      <c r="H2534" t="s"/>
      <c r="I2534" t="s"/>
      <c r="J2534" t="n">
        <v>0</v>
      </c>
      <c r="K2534" t="n">
        <v>0</v>
      </c>
      <c r="L2534" t="n">
        <v>1</v>
      </c>
      <c r="M2534" t="n">
        <v>0</v>
      </c>
    </row>
    <row r="2535" spans="1:13">
      <c r="A2535" s="1">
        <f>HYPERLINK("http://www.twitter.com/NathanBLawrence/status/978698937895981056", "978698937895981056")</f>
        <v/>
      </c>
      <c r="B2535" s="2" t="n">
        <v>43186.76601851852</v>
      </c>
      <c r="C2535" t="n">
        <v>0</v>
      </c>
      <c r="D2535" t="n">
        <v>1</v>
      </c>
      <c r="E2535" t="s">
        <v>2546</v>
      </c>
      <c r="F2535" t="s"/>
      <c r="G2535" t="s"/>
      <c r="H2535" t="s"/>
      <c r="I2535" t="s"/>
      <c r="J2535" t="n">
        <v>-0.8516</v>
      </c>
      <c r="K2535" t="n">
        <v>0.65</v>
      </c>
      <c r="L2535" t="n">
        <v>0.35</v>
      </c>
      <c r="M2535" t="n">
        <v>0</v>
      </c>
    </row>
    <row r="2536" spans="1:13">
      <c r="A2536" s="1">
        <f>HYPERLINK("http://www.twitter.com/NathanBLawrence/status/978698744861519872", "978698744861519872")</f>
        <v/>
      </c>
      <c r="B2536" s="2" t="n">
        <v>43186.76548611111</v>
      </c>
      <c r="C2536" t="n">
        <v>0</v>
      </c>
      <c r="D2536" t="n">
        <v>0</v>
      </c>
      <c r="E2536" t="s">
        <v>2547</v>
      </c>
      <c r="F2536" t="s"/>
      <c r="G2536" t="s"/>
      <c r="H2536" t="s"/>
      <c r="I2536" t="s"/>
      <c r="J2536" t="n">
        <v>0.6705</v>
      </c>
      <c r="K2536" t="n">
        <v>0</v>
      </c>
      <c r="L2536" t="n">
        <v>0.861</v>
      </c>
      <c r="M2536" t="n">
        <v>0.139</v>
      </c>
    </row>
    <row r="2537" spans="1:13">
      <c r="A2537" s="1">
        <f>HYPERLINK("http://www.twitter.com/NathanBLawrence/status/978697997088370688", "978697997088370688")</f>
        <v/>
      </c>
      <c r="B2537" s="2" t="n">
        <v>43186.76342592593</v>
      </c>
      <c r="C2537" t="n">
        <v>0</v>
      </c>
      <c r="D2537" t="n">
        <v>0</v>
      </c>
      <c r="E2537" t="s">
        <v>2548</v>
      </c>
      <c r="F2537" t="s"/>
      <c r="G2537" t="s"/>
      <c r="H2537" t="s"/>
      <c r="I2537" t="s"/>
      <c r="J2537" t="n">
        <v>0</v>
      </c>
      <c r="K2537" t="n">
        <v>0</v>
      </c>
      <c r="L2537" t="n">
        <v>1</v>
      </c>
      <c r="M2537" t="n">
        <v>0</v>
      </c>
    </row>
    <row r="2538" spans="1:13">
      <c r="A2538" s="1">
        <f>HYPERLINK("http://www.twitter.com/NathanBLawrence/status/978697827844050945", "978697827844050945")</f>
        <v/>
      </c>
      <c r="B2538" s="2" t="n">
        <v>43186.76296296297</v>
      </c>
      <c r="C2538" t="n">
        <v>1</v>
      </c>
      <c r="D2538" t="n">
        <v>1</v>
      </c>
      <c r="E2538" t="s">
        <v>2549</v>
      </c>
      <c r="F2538" t="s"/>
      <c r="G2538" t="s"/>
      <c r="H2538" t="s"/>
      <c r="I2538" t="s"/>
      <c r="J2538" t="n">
        <v>-0.7184</v>
      </c>
      <c r="K2538" t="n">
        <v>0.245</v>
      </c>
      <c r="L2538" t="n">
        <v>0.669</v>
      </c>
      <c r="M2538" t="n">
        <v>0.08599999999999999</v>
      </c>
    </row>
    <row r="2539" spans="1:13">
      <c r="A2539" s="1">
        <f>HYPERLINK("http://www.twitter.com/NathanBLawrence/status/978695816004108289", "978695816004108289")</f>
        <v/>
      </c>
      <c r="B2539" s="2" t="n">
        <v>43186.75740740741</v>
      </c>
      <c r="C2539" t="n">
        <v>0</v>
      </c>
      <c r="D2539" t="n">
        <v>18</v>
      </c>
      <c r="E2539" t="s">
        <v>2550</v>
      </c>
      <c r="F2539" t="s"/>
      <c r="G2539" t="s"/>
      <c r="H2539" t="s"/>
      <c r="I2539" t="s"/>
      <c r="J2539" t="n">
        <v>0</v>
      </c>
      <c r="K2539" t="n">
        <v>0</v>
      </c>
      <c r="L2539" t="n">
        <v>1</v>
      </c>
      <c r="M2539" t="n">
        <v>0</v>
      </c>
    </row>
    <row r="2540" spans="1:13">
      <c r="A2540" s="1">
        <f>HYPERLINK("http://www.twitter.com/NathanBLawrence/status/978695264658698240", "978695264658698240")</f>
        <v/>
      </c>
      <c r="B2540" s="2" t="n">
        <v>43186.75589120371</v>
      </c>
      <c r="C2540" t="n">
        <v>1</v>
      </c>
      <c r="D2540" t="n">
        <v>0</v>
      </c>
      <c r="E2540" t="s">
        <v>2551</v>
      </c>
      <c r="F2540" t="s"/>
      <c r="G2540" t="s"/>
      <c r="H2540" t="s"/>
      <c r="I2540" t="s"/>
      <c r="J2540" t="n">
        <v>0</v>
      </c>
      <c r="K2540" t="n">
        <v>0</v>
      </c>
      <c r="L2540" t="n">
        <v>1</v>
      </c>
      <c r="M2540" t="n">
        <v>0</v>
      </c>
    </row>
    <row r="2541" spans="1:13">
      <c r="A2541" s="1">
        <f>HYPERLINK("http://www.twitter.com/NathanBLawrence/status/978655723017199616", "978655723017199616")</f>
        <v/>
      </c>
      <c r="B2541" s="2" t="n">
        <v>43186.64677083334</v>
      </c>
      <c r="C2541" t="n">
        <v>0</v>
      </c>
      <c r="D2541" t="n">
        <v>0</v>
      </c>
      <c r="E2541" t="s">
        <v>2552</v>
      </c>
      <c r="F2541">
        <f>HYPERLINK("http://pbs.twimg.com/media/DZTiK00UMAEyrJY.jpg", "http://pbs.twimg.com/media/DZTiK00UMAEyrJY.jpg")</f>
        <v/>
      </c>
      <c r="G2541" t="s"/>
      <c r="H2541" t="s"/>
      <c r="I2541" t="s"/>
      <c r="J2541" t="n">
        <v>0.2942</v>
      </c>
      <c r="K2541" t="n">
        <v>0</v>
      </c>
      <c r="L2541" t="n">
        <v>0.919</v>
      </c>
      <c r="M2541" t="n">
        <v>0.081</v>
      </c>
    </row>
    <row r="2542" spans="1:13">
      <c r="A2542" s="1">
        <f>HYPERLINK("http://www.twitter.com/NathanBLawrence/status/978654922735603712", "978654922735603712")</f>
        <v/>
      </c>
      <c r="B2542" s="2" t="n">
        <v>43186.64456018519</v>
      </c>
      <c r="C2542" t="n">
        <v>0</v>
      </c>
      <c r="D2542" t="n">
        <v>0</v>
      </c>
      <c r="E2542" t="s">
        <v>2553</v>
      </c>
      <c r="F2542" t="s"/>
      <c r="G2542" t="s"/>
      <c r="H2542" t="s"/>
      <c r="I2542" t="s"/>
      <c r="J2542" t="n">
        <v>0</v>
      </c>
      <c r="K2542" t="n">
        <v>0</v>
      </c>
      <c r="L2542" t="n">
        <v>1</v>
      </c>
      <c r="M2542" t="n">
        <v>0</v>
      </c>
    </row>
    <row r="2543" spans="1:13">
      <c r="A2543" s="1">
        <f>HYPERLINK("http://www.twitter.com/NathanBLawrence/status/978653874750881792", "978653874750881792")</f>
        <v/>
      </c>
      <c r="B2543" s="2" t="n">
        <v>43186.64166666667</v>
      </c>
      <c r="C2543" t="n">
        <v>0</v>
      </c>
      <c r="D2543" t="n">
        <v>0</v>
      </c>
      <c r="E2543" t="s">
        <v>2554</v>
      </c>
      <c r="F2543" t="s"/>
      <c r="G2543" t="s"/>
      <c r="H2543" t="s"/>
      <c r="I2543" t="s"/>
      <c r="J2543" t="n">
        <v>-0.8414</v>
      </c>
      <c r="K2543" t="n">
        <v>0.321</v>
      </c>
      <c r="L2543" t="n">
        <v>0.679</v>
      </c>
      <c r="M2543" t="n">
        <v>0</v>
      </c>
    </row>
    <row r="2544" spans="1:13">
      <c r="A2544" s="1">
        <f>HYPERLINK("http://www.twitter.com/NathanBLawrence/status/978653782220378112", "978653782220378112")</f>
        <v/>
      </c>
      <c r="B2544" s="2" t="n">
        <v>43186.64141203704</v>
      </c>
      <c r="C2544" t="n">
        <v>0</v>
      </c>
      <c r="D2544" t="n">
        <v>0</v>
      </c>
      <c r="E2544" t="s">
        <v>2555</v>
      </c>
      <c r="F2544">
        <f>HYPERLINK("http://pbs.twimg.com/media/DZTgatJVoAEUOWT.jpg", "http://pbs.twimg.com/media/DZTgatJVoAEUOWT.jpg")</f>
        <v/>
      </c>
      <c r="G2544" t="s"/>
      <c r="H2544" t="s"/>
      <c r="I2544" t="s"/>
      <c r="J2544" t="n">
        <v>-0.6562</v>
      </c>
      <c r="K2544" t="n">
        <v>0.124</v>
      </c>
      <c r="L2544" t="n">
        <v>0.844</v>
      </c>
      <c r="M2544" t="n">
        <v>0.032</v>
      </c>
    </row>
    <row r="2545" spans="1:13">
      <c r="A2545" s="1">
        <f>HYPERLINK("http://www.twitter.com/NathanBLawrence/status/978653568675786752", "978653568675786752")</f>
        <v/>
      </c>
      <c r="B2545" s="2" t="n">
        <v>43186.64082175926</v>
      </c>
      <c r="C2545" t="n">
        <v>0</v>
      </c>
      <c r="D2545" t="n">
        <v>2</v>
      </c>
      <c r="E2545" t="s">
        <v>2556</v>
      </c>
      <c r="F2545" t="s"/>
      <c r="G2545" t="s"/>
      <c r="H2545" t="s"/>
      <c r="I2545" t="s"/>
      <c r="J2545" t="n">
        <v>0</v>
      </c>
      <c r="K2545" t="n">
        <v>0</v>
      </c>
      <c r="L2545" t="n">
        <v>1</v>
      </c>
      <c r="M2545" t="n">
        <v>0</v>
      </c>
    </row>
    <row r="2546" spans="1:13">
      <c r="A2546" s="1">
        <f>HYPERLINK("http://www.twitter.com/NathanBLawrence/status/978653500996554752", "978653500996554752")</f>
        <v/>
      </c>
      <c r="B2546" s="2" t="n">
        <v>43186.64063657408</v>
      </c>
      <c r="C2546" t="n">
        <v>0</v>
      </c>
      <c r="D2546" t="n">
        <v>0</v>
      </c>
      <c r="E2546" t="s">
        <v>2557</v>
      </c>
      <c r="F2546" t="s"/>
      <c r="G2546" t="s"/>
      <c r="H2546" t="s"/>
      <c r="I2546" t="s"/>
      <c r="J2546" t="n">
        <v>-0.7907</v>
      </c>
      <c r="K2546" t="n">
        <v>0.318</v>
      </c>
      <c r="L2546" t="n">
        <v>0.6820000000000001</v>
      </c>
      <c r="M2546" t="n">
        <v>0</v>
      </c>
    </row>
    <row r="2547" spans="1:13">
      <c r="A2547" s="1">
        <f>HYPERLINK("http://www.twitter.com/NathanBLawrence/status/978646931399376896", "978646931399376896")</f>
        <v/>
      </c>
      <c r="B2547" s="2" t="n">
        <v>43186.62251157407</v>
      </c>
      <c r="C2547" t="n">
        <v>1</v>
      </c>
      <c r="D2547" t="n">
        <v>0</v>
      </c>
      <c r="E2547" t="s">
        <v>2558</v>
      </c>
      <c r="F2547" t="s"/>
      <c r="G2547" t="s"/>
      <c r="H2547" t="s"/>
      <c r="I2547" t="s"/>
      <c r="J2547" t="n">
        <v>0.1027</v>
      </c>
      <c r="K2547" t="n">
        <v>0.065</v>
      </c>
      <c r="L2547" t="n">
        <v>0.86</v>
      </c>
      <c r="M2547" t="n">
        <v>0.075</v>
      </c>
    </row>
    <row r="2548" spans="1:13">
      <c r="A2548" s="1">
        <f>HYPERLINK("http://www.twitter.com/NathanBLawrence/status/978641864961257476", "978641864961257476")</f>
        <v/>
      </c>
      <c r="B2548" s="2" t="n">
        <v>43186.60853009259</v>
      </c>
      <c r="C2548" t="n">
        <v>3</v>
      </c>
      <c r="D2548" t="n">
        <v>0</v>
      </c>
      <c r="E2548" t="s">
        <v>2559</v>
      </c>
      <c r="F2548" t="s"/>
      <c r="G2548" t="s"/>
      <c r="H2548" t="s"/>
      <c r="I2548" t="s"/>
      <c r="J2548" t="n">
        <v>0</v>
      </c>
      <c r="K2548" t="n">
        <v>0</v>
      </c>
      <c r="L2548" t="n">
        <v>1</v>
      </c>
      <c r="M2548" t="n">
        <v>0</v>
      </c>
    </row>
    <row r="2549" spans="1:13">
      <c r="A2549" s="1">
        <f>HYPERLINK("http://www.twitter.com/NathanBLawrence/status/978641514116116480", "978641514116116480")</f>
        <v/>
      </c>
      <c r="B2549" s="2" t="n">
        <v>43186.60755787037</v>
      </c>
      <c r="C2549" t="n">
        <v>0</v>
      </c>
      <c r="D2549" t="n">
        <v>0</v>
      </c>
      <c r="E2549" t="s">
        <v>2560</v>
      </c>
      <c r="F2549" t="s"/>
      <c r="G2549" t="s"/>
      <c r="H2549" t="s"/>
      <c r="I2549" t="s"/>
      <c r="J2549" t="n">
        <v>-0.1027</v>
      </c>
      <c r="K2549" t="n">
        <v>0.205</v>
      </c>
      <c r="L2549" t="n">
        <v>0.625</v>
      </c>
      <c r="M2549" t="n">
        <v>0.17</v>
      </c>
    </row>
    <row r="2550" spans="1:13">
      <c r="A2550" s="1">
        <f>HYPERLINK("http://www.twitter.com/NathanBLawrence/status/978641084258463745", "978641084258463745")</f>
        <v/>
      </c>
      <c r="B2550" s="2" t="n">
        <v>43186.60637731481</v>
      </c>
      <c r="C2550" t="n">
        <v>0</v>
      </c>
      <c r="D2550" t="n">
        <v>2626</v>
      </c>
      <c r="E2550" t="s">
        <v>2561</v>
      </c>
      <c r="F2550" t="s"/>
      <c r="G2550" t="s"/>
      <c r="H2550" t="s"/>
      <c r="I2550" t="s"/>
      <c r="J2550" t="n">
        <v>0</v>
      </c>
      <c r="K2550" t="n">
        <v>0</v>
      </c>
      <c r="L2550" t="n">
        <v>1</v>
      </c>
      <c r="M2550" t="n">
        <v>0</v>
      </c>
    </row>
    <row r="2551" spans="1:13">
      <c r="A2551" s="1">
        <f>HYPERLINK("http://www.twitter.com/NathanBLawrence/status/978640985638035456", "978640985638035456")</f>
        <v/>
      </c>
      <c r="B2551" s="2" t="n">
        <v>43186.60609953704</v>
      </c>
      <c r="C2551" t="n">
        <v>2</v>
      </c>
      <c r="D2551" t="n">
        <v>0</v>
      </c>
      <c r="E2551" t="s">
        <v>2562</v>
      </c>
      <c r="F2551" t="s"/>
      <c r="G2551" t="s"/>
      <c r="H2551" t="s"/>
      <c r="I2551" t="s"/>
      <c r="J2551" t="n">
        <v>-0.0572</v>
      </c>
      <c r="K2551" t="n">
        <v>0.07099999999999999</v>
      </c>
      <c r="L2551" t="n">
        <v>0.929</v>
      </c>
      <c r="M2551" t="n">
        <v>0</v>
      </c>
    </row>
    <row r="2552" spans="1:13">
      <c r="A2552" s="1">
        <f>HYPERLINK("http://www.twitter.com/NathanBLawrence/status/978640620947374080", "978640620947374080")</f>
        <v/>
      </c>
      <c r="B2552" s="2" t="n">
        <v>43186.6050925926</v>
      </c>
      <c r="C2552" t="n">
        <v>0</v>
      </c>
      <c r="D2552" t="n">
        <v>0</v>
      </c>
      <c r="E2552" t="s">
        <v>2563</v>
      </c>
      <c r="F2552" t="s"/>
      <c r="G2552" t="s"/>
      <c r="H2552" t="s"/>
      <c r="I2552" t="s"/>
      <c r="J2552" t="n">
        <v>-0.1281</v>
      </c>
      <c r="K2552" t="n">
        <v>0.231</v>
      </c>
      <c r="L2552" t="n">
        <v>0.769</v>
      </c>
      <c r="M2552" t="n">
        <v>0</v>
      </c>
    </row>
    <row r="2553" spans="1:13">
      <c r="A2553" s="1">
        <f>HYPERLINK("http://www.twitter.com/NathanBLawrence/status/978623868951777281", "978623868951777281")</f>
        <v/>
      </c>
      <c r="B2553" s="2" t="n">
        <v>43186.55886574074</v>
      </c>
      <c r="C2553" t="n">
        <v>2</v>
      </c>
      <c r="D2553" t="n">
        <v>0</v>
      </c>
      <c r="E2553" t="s">
        <v>2564</v>
      </c>
      <c r="F2553" t="s"/>
      <c r="G2553" t="s"/>
      <c r="H2553" t="s"/>
      <c r="I2553" t="s"/>
      <c r="J2553" t="n">
        <v>0</v>
      </c>
      <c r="K2553" t="n">
        <v>0</v>
      </c>
      <c r="L2553" t="n">
        <v>1</v>
      </c>
      <c r="M2553" t="n">
        <v>0</v>
      </c>
    </row>
    <row r="2554" spans="1:13">
      <c r="A2554" s="1">
        <f>HYPERLINK("http://www.twitter.com/NathanBLawrence/status/978616904486187008", "978616904486187008")</f>
        <v/>
      </c>
      <c r="B2554" s="2" t="n">
        <v>43186.53965277778</v>
      </c>
      <c r="C2554" t="n">
        <v>0</v>
      </c>
      <c r="D2554" t="n">
        <v>0</v>
      </c>
      <c r="E2554" t="s">
        <v>2565</v>
      </c>
      <c r="F2554" t="s"/>
      <c r="G2554" t="s"/>
      <c r="H2554" t="s"/>
      <c r="I2554" t="s"/>
      <c r="J2554" t="n">
        <v>-0.4019</v>
      </c>
      <c r="K2554" t="n">
        <v>0.73</v>
      </c>
      <c r="L2554" t="n">
        <v>0.27</v>
      </c>
      <c r="M2554" t="n">
        <v>0</v>
      </c>
    </row>
    <row r="2555" spans="1:13">
      <c r="A2555" s="1">
        <f>HYPERLINK("http://www.twitter.com/NathanBLawrence/status/978609658205270016", "978609658205270016")</f>
        <v/>
      </c>
      <c r="B2555" s="2" t="n">
        <v>43186.51965277778</v>
      </c>
      <c r="C2555" t="n">
        <v>0</v>
      </c>
      <c r="D2555" t="n">
        <v>0</v>
      </c>
      <c r="E2555" t="s">
        <v>2566</v>
      </c>
      <c r="F2555" t="s"/>
      <c r="G2555" t="s"/>
      <c r="H2555" t="s"/>
      <c r="I2555" t="s"/>
      <c r="J2555" t="n">
        <v>0.3612</v>
      </c>
      <c r="K2555" t="n">
        <v>0</v>
      </c>
      <c r="L2555" t="n">
        <v>0.839</v>
      </c>
      <c r="M2555" t="n">
        <v>0.161</v>
      </c>
    </row>
    <row r="2556" spans="1:13">
      <c r="A2556" s="1">
        <f>HYPERLINK("http://www.twitter.com/NathanBLawrence/status/978490893148844032", "978490893148844032")</f>
        <v/>
      </c>
      <c r="B2556" s="2" t="n">
        <v>43186.19193287037</v>
      </c>
      <c r="C2556" t="n">
        <v>0</v>
      </c>
      <c r="D2556" t="n">
        <v>0</v>
      </c>
      <c r="E2556" t="s">
        <v>2567</v>
      </c>
      <c r="F2556" t="s"/>
      <c r="G2556" t="s"/>
      <c r="H2556" t="s"/>
      <c r="I2556" t="s"/>
      <c r="J2556" t="n">
        <v>-0.8111</v>
      </c>
      <c r="K2556" t="n">
        <v>0.239</v>
      </c>
      <c r="L2556" t="n">
        <v>0.708</v>
      </c>
      <c r="M2556" t="n">
        <v>0.053</v>
      </c>
    </row>
    <row r="2557" spans="1:13">
      <c r="A2557" s="1">
        <f>HYPERLINK("http://www.twitter.com/NathanBLawrence/status/978490127877070848", "978490127877070848")</f>
        <v/>
      </c>
      <c r="B2557" s="2" t="n">
        <v>43186.18981481482</v>
      </c>
      <c r="C2557" t="n">
        <v>0</v>
      </c>
      <c r="D2557" t="n">
        <v>0</v>
      </c>
      <c r="E2557" t="s">
        <v>2568</v>
      </c>
      <c r="F2557" t="s"/>
      <c r="G2557" t="s"/>
      <c r="H2557" t="s"/>
      <c r="I2557" t="s"/>
      <c r="J2557" t="n">
        <v>0</v>
      </c>
      <c r="K2557" t="n">
        <v>0</v>
      </c>
      <c r="L2557" t="n">
        <v>1</v>
      </c>
      <c r="M2557" t="n">
        <v>0</v>
      </c>
    </row>
    <row r="2558" spans="1:13">
      <c r="A2558" s="1">
        <f>HYPERLINK("http://www.twitter.com/NathanBLawrence/status/978489982930378755", "978489982930378755")</f>
        <v/>
      </c>
      <c r="B2558" s="2" t="n">
        <v>43186.18942129629</v>
      </c>
      <c r="C2558" t="n">
        <v>0</v>
      </c>
      <c r="D2558" t="n">
        <v>1</v>
      </c>
      <c r="E2558" t="s">
        <v>2569</v>
      </c>
      <c r="F2558" t="s"/>
      <c r="G2558" t="s"/>
      <c r="H2558" t="s"/>
      <c r="I2558" t="s"/>
      <c r="J2558" t="n">
        <v>-0.3412</v>
      </c>
      <c r="K2558" t="n">
        <v>0.091</v>
      </c>
      <c r="L2558" t="n">
        <v>0.909</v>
      </c>
      <c r="M2558" t="n">
        <v>0</v>
      </c>
    </row>
    <row r="2559" spans="1:13">
      <c r="A2559" s="1">
        <f>HYPERLINK("http://www.twitter.com/NathanBLawrence/status/978489806949842944", "978489806949842944")</f>
        <v/>
      </c>
      <c r="B2559" s="2" t="n">
        <v>43186.18893518519</v>
      </c>
      <c r="C2559" t="n">
        <v>0</v>
      </c>
      <c r="D2559" t="n">
        <v>0</v>
      </c>
      <c r="E2559" t="s">
        <v>2570</v>
      </c>
      <c r="F2559" t="s"/>
      <c r="G2559" t="s"/>
      <c r="H2559" t="s"/>
      <c r="I2559" t="s"/>
      <c r="J2559" t="n">
        <v>0</v>
      </c>
      <c r="K2559" t="n">
        <v>0</v>
      </c>
      <c r="L2559" t="n">
        <v>1</v>
      </c>
      <c r="M2559" t="n">
        <v>0</v>
      </c>
    </row>
    <row r="2560" spans="1:13">
      <c r="A2560" s="1">
        <f>HYPERLINK("http://www.twitter.com/NathanBLawrence/status/978488431474102273", "978488431474102273")</f>
        <v/>
      </c>
      <c r="B2560" s="2" t="n">
        <v>43186.18513888889</v>
      </c>
      <c r="C2560" t="n">
        <v>0</v>
      </c>
      <c r="D2560" t="n">
        <v>1</v>
      </c>
      <c r="E2560" t="s">
        <v>2571</v>
      </c>
      <c r="F2560" t="s"/>
      <c r="G2560" t="s"/>
      <c r="H2560" t="s"/>
      <c r="I2560" t="s"/>
      <c r="J2560" t="n">
        <v>0</v>
      </c>
      <c r="K2560" t="n">
        <v>0</v>
      </c>
      <c r="L2560" t="n">
        <v>1</v>
      </c>
      <c r="M2560" t="n">
        <v>0</v>
      </c>
    </row>
    <row r="2561" spans="1:13">
      <c r="A2561" s="1">
        <f>HYPERLINK("http://www.twitter.com/NathanBLawrence/status/978487783311446016", "978487783311446016")</f>
        <v/>
      </c>
      <c r="B2561" s="2" t="n">
        <v>43186.1833449074</v>
      </c>
      <c r="C2561" t="n">
        <v>0</v>
      </c>
      <c r="D2561" t="n">
        <v>0</v>
      </c>
      <c r="E2561" t="s">
        <v>2572</v>
      </c>
      <c r="F2561" t="s"/>
      <c r="G2561" t="s"/>
      <c r="H2561" t="s"/>
      <c r="I2561" t="s"/>
      <c r="J2561" t="n">
        <v>0</v>
      </c>
      <c r="K2561" t="n">
        <v>0</v>
      </c>
      <c r="L2561" t="n">
        <v>1</v>
      </c>
      <c r="M2561" t="n">
        <v>0</v>
      </c>
    </row>
    <row r="2562" spans="1:13">
      <c r="A2562" s="1">
        <f>HYPERLINK("http://www.twitter.com/NathanBLawrence/status/978444383585538049", "978444383585538049")</f>
        <v/>
      </c>
      <c r="B2562" s="2" t="n">
        <v>43186.06358796296</v>
      </c>
      <c r="C2562" t="n">
        <v>0</v>
      </c>
      <c r="D2562" t="n">
        <v>0</v>
      </c>
      <c r="E2562" t="s">
        <v>2573</v>
      </c>
      <c r="F2562" t="s"/>
      <c r="G2562" t="s"/>
      <c r="H2562" t="s"/>
      <c r="I2562" t="s"/>
      <c r="J2562" t="n">
        <v>0.7906</v>
      </c>
      <c r="K2562" t="n">
        <v>0</v>
      </c>
      <c r="L2562" t="n">
        <v>0.8</v>
      </c>
      <c r="M2562" t="n">
        <v>0.2</v>
      </c>
    </row>
    <row r="2563" spans="1:13">
      <c r="A2563" s="1">
        <f>HYPERLINK("http://www.twitter.com/NathanBLawrence/status/978440347540971520", "978440347540971520")</f>
        <v/>
      </c>
      <c r="B2563" s="2" t="n">
        <v>43186.05245370371</v>
      </c>
      <c r="C2563" t="n">
        <v>1</v>
      </c>
      <c r="D2563" t="n">
        <v>0</v>
      </c>
      <c r="E2563" t="s">
        <v>2574</v>
      </c>
      <c r="F2563" t="s"/>
      <c r="G2563" t="s"/>
      <c r="H2563" t="s"/>
      <c r="I2563" t="s"/>
      <c r="J2563" t="n">
        <v>-0.7479</v>
      </c>
      <c r="K2563" t="n">
        <v>0.185</v>
      </c>
      <c r="L2563" t="n">
        <v>0.8149999999999999</v>
      </c>
      <c r="M2563" t="n">
        <v>0</v>
      </c>
    </row>
    <row r="2564" spans="1:13">
      <c r="A2564" s="1">
        <f>HYPERLINK("http://www.twitter.com/NathanBLawrence/status/978438784785281024", "978438784785281024")</f>
        <v/>
      </c>
      <c r="B2564" s="2" t="n">
        <v>43186.04813657407</v>
      </c>
      <c r="C2564" t="n">
        <v>0</v>
      </c>
      <c r="D2564" t="n">
        <v>6</v>
      </c>
      <c r="E2564" t="s">
        <v>2575</v>
      </c>
      <c r="F2564" t="s"/>
      <c r="G2564" t="s"/>
      <c r="H2564" t="s"/>
      <c r="I2564" t="s"/>
      <c r="J2564" t="n">
        <v>0.34</v>
      </c>
      <c r="K2564" t="n">
        <v>0.114</v>
      </c>
      <c r="L2564" t="n">
        <v>0.728</v>
      </c>
      <c r="M2564" t="n">
        <v>0.158</v>
      </c>
    </row>
    <row r="2565" spans="1:13">
      <c r="A2565" s="1">
        <f>HYPERLINK("http://www.twitter.com/NathanBLawrence/status/978437021042642944", "978437021042642944")</f>
        <v/>
      </c>
      <c r="B2565" s="2" t="n">
        <v>43186.04326388889</v>
      </c>
      <c r="C2565" t="n">
        <v>1</v>
      </c>
      <c r="D2565" t="n">
        <v>2</v>
      </c>
      <c r="E2565" t="s">
        <v>2576</v>
      </c>
      <c r="F2565" t="s"/>
      <c r="G2565" t="s"/>
      <c r="H2565" t="s"/>
      <c r="I2565" t="s"/>
      <c r="J2565" t="n">
        <v>0.6802</v>
      </c>
      <c r="K2565" t="n">
        <v>0</v>
      </c>
      <c r="L2565" t="n">
        <v>0.699</v>
      </c>
      <c r="M2565" t="n">
        <v>0.301</v>
      </c>
    </row>
    <row r="2566" spans="1:13">
      <c r="A2566" s="1">
        <f>HYPERLINK("http://www.twitter.com/NathanBLawrence/status/978435602310889472", "978435602310889472")</f>
        <v/>
      </c>
      <c r="B2566" s="2" t="n">
        <v>43186.03935185185</v>
      </c>
      <c r="C2566" t="n">
        <v>0</v>
      </c>
      <c r="D2566" t="n">
        <v>0</v>
      </c>
      <c r="E2566" t="s">
        <v>2577</v>
      </c>
      <c r="F2566" t="s"/>
      <c r="G2566" t="s"/>
      <c r="H2566" t="s"/>
      <c r="I2566" t="s"/>
      <c r="J2566" t="n">
        <v>-0.0422</v>
      </c>
      <c r="K2566" t="n">
        <v>0.1</v>
      </c>
      <c r="L2566" t="n">
        <v>0.806</v>
      </c>
      <c r="M2566" t="n">
        <v>0.093</v>
      </c>
    </row>
    <row r="2567" spans="1:13">
      <c r="A2567" s="1">
        <f>HYPERLINK("http://www.twitter.com/NathanBLawrence/status/978428242125303808", "978428242125303808")</f>
        <v/>
      </c>
      <c r="B2567" s="2" t="n">
        <v>43186.01903935185</v>
      </c>
      <c r="C2567" t="n">
        <v>0</v>
      </c>
      <c r="D2567" t="n">
        <v>0</v>
      </c>
      <c r="E2567" t="s">
        <v>2578</v>
      </c>
      <c r="F2567" t="s"/>
      <c r="G2567" t="s"/>
      <c r="H2567" t="s"/>
      <c r="I2567" t="s"/>
      <c r="J2567" t="n">
        <v>-0.235</v>
      </c>
      <c r="K2567" t="n">
        <v>0.225</v>
      </c>
      <c r="L2567" t="n">
        <v>0.614</v>
      </c>
      <c r="M2567" t="n">
        <v>0.161</v>
      </c>
    </row>
    <row r="2568" spans="1:13">
      <c r="A2568" s="1">
        <f>HYPERLINK("http://www.twitter.com/NathanBLawrence/status/978427912692076544", "978427912692076544")</f>
        <v/>
      </c>
      <c r="B2568" s="2" t="n">
        <v>43186.01813657407</v>
      </c>
      <c r="C2568" t="n">
        <v>0</v>
      </c>
      <c r="D2568" t="n">
        <v>373</v>
      </c>
      <c r="E2568" t="s">
        <v>2579</v>
      </c>
      <c r="F2568" t="s"/>
      <c r="G2568" t="s"/>
      <c r="H2568" t="s"/>
      <c r="I2568" t="s"/>
      <c r="J2568" t="n">
        <v>0</v>
      </c>
      <c r="K2568" t="n">
        <v>0</v>
      </c>
      <c r="L2568" t="n">
        <v>1</v>
      </c>
      <c r="M2568" t="n">
        <v>0</v>
      </c>
    </row>
    <row r="2569" spans="1:13">
      <c r="A2569" s="1">
        <f>HYPERLINK("http://www.twitter.com/NathanBLawrence/status/978427827170304000", "978427827170304000")</f>
        <v/>
      </c>
      <c r="B2569" s="2" t="n">
        <v>43186.01789351852</v>
      </c>
      <c r="C2569" t="n">
        <v>0</v>
      </c>
      <c r="D2569" t="n">
        <v>0</v>
      </c>
      <c r="E2569" t="s">
        <v>2580</v>
      </c>
      <c r="F2569" t="s"/>
      <c r="G2569" t="s"/>
      <c r="H2569" t="s"/>
      <c r="I2569" t="s"/>
      <c r="J2569" t="n">
        <v>0.5473</v>
      </c>
      <c r="K2569" t="n">
        <v>0</v>
      </c>
      <c r="L2569" t="n">
        <v>0.718</v>
      </c>
      <c r="M2569" t="n">
        <v>0.282</v>
      </c>
    </row>
    <row r="2570" spans="1:13">
      <c r="A2570" s="1">
        <f>HYPERLINK("http://www.twitter.com/NathanBLawrence/status/978427671733469185", "978427671733469185")</f>
        <v/>
      </c>
      <c r="B2570" s="2" t="n">
        <v>43186.01746527778</v>
      </c>
      <c r="C2570" t="n">
        <v>0</v>
      </c>
      <c r="D2570" t="n">
        <v>0</v>
      </c>
      <c r="E2570" t="s">
        <v>2581</v>
      </c>
      <c r="F2570" t="s"/>
      <c r="G2570" t="s"/>
      <c r="H2570" t="s"/>
      <c r="I2570" t="s"/>
      <c r="J2570" t="n">
        <v>-0.5266999999999999</v>
      </c>
      <c r="K2570" t="n">
        <v>0.459</v>
      </c>
      <c r="L2570" t="n">
        <v>0.541</v>
      </c>
      <c r="M2570" t="n">
        <v>0</v>
      </c>
    </row>
    <row r="2571" spans="1:13">
      <c r="A2571" s="1">
        <f>HYPERLINK("http://www.twitter.com/NathanBLawrence/status/978427425527947264", "978427425527947264")</f>
        <v/>
      </c>
      <c r="B2571" s="2" t="n">
        <v>43186.01679398148</v>
      </c>
      <c r="C2571" t="n">
        <v>0</v>
      </c>
      <c r="D2571" t="n">
        <v>0</v>
      </c>
      <c r="E2571" t="s">
        <v>2582</v>
      </c>
      <c r="F2571">
        <f>HYPERLINK("http://pbs.twimg.com/media/DZQSjTsVQAARdB7.jpg", "http://pbs.twimg.com/media/DZQSjTsVQAARdB7.jpg")</f>
        <v/>
      </c>
      <c r="G2571" t="s"/>
      <c r="H2571" t="s"/>
      <c r="I2571" t="s"/>
      <c r="J2571" t="n">
        <v>0.4939</v>
      </c>
      <c r="K2571" t="n">
        <v>0</v>
      </c>
      <c r="L2571" t="n">
        <v>0.741</v>
      </c>
      <c r="M2571" t="n">
        <v>0.259</v>
      </c>
    </row>
    <row r="2572" spans="1:13">
      <c r="A2572" s="1">
        <f>HYPERLINK("http://www.twitter.com/NathanBLawrence/status/978427205977104384", "978427205977104384")</f>
        <v/>
      </c>
      <c r="B2572" s="2" t="n">
        <v>43186.01618055555</v>
      </c>
      <c r="C2572" t="n">
        <v>0</v>
      </c>
      <c r="D2572" t="n">
        <v>109</v>
      </c>
      <c r="E2572" t="s">
        <v>2583</v>
      </c>
      <c r="F2572" t="s"/>
      <c r="G2572" t="s"/>
      <c r="H2572" t="s"/>
      <c r="I2572" t="s"/>
      <c r="J2572" t="n">
        <v>0</v>
      </c>
      <c r="K2572" t="n">
        <v>0</v>
      </c>
      <c r="L2572" t="n">
        <v>1</v>
      </c>
      <c r="M2572" t="n">
        <v>0</v>
      </c>
    </row>
    <row r="2573" spans="1:13">
      <c r="A2573" s="1">
        <f>HYPERLINK("http://www.twitter.com/NathanBLawrence/status/978410909868679168", "978410909868679168")</f>
        <v/>
      </c>
      <c r="B2573" s="2" t="n">
        <v>43185.97121527778</v>
      </c>
      <c r="C2573" t="n">
        <v>0</v>
      </c>
      <c r="D2573" t="n">
        <v>5083</v>
      </c>
      <c r="E2573" t="s">
        <v>2584</v>
      </c>
      <c r="F2573" t="s"/>
      <c r="G2573" t="s"/>
      <c r="H2573" t="s"/>
      <c r="I2573" t="s"/>
      <c r="J2573" t="n">
        <v>-0.8658</v>
      </c>
      <c r="K2573" t="n">
        <v>0.297</v>
      </c>
      <c r="L2573" t="n">
        <v>0.703</v>
      </c>
      <c r="M2573" t="n">
        <v>0</v>
      </c>
    </row>
    <row r="2574" spans="1:13">
      <c r="A2574" s="1">
        <f>HYPERLINK("http://www.twitter.com/NathanBLawrence/status/978410639189331968", "978410639189331968")</f>
        <v/>
      </c>
      <c r="B2574" s="2" t="n">
        <v>43185.97047453704</v>
      </c>
      <c r="C2574" t="n">
        <v>1</v>
      </c>
      <c r="D2574" t="n">
        <v>0</v>
      </c>
      <c r="E2574" t="s">
        <v>2585</v>
      </c>
      <c r="F2574" t="s"/>
      <c r="G2574" t="s"/>
      <c r="H2574" t="s"/>
      <c r="I2574" t="s"/>
      <c r="J2574" t="n">
        <v>0</v>
      </c>
      <c r="K2574" t="n">
        <v>0</v>
      </c>
      <c r="L2574" t="n">
        <v>1</v>
      </c>
      <c r="M2574" t="n">
        <v>0</v>
      </c>
    </row>
    <row r="2575" spans="1:13">
      <c r="A2575" s="1">
        <f>HYPERLINK("http://www.twitter.com/NathanBLawrence/status/978406099182325760", "978406099182325760")</f>
        <v/>
      </c>
      <c r="B2575" s="2" t="n">
        <v>43185.95793981481</v>
      </c>
      <c r="C2575" t="n">
        <v>0</v>
      </c>
      <c r="D2575" t="n">
        <v>1</v>
      </c>
      <c r="E2575" t="s">
        <v>2586</v>
      </c>
      <c r="F2575" t="s"/>
      <c r="G2575" t="s"/>
      <c r="H2575" t="s"/>
      <c r="I2575" t="s"/>
      <c r="J2575" t="n">
        <v>0</v>
      </c>
      <c r="K2575" t="n">
        <v>0</v>
      </c>
      <c r="L2575" t="n">
        <v>1</v>
      </c>
      <c r="M2575" t="n">
        <v>0</v>
      </c>
    </row>
    <row r="2576" spans="1:13">
      <c r="A2576" s="1">
        <f>HYPERLINK("http://www.twitter.com/NathanBLawrence/status/978405953887498240", "978405953887498240")</f>
        <v/>
      </c>
      <c r="B2576" s="2" t="n">
        <v>43185.95753472222</v>
      </c>
      <c r="C2576" t="n">
        <v>0</v>
      </c>
      <c r="D2576" t="n">
        <v>0</v>
      </c>
      <c r="E2576" t="s">
        <v>2587</v>
      </c>
      <c r="F2576" t="s"/>
      <c r="G2576" t="s"/>
      <c r="H2576" t="s"/>
      <c r="I2576" t="s"/>
      <c r="J2576" t="n">
        <v>0.4215</v>
      </c>
      <c r="K2576" t="n">
        <v>0</v>
      </c>
      <c r="L2576" t="n">
        <v>0.833</v>
      </c>
      <c r="M2576" t="n">
        <v>0.167</v>
      </c>
    </row>
    <row r="2577" spans="1:13">
      <c r="A2577" s="1">
        <f>HYPERLINK("http://www.twitter.com/NathanBLawrence/status/978377888763469829", "978377888763469829")</f>
        <v/>
      </c>
      <c r="B2577" s="2" t="n">
        <v>43185.88009259259</v>
      </c>
      <c r="C2577" t="n">
        <v>0</v>
      </c>
      <c r="D2577" t="n">
        <v>4008</v>
      </c>
      <c r="E2577" t="s">
        <v>2588</v>
      </c>
      <c r="F2577" t="s"/>
      <c r="G2577" t="s"/>
      <c r="H2577" t="s"/>
      <c r="I2577" t="s"/>
      <c r="J2577" t="n">
        <v>-0.296</v>
      </c>
      <c r="K2577" t="n">
        <v>0.18</v>
      </c>
      <c r="L2577" t="n">
        <v>0.82</v>
      </c>
      <c r="M2577" t="n">
        <v>0</v>
      </c>
    </row>
    <row r="2578" spans="1:13">
      <c r="A2578" s="1">
        <f>HYPERLINK("http://www.twitter.com/NathanBLawrence/status/978373135975309312", "978373135975309312")</f>
        <v/>
      </c>
      <c r="B2578" s="2" t="n">
        <v>43185.86697916667</v>
      </c>
      <c r="C2578" t="n">
        <v>0</v>
      </c>
      <c r="D2578" t="n">
        <v>372</v>
      </c>
      <c r="E2578" t="s">
        <v>2589</v>
      </c>
      <c r="F2578" t="s"/>
      <c r="G2578" t="s"/>
      <c r="H2578" t="s"/>
      <c r="I2578" t="s"/>
      <c r="J2578" t="n">
        <v>0.6124000000000001</v>
      </c>
      <c r="K2578" t="n">
        <v>0</v>
      </c>
      <c r="L2578" t="n">
        <v>0.76</v>
      </c>
      <c r="M2578" t="n">
        <v>0.24</v>
      </c>
    </row>
    <row r="2579" spans="1:13">
      <c r="A2579" s="1">
        <f>HYPERLINK("http://www.twitter.com/NathanBLawrence/status/978372949693685761", "978372949693685761")</f>
        <v/>
      </c>
      <c r="B2579" s="2" t="n">
        <v>43185.86646990741</v>
      </c>
      <c r="C2579" t="n">
        <v>0</v>
      </c>
      <c r="D2579" t="n">
        <v>0</v>
      </c>
      <c r="E2579" t="s">
        <v>2590</v>
      </c>
      <c r="F2579" t="s"/>
      <c r="G2579" t="s"/>
      <c r="H2579" t="s"/>
      <c r="I2579" t="s"/>
      <c r="J2579" t="n">
        <v>0.2263</v>
      </c>
      <c r="K2579" t="n">
        <v>0.09</v>
      </c>
      <c r="L2579" t="n">
        <v>0.784</v>
      </c>
      <c r="M2579" t="n">
        <v>0.125</v>
      </c>
    </row>
    <row r="2580" spans="1:13">
      <c r="A2580" s="1">
        <f>HYPERLINK("http://www.twitter.com/NathanBLawrence/status/978372289833132034", "978372289833132034")</f>
        <v/>
      </c>
      <c r="B2580" s="2" t="n">
        <v>43185.86464120371</v>
      </c>
      <c r="C2580" t="n">
        <v>0</v>
      </c>
      <c r="D2580" t="n">
        <v>0</v>
      </c>
      <c r="E2580" t="s">
        <v>2591</v>
      </c>
      <c r="F2580" t="s"/>
      <c r="G2580" t="s"/>
      <c r="H2580" t="s"/>
      <c r="I2580" t="s"/>
      <c r="J2580" t="n">
        <v>0</v>
      </c>
      <c r="K2580" t="n">
        <v>0</v>
      </c>
      <c r="L2580" t="n">
        <v>1</v>
      </c>
      <c r="M2580" t="n">
        <v>0</v>
      </c>
    </row>
    <row r="2581" spans="1:13">
      <c r="A2581" s="1">
        <f>HYPERLINK("http://www.twitter.com/NathanBLawrence/status/978371508010717184", "978371508010717184")</f>
        <v/>
      </c>
      <c r="B2581" s="2" t="n">
        <v>43185.86248842593</v>
      </c>
      <c r="C2581" t="n">
        <v>0</v>
      </c>
      <c r="D2581" t="n">
        <v>0</v>
      </c>
      <c r="E2581" t="s">
        <v>2592</v>
      </c>
      <c r="F2581" t="s"/>
      <c r="G2581" t="s"/>
      <c r="H2581" t="s"/>
      <c r="I2581" t="s"/>
      <c r="J2581" t="n">
        <v>-0.0258</v>
      </c>
      <c r="K2581" t="n">
        <v>0.268</v>
      </c>
      <c r="L2581" t="n">
        <v>0.472</v>
      </c>
      <c r="M2581" t="n">
        <v>0.26</v>
      </c>
    </row>
    <row r="2582" spans="1:13">
      <c r="A2582" s="1">
        <f>HYPERLINK("http://www.twitter.com/NathanBLawrence/status/978370805632585730", "978370805632585730")</f>
        <v/>
      </c>
      <c r="B2582" s="2" t="n">
        <v>43185.86054398148</v>
      </c>
      <c r="C2582" t="n">
        <v>1</v>
      </c>
      <c r="D2582" t="n">
        <v>1</v>
      </c>
      <c r="E2582" t="s">
        <v>2593</v>
      </c>
      <c r="F2582" t="s"/>
      <c r="G2582" t="s"/>
      <c r="H2582" t="s"/>
      <c r="I2582" t="s"/>
      <c r="J2582" t="n">
        <v>0.6633</v>
      </c>
      <c r="K2582" t="n">
        <v>0</v>
      </c>
      <c r="L2582" t="n">
        <v>0.758</v>
      </c>
      <c r="M2582" t="n">
        <v>0.242</v>
      </c>
    </row>
    <row r="2583" spans="1:13">
      <c r="A2583" s="1">
        <f>HYPERLINK("http://www.twitter.com/NathanBLawrence/status/978370505798553601", "978370505798553601")</f>
        <v/>
      </c>
      <c r="B2583" s="2" t="n">
        <v>43185.85972222222</v>
      </c>
      <c r="C2583" t="n">
        <v>0</v>
      </c>
      <c r="D2583" t="n">
        <v>1752</v>
      </c>
      <c r="E2583" t="s">
        <v>2594</v>
      </c>
      <c r="F2583">
        <f>HYPERLINK("http://pbs.twimg.com/media/DZKl_qgWsAYc5MB.jpg", "http://pbs.twimg.com/media/DZKl_qgWsAYc5MB.jpg")</f>
        <v/>
      </c>
      <c r="G2583" t="s"/>
      <c r="H2583" t="s"/>
      <c r="I2583" t="s"/>
      <c r="J2583" t="n">
        <v>-0.1695</v>
      </c>
      <c r="K2583" t="n">
        <v>0.07000000000000001</v>
      </c>
      <c r="L2583" t="n">
        <v>0.93</v>
      </c>
      <c r="M2583" t="n">
        <v>0</v>
      </c>
    </row>
    <row r="2584" spans="1:13">
      <c r="A2584" s="1">
        <f>HYPERLINK("http://www.twitter.com/NathanBLawrence/status/978370301850472448", "978370301850472448")</f>
        <v/>
      </c>
      <c r="B2584" s="2" t="n">
        <v>43185.85915509259</v>
      </c>
      <c r="C2584" t="n">
        <v>0</v>
      </c>
      <c r="D2584" t="n">
        <v>0</v>
      </c>
      <c r="E2584" t="s">
        <v>2595</v>
      </c>
      <c r="F2584" t="s"/>
      <c r="G2584" t="s"/>
      <c r="H2584" t="s"/>
      <c r="I2584" t="s"/>
      <c r="J2584" t="n">
        <v>-0.4019</v>
      </c>
      <c r="K2584" t="n">
        <v>0.083</v>
      </c>
      <c r="L2584" t="n">
        <v>0.917</v>
      </c>
      <c r="M2584" t="n">
        <v>0</v>
      </c>
    </row>
    <row r="2585" spans="1:13">
      <c r="A2585" s="1">
        <f>HYPERLINK("http://www.twitter.com/NathanBLawrence/status/978369157895991298", "978369157895991298")</f>
        <v/>
      </c>
      <c r="B2585" s="2" t="n">
        <v>43185.85600694444</v>
      </c>
      <c r="C2585" t="n">
        <v>1</v>
      </c>
      <c r="D2585" t="n">
        <v>1</v>
      </c>
      <c r="E2585" t="s">
        <v>2596</v>
      </c>
      <c r="F2585" t="s"/>
      <c r="G2585" t="s"/>
      <c r="H2585" t="s"/>
      <c r="I2585" t="s"/>
      <c r="J2585" t="n">
        <v>-0.4162</v>
      </c>
      <c r="K2585" t="n">
        <v>0.16</v>
      </c>
      <c r="L2585" t="n">
        <v>0.718</v>
      </c>
      <c r="M2585" t="n">
        <v>0.122</v>
      </c>
    </row>
    <row r="2586" spans="1:13">
      <c r="A2586" s="1">
        <f>HYPERLINK("http://www.twitter.com/NathanBLawrence/status/978368528117043207", "978368528117043207")</f>
        <v/>
      </c>
      <c r="B2586" s="2" t="n">
        <v>43185.85425925926</v>
      </c>
      <c r="C2586" t="n">
        <v>1</v>
      </c>
      <c r="D2586" t="n">
        <v>1</v>
      </c>
      <c r="E2586" t="s">
        <v>2597</v>
      </c>
      <c r="F2586" t="s"/>
      <c r="G2586" t="s"/>
      <c r="H2586" t="s"/>
      <c r="I2586" t="s"/>
      <c r="J2586" t="n">
        <v>0.0258</v>
      </c>
      <c r="K2586" t="n">
        <v>0</v>
      </c>
      <c r="L2586" t="n">
        <v>0.9389999999999999</v>
      </c>
      <c r="M2586" t="n">
        <v>0.061</v>
      </c>
    </row>
    <row r="2587" spans="1:13">
      <c r="A2587" s="1">
        <f>HYPERLINK("http://www.twitter.com/NathanBLawrence/status/978367667802443776", "978367667802443776")</f>
        <v/>
      </c>
      <c r="B2587" s="2" t="n">
        <v>43185.85188657408</v>
      </c>
      <c r="C2587" t="n">
        <v>2</v>
      </c>
      <c r="D2587" t="n">
        <v>1</v>
      </c>
      <c r="E2587" t="s">
        <v>2598</v>
      </c>
      <c r="F2587" t="s"/>
      <c r="G2587" t="s"/>
      <c r="H2587" t="s"/>
      <c r="I2587" t="s"/>
      <c r="J2587" t="n">
        <v>-0.8164</v>
      </c>
      <c r="K2587" t="n">
        <v>0.165</v>
      </c>
      <c r="L2587" t="n">
        <v>0.835</v>
      </c>
      <c r="M2587" t="n">
        <v>0</v>
      </c>
    </row>
    <row r="2588" spans="1:13">
      <c r="A2588" s="1">
        <f>HYPERLINK("http://www.twitter.com/NathanBLawrence/status/978367456438833153", "978367456438833153")</f>
        <v/>
      </c>
      <c r="B2588" s="2" t="n">
        <v>43185.85130787037</v>
      </c>
      <c r="C2588" t="n">
        <v>1</v>
      </c>
      <c r="D2588" t="n">
        <v>1</v>
      </c>
      <c r="E2588" t="s">
        <v>2599</v>
      </c>
      <c r="F2588" t="s"/>
      <c r="G2588" t="s"/>
      <c r="H2588" t="s"/>
      <c r="I2588" t="s"/>
      <c r="J2588" t="n">
        <v>-0.6597</v>
      </c>
      <c r="K2588" t="n">
        <v>0.174</v>
      </c>
      <c r="L2588" t="n">
        <v>0.737</v>
      </c>
      <c r="M2588" t="n">
        <v>0.089</v>
      </c>
    </row>
    <row r="2589" spans="1:13">
      <c r="A2589" s="1">
        <f>HYPERLINK("http://www.twitter.com/NathanBLawrence/status/978366694350606337", "978366694350606337")</f>
        <v/>
      </c>
      <c r="B2589" s="2" t="n">
        <v>43185.84920138889</v>
      </c>
      <c r="C2589" t="n">
        <v>1</v>
      </c>
      <c r="D2589" t="n">
        <v>1</v>
      </c>
      <c r="E2589" t="s">
        <v>2600</v>
      </c>
      <c r="F2589" t="s"/>
      <c r="G2589" t="s"/>
      <c r="H2589" t="s"/>
      <c r="I2589" t="s"/>
      <c r="J2589" t="n">
        <v>-0.7851</v>
      </c>
      <c r="K2589" t="n">
        <v>0.134</v>
      </c>
      <c r="L2589" t="n">
        <v>0.866</v>
      </c>
      <c r="M2589" t="n">
        <v>0</v>
      </c>
    </row>
    <row r="2590" spans="1:13">
      <c r="A2590" s="1">
        <f>HYPERLINK("http://www.twitter.com/NathanBLawrence/status/978360277224783872", "978360277224783872")</f>
        <v/>
      </c>
      <c r="B2590" s="2" t="n">
        <v>43185.83149305556</v>
      </c>
      <c r="C2590" t="n">
        <v>0</v>
      </c>
      <c r="D2590" t="n">
        <v>8</v>
      </c>
      <c r="E2590" t="s">
        <v>2601</v>
      </c>
      <c r="F2590">
        <f>HYPERLINK("http://pbs.twimg.com/media/DZPCf56VAAAgKjR.jpg", "http://pbs.twimg.com/media/DZPCf56VAAAgKjR.jpg")</f>
        <v/>
      </c>
      <c r="G2590" t="s"/>
      <c r="H2590" t="s"/>
      <c r="I2590" t="s"/>
      <c r="J2590" t="n">
        <v>0</v>
      </c>
      <c r="K2590" t="n">
        <v>0</v>
      </c>
      <c r="L2590" t="n">
        <v>1</v>
      </c>
      <c r="M2590" t="n">
        <v>0</v>
      </c>
    </row>
    <row r="2591" spans="1:13">
      <c r="A2591" s="1">
        <f>HYPERLINK("http://www.twitter.com/NathanBLawrence/status/978360150565236736", "978360150565236736")</f>
        <v/>
      </c>
      <c r="B2591" s="2" t="n">
        <v>43185.83114583333</v>
      </c>
      <c r="C2591" t="n">
        <v>0</v>
      </c>
      <c r="D2591" t="n">
        <v>0</v>
      </c>
      <c r="E2591" t="s">
        <v>2602</v>
      </c>
      <c r="F2591" t="s"/>
      <c r="G2591" t="s"/>
      <c r="H2591" t="s"/>
      <c r="I2591" t="s"/>
      <c r="J2591" t="n">
        <v>0.2695</v>
      </c>
      <c r="K2591" t="n">
        <v>0.038</v>
      </c>
      <c r="L2591" t="n">
        <v>0.885</v>
      </c>
      <c r="M2591" t="n">
        <v>0.077</v>
      </c>
    </row>
    <row r="2592" spans="1:13">
      <c r="A2592" s="1">
        <f>HYPERLINK("http://www.twitter.com/NathanBLawrence/status/978359431128862725", "978359431128862725")</f>
        <v/>
      </c>
      <c r="B2592" s="2" t="n">
        <v>43185.82916666667</v>
      </c>
      <c r="C2592" t="n">
        <v>0</v>
      </c>
      <c r="D2592" t="n">
        <v>0</v>
      </c>
      <c r="E2592" t="s">
        <v>2603</v>
      </c>
      <c r="F2592" t="s"/>
      <c r="G2592" t="s"/>
      <c r="H2592" t="s"/>
      <c r="I2592" t="s"/>
      <c r="J2592" t="n">
        <v>0.6369</v>
      </c>
      <c r="K2592" t="n">
        <v>0.123</v>
      </c>
      <c r="L2592" t="n">
        <v>0.526</v>
      </c>
      <c r="M2592" t="n">
        <v>0.351</v>
      </c>
    </row>
    <row r="2593" spans="1:13">
      <c r="A2593" s="1">
        <f>HYPERLINK("http://www.twitter.com/NathanBLawrence/status/978345982869098498", "978345982869098498")</f>
        <v/>
      </c>
      <c r="B2593" s="2" t="n">
        <v>43185.79204861111</v>
      </c>
      <c r="C2593" t="n">
        <v>0</v>
      </c>
      <c r="D2593" t="n">
        <v>27</v>
      </c>
      <c r="E2593" t="s">
        <v>2604</v>
      </c>
      <c r="F2593">
        <f>HYPERLINK("http://pbs.twimg.com/media/DZO1Hc7VAAIg9h3.jpg", "http://pbs.twimg.com/media/DZO1Hc7VAAIg9h3.jpg")</f>
        <v/>
      </c>
      <c r="G2593" t="s"/>
      <c r="H2593" t="s"/>
      <c r="I2593" t="s"/>
      <c r="J2593" t="n">
        <v>0</v>
      </c>
      <c r="K2593" t="n">
        <v>0</v>
      </c>
      <c r="L2593" t="n">
        <v>1</v>
      </c>
      <c r="M2593" t="n">
        <v>0</v>
      </c>
    </row>
    <row r="2594" spans="1:13">
      <c r="A2594" s="1">
        <f>HYPERLINK("http://www.twitter.com/NathanBLawrence/status/978345899247235072", "978345899247235072")</f>
        <v/>
      </c>
      <c r="B2594" s="2" t="n">
        <v>43185.79181712963</v>
      </c>
      <c r="C2594" t="n">
        <v>0</v>
      </c>
      <c r="D2594" t="n">
        <v>0</v>
      </c>
      <c r="E2594" t="s">
        <v>2605</v>
      </c>
      <c r="F2594" t="s"/>
      <c r="G2594" t="s"/>
      <c r="H2594" t="s"/>
      <c r="I2594" t="s"/>
      <c r="J2594" t="n">
        <v>0</v>
      </c>
      <c r="K2594" t="n">
        <v>0</v>
      </c>
      <c r="L2594" t="n">
        <v>1</v>
      </c>
      <c r="M2594" t="n">
        <v>0</v>
      </c>
    </row>
    <row r="2595" spans="1:13">
      <c r="A2595" s="1">
        <f>HYPERLINK("http://www.twitter.com/NathanBLawrence/status/978345731789672448", "978345731789672448")</f>
        <v/>
      </c>
      <c r="B2595" s="2" t="n">
        <v>43185.79135416666</v>
      </c>
      <c r="C2595" t="n">
        <v>1</v>
      </c>
      <c r="D2595" t="n">
        <v>1</v>
      </c>
      <c r="E2595" t="s">
        <v>2606</v>
      </c>
      <c r="F2595" t="s"/>
      <c r="G2595" t="s"/>
      <c r="H2595" t="s"/>
      <c r="I2595" t="s"/>
      <c r="J2595" t="n">
        <v>0.195</v>
      </c>
      <c r="K2595" t="n">
        <v>0.193</v>
      </c>
      <c r="L2595" t="n">
        <v>0.65</v>
      </c>
      <c r="M2595" t="n">
        <v>0.157</v>
      </c>
    </row>
    <row r="2596" spans="1:13">
      <c r="A2596" s="1">
        <f>HYPERLINK("http://www.twitter.com/NathanBLawrence/status/978344700909416449", "978344700909416449")</f>
        <v/>
      </c>
      <c r="B2596" s="2" t="n">
        <v>43185.78851851852</v>
      </c>
      <c r="C2596" t="n">
        <v>1</v>
      </c>
      <c r="D2596" t="n">
        <v>0</v>
      </c>
      <c r="E2596" t="s">
        <v>2607</v>
      </c>
      <c r="F2596" t="s"/>
      <c r="G2596" t="s"/>
      <c r="H2596" t="s"/>
      <c r="I2596" t="s"/>
      <c r="J2596" t="n">
        <v>0</v>
      </c>
      <c r="K2596" t="n">
        <v>0</v>
      </c>
      <c r="L2596" t="n">
        <v>1</v>
      </c>
      <c r="M2596" t="n">
        <v>0</v>
      </c>
    </row>
    <row r="2597" spans="1:13">
      <c r="A2597" s="1">
        <f>HYPERLINK("http://www.twitter.com/NathanBLawrence/status/978324366386761728", "978324366386761728")</f>
        <v/>
      </c>
      <c r="B2597" s="2" t="n">
        <v>43185.73239583334</v>
      </c>
      <c r="C2597" t="n">
        <v>0</v>
      </c>
      <c r="D2597" t="n">
        <v>0</v>
      </c>
      <c r="E2597" t="s">
        <v>2608</v>
      </c>
      <c r="F2597">
        <f>HYPERLINK("http://pbs.twimg.com/media/DZO00izU8AEppho.jpg", "http://pbs.twimg.com/media/DZO00izU8AEppho.jpg")</f>
        <v/>
      </c>
      <c r="G2597" t="s"/>
      <c r="H2597" t="s"/>
      <c r="I2597" t="s"/>
      <c r="J2597" t="n">
        <v>-0.34</v>
      </c>
      <c r="K2597" t="n">
        <v>0.08799999999999999</v>
      </c>
      <c r="L2597" t="n">
        <v>0.912</v>
      </c>
      <c r="M2597" t="n">
        <v>0</v>
      </c>
    </row>
    <row r="2598" spans="1:13">
      <c r="A2598" s="1">
        <f>HYPERLINK("http://www.twitter.com/NathanBLawrence/status/978324352465821696", "978324352465821696")</f>
        <v/>
      </c>
      <c r="B2598" s="2" t="n">
        <v>43185.73236111111</v>
      </c>
      <c r="C2598" t="n">
        <v>0</v>
      </c>
      <c r="D2598" t="n">
        <v>88</v>
      </c>
      <c r="E2598" t="s">
        <v>2609</v>
      </c>
      <c r="F2598">
        <f>HYPERLINK("http://pbs.twimg.com/media/DZLzTPtW0AIk5sp.jpg", "http://pbs.twimg.com/media/DZLzTPtW0AIk5sp.jpg")</f>
        <v/>
      </c>
      <c r="G2598" t="s"/>
      <c r="H2598" t="s"/>
      <c r="I2598" t="s"/>
      <c r="J2598" t="n">
        <v>-0.5719</v>
      </c>
      <c r="K2598" t="n">
        <v>0.481</v>
      </c>
      <c r="L2598" t="n">
        <v>0.519</v>
      </c>
      <c r="M2598" t="n">
        <v>0</v>
      </c>
    </row>
    <row r="2599" spans="1:13">
      <c r="A2599" s="1">
        <f>HYPERLINK("http://www.twitter.com/NathanBLawrence/status/978324073393606656", "978324073393606656")</f>
        <v/>
      </c>
      <c r="B2599" s="2" t="n">
        <v>43185.73159722222</v>
      </c>
      <c r="C2599" t="n">
        <v>1</v>
      </c>
      <c r="D2599" t="n">
        <v>1</v>
      </c>
      <c r="E2599" t="s">
        <v>2610</v>
      </c>
      <c r="F2599" t="s"/>
      <c r="G2599" t="s"/>
      <c r="H2599" t="s"/>
      <c r="I2599" t="s"/>
      <c r="J2599" t="n">
        <v>-0.1125</v>
      </c>
      <c r="K2599" t="n">
        <v>0.159</v>
      </c>
      <c r="L2599" t="n">
        <v>0.734</v>
      </c>
      <c r="M2599" t="n">
        <v>0.107</v>
      </c>
    </row>
    <row r="2600" spans="1:13">
      <c r="A2600" s="1">
        <f>HYPERLINK("http://www.twitter.com/NathanBLawrence/status/978323374333100034", "978323374333100034")</f>
        <v/>
      </c>
      <c r="B2600" s="2" t="n">
        <v>43185.72966435185</v>
      </c>
      <c r="C2600" t="n">
        <v>1</v>
      </c>
      <c r="D2600" t="n">
        <v>0</v>
      </c>
      <c r="E2600" t="s">
        <v>2611</v>
      </c>
      <c r="F2600" t="s"/>
      <c r="G2600" t="s"/>
      <c r="H2600" t="s"/>
      <c r="I2600" t="s"/>
      <c r="J2600" t="n">
        <v>-0.4002</v>
      </c>
      <c r="K2600" t="n">
        <v>0.129</v>
      </c>
      <c r="L2600" t="n">
        <v>0.756</v>
      </c>
      <c r="M2600" t="n">
        <v>0.114</v>
      </c>
    </row>
    <row r="2601" spans="1:13">
      <c r="A2601" s="1">
        <f>HYPERLINK("http://www.twitter.com/NathanBLawrence/status/978286775159480321", "978286775159480321")</f>
        <v/>
      </c>
      <c r="B2601" s="2" t="n">
        <v>43185.62866898148</v>
      </c>
      <c r="C2601" t="n">
        <v>1</v>
      </c>
      <c r="D2601" t="n">
        <v>0</v>
      </c>
      <c r="E2601" t="s">
        <v>2612</v>
      </c>
      <c r="F2601" t="s"/>
      <c r="G2601" t="s"/>
      <c r="H2601" t="s"/>
      <c r="I2601" t="s"/>
      <c r="J2601" t="n">
        <v>0</v>
      </c>
      <c r="K2601" t="n">
        <v>0</v>
      </c>
      <c r="L2601" t="n">
        <v>1</v>
      </c>
      <c r="M2601" t="n">
        <v>0</v>
      </c>
    </row>
    <row r="2602" spans="1:13">
      <c r="A2602" s="1">
        <f>HYPERLINK("http://www.twitter.com/NathanBLawrence/status/978250332479348736", "978250332479348736")</f>
        <v/>
      </c>
      <c r="B2602" s="2" t="n">
        <v>43185.52810185185</v>
      </c>
      <c r="C2602" t="n">
        <v>5</v>
      </c>
      <c r="D2602" t="n">
        <v>1</v>
      </c>
      <c r="E2602" t="s">
        <v>2613</v>
      </c>
      <c r="F2602" t="s"/>
      <c r="G2602" t="s"/>
      <c r="H2602" t="s"/>
      <c r="I2602" t="s"/>
      <c r="J2602" t="n">
        <v>0</v>
      </c>
      <c r="K2602" t="n">
        <v>0</v>
      </c>
      <c r="L2602" t="n">
        <v>1</v>
      </c>
      <c r="M2602" t="n">
        <v>0</v>
      </c>
    </row>
    <row r="2603" spans="1:13">
      <c r="A2603" s="1">
        <f>HYPERLINK("http://www.twitter.com/NathanBLawrence/status/978199284259655681", "978199284259655681")</f>
        <v/>
      </c>
      <c r="B2603" s="2" t="n">
        <v>43185.38724537037</v>
      </c>
      <c r="C2603" t="n">
        <v>0</v>
      </c>
      <c r="D2603" t="n">
        <v>33692</v>
      </c>
      <c r="E2603" t="s">
        <v>2614</v>
      </c>
      <c r="F2603">
        <f>HYPERLINK("https://video.twimg.com/ext_tw_video/977210631471423488/pu/vid/256x320/x0YPuxflxqsl7_oh.mp4", "https://video.twimg.com/ext_tw_video/977210631471423488/pu/vid/256x320/x0YPuxflxqsl7_oh.mp4")</f>
        <v/>
      </c>
      <c r="G2603" t="s"/>
      <c r="H2603" t="s"/>
      <c r="I2603" t="s"/>
      <c r="J2603" t="n">
        <v>0</v>
      </c>
      <c r="K2603" t="n">
        <v>0</v>
      </c>
      <c r="L2603" t="n">
        <v>1</v>
      </c>
      <c r="M2603" t="n">
        <v>0</v>
      </c>
    </row>
    <row r="2604" spans="1:13">
      <c r="A2604" s="1">
        <f>HYPERLINK("http://www.twitter.com/NathanBLawrence/status/978197153679138816", "978197153679138816")</f>
        <v/>
      </c>
      <c r="B2604" s="2" t="n">
        <v>43185.38136574074</v>
      </c>
      <c r="C2604" t="n">
        <v>0</v>
      </c>
      <c r="D2604" t="n">
        <v>0</v>
      </c>
      <c r="E2604" t="s">
        <v>2615</v>
      </c>
      <c r="F2604" t="s"/>
      <c r="G2604" t="s"/>
      <c r="H2604" t="s"/>
      <c r="I2604" t="s"/>
      <c r="J2604" t="n">
        <v>0.4215</v>
      </c>
      <c r="K2604" t="n">
        <v>0</v>
      </c>
      <c r="L2604" t="n">
        <v>0.882</v>
      </c>
      <c r="M2604" t="n">
        <v>0.118</v>
      </c>
    </row>
    <row r="2605" spans="1:13">
      <c r="A2605" s="1">
        <f>HYPERLINK("http://www.twitter.com/NathanBLawrence/status/978195242049527808", "978195242049527808")</f>
        <v/>
      </c>
      <c r="B2605" s="2" t="n">
        <v>43185.37608796296</v>
      </c>
      <c r="C2605" t="n">
        <v>0</v>
      </c>
      <c r="D2605" t="n">
        <v>0</v>
      </c>
      <c r="E2605" t="s">
        <v>2616</v>
      </c>
      <c r="F2605">
        <f>HYPERLINK("http://pbs.twimg.com/media/DZM_Yw3U8AEyV4j.jpg", "http://pbs.twimg.com/media/DZM_Yw3U8AEyV4j.jpg")</f>
        <v/>
      </c>
      <c r="G2605" t="s"/>
      <c r="H2605" t="s"/>
      <c r="I2605" t="s"/>
      <c r="J2605" t="n">
        <v>0.0772</v>
      </c>
      <c r="K2605" t="n">
        <v>0</v>
      </c>
      <c r="L2605" t="n">
        <v>0.915</v>
      </c>
      <c r="M2605" t="n">
        <v>0.08500000000000001</v>
      </c>
    </row>
    <row r="2606" spans="1:13">
      <c r="A2606" s="1">
        <f>HYPERLINK("http://www.twitter.com/NathanBLawrence/status/978191262556852224", "978191262556852224")</f>
        <v/>
      </c>
      <c r="B2606" s="2" t="n">
        <v>43185.36510416667</v>
      </c>
      <c r="C2606" t="n">
        <v>0</v>
      </c>
      <c r="D2606" t="n">
        <v>0</v>
      </c>
      <c r="E2606" t="s">
        <v>2617</v>
      </c>
      <c r="F2606">
        <f>HYPERLINK("http://pbs.twimg.com/media/DZM7wmFV4AED2Wi.jpg", "http://pbs.twimg.com/media/DZM7wmFV4AED2Wi.jpg")</f>
        <v/>
      </c>
      <c r="G2606" t="s"/>
      <c r="H2606" t="s"/>
      <c r="I2606" t="s"/>
      <c r="J2606" t="n">
        <v>0</v>
      </c>
      <c r="K2606" t="n">
        <v>0</v>
      </c>
      <c r="L2606" t="n">
        <v>1</v>
      </c>
      <c r="M2606" t="n">
        <v>0</v>
      </c>
    </row>
    <row r="2607" spans="1:13">
      <c r="A2607" s="1">
        <f>HYPERLINK("http://www.twitter.com/NathanBLawrence/status/978187784887439360", "978187784887439360")</f>
        <v/>
      </c>
      <c r="B2607" s="2" t="n">
        <v>43185.35550925926</v>
      </c>
      <c r="C2607" t="n">
        <v>0</v>
      </c>
      <c r="D2607" t="n">
        <v>0</v>
      </c>
      <c r="E2607" t="s">
        <v>2618</v>
      </c>
      <c r="F2607" t="s"/>
      <c r="G2607" t="s"/>
      <c r="H2607" t="s"/>
      <c r="I2607" t="s"/>
      <c r="J2607" t="n">
        <v>0</v>
      </c>
      <c r="K2607" t="n">
        <v>0</v>
      </c>
      <c r="L2607" t="n">
        <v>1</v>
      </c>
      <c r="M2607" t="n">
        <v>0</v>
      </c>
    </row>
    <row r="2608" spans="1:13">
      <c r="A2608" s="1">
        <f>HYPERLINK("http://www.twitter.com/NathanBLawrence/status/978186524129931264", "978186524129931264")</f>
        <v/>
      </c>
      <c r="B2608" s="2" t="n">
        <v>43185.35202546296</v>
      </c>
      <c r="C2608" t="n">
        <v>0</v>
      </c>
      <c r="D2608" t="n">
        <v>0</v>
      </c>
      <c r="E2608" t="s">
        <v>2619</v>
      </c>
      <c r="F2608" t="s"/>
      <c r="G2608" t="s"/>
      <c r="H2608" t="s"/>
      <c r="I2608" t="s"/>
      <c r="J2608" t="n">
        <v>0.3125</v>
      </c>
      <c r="K2608" t="n">
        <v>0.329</v>
      </c>
      <c r="L2608" t="n">
        <v>0.209</v>
      </c>
      <c r="M2608" t="n">
        <v>0.462</v>
      </c>
    </row>
    <row r="2609" spans="1:13">
      <c r="A2609" s="1">
        <f>HYPERLINK("http://www.twitter.com/NathanBLawrence/status/978185382717280256", "978185382717280256")</f>
        <v/>
      </c>
      <c r="B2609" s="2" t="n">
        <v>43185.34887731481</v>
      </c>
      <c r="C2609" t="n">
        <v>0</v>
      </c>
      <c r="D2609" t="n">
        <v>439</v>
      </c>
      <c r="E2609" t="s">
        <v>2620</v>
      </c>
      <c r="F2609">
        <f>HYPERLINK("https://video.twimg.com/ext_tw_video/976920068935348225/pu/vid/1280x720/U72DN4kg6wRBHnmx.mp4", "https://video.twimg.com/ext_tw_video/976920068935348225/pu/vid/1280x720/U72DN4kg6wRBHnmx.mp4")</f>
        <v/>
      </c>
      <c r="G2609" t="s"/>
      <c r="H2609" t="s"/>
      <c r="I2609" t="s"/>
      <c r="J2609" t="n">
        <v>0.7579</v>
      </c>
      <c r="K2609" t="n">
        <v>0.077</v>
      </c>
      <c r="L2609" t="n">
        <v>0.639</v>
      </c>
      <c r="M2609" t="n">
        <v>0.284</v>
      </c>
    </row>
    <row r="2610" spans="1:13">
      <c r="A2610" s="1">
        <f>HYPERLINK("http://www.twitter.com/NathanBLawrence/status/978184719987863552", "978184719987863552")</f>
        <v/>
      </c>
      <c r="B2610" s="2" t="n">
        <v>43185.34704861111</v>
      </c>
      <c r="C2610" t="n">
        <v>0</v>
      </c>
      <c r="D2610" t="n">
        <v>4192</v>
      </c>
      <c r="E2610" t="s">
        <v>2621</v>
      </c>
      <c r="F2610">
        <f>HYPERLINK("http://pbs.twimg.com/media/DZJM1bmUMAEjoS7.jpg", "http://pbs.twimg.com/media/DZJM1bmUMAEjoS7.jpg")</f>
        <v/>
      </c>
      <c r="G2610" t="s"/>
      <c r="H2610" t="s"/>
      <c r="I2610" t="s"/>
      <c r="J2610" t="n">
        <v>0</v>
      </c>
      <c r="K2610" t="n">
        <v>0</v>
      </c>
      <c r="L2610" t="n">
        <v>1</v>
      </c>
      <c r="M2610" t="n">
        <v>0</v>
      </c>
    </row>
    <row r="2611" spans="1:13">
      <c r="A2611" s="1">
        <f>HYPERLINK("http://www.twitter.com/NathanBLawrence/status/978184537866932224", "978184537866932224")</f>
        <v/>
      </c>
      <c r="B2611" s="2" t="n">
        <v>43185.34655092593</v>
      </c>
      <c r="C2611" t="n">
        <v>0</v>
      </c>
      <c r="D2611" t="n">
        <v>2210</v>
      </c>
      <c r="E2611" t="s">
        <v>2622</v>
      </c>
      <c r="F2611" t="s"/>
      <c r="G2611" t="s"/>
      <c r="H2611" t="s"/>
      <c r="I2611" t="s"/>
      <c r="J2611" t="n">
        <v>0</v>
      </c>
      <c r="K2611" t="n">
        <v>0</v>
      </c>
      <c r="L2611" t="n">
        <v>1</v>
      </c>
      <c r="M2611" t="n">
        <v>0</v>
      </c>
    </row>
    <row r="2612" spans="1:13">
      <c r="A2612" s="1">
        <f>HYPERLINK("http://www.twitter.com/NathanBLawrence/status/978183641246388224", "978183641246388224")</f>
        <v/>
      </c>
      <c r="B2612" s="2" t="n">
        <v>43185.34407407408</v>
      </c>
      <c r="C2612" t="n">
        <v>0</v>
      </c>
      <c r="D2612" t="n">
        <v>0</v>
      </c>
      <c r="E2612" t="s">
        <v>2623</v>
      </c>
      <c r="F2612">
        <f>HYPERLINK("http://pbs.twimg.com/media/DZM01hgVwAE-qCX.jpg", "http://pbs.twimg.com/media/DZM01hgVwAE-qCX.jpg")</f>
        <v/>
      </c>
      <c r="G2612" t="s"/>
      <c r="H2612" t="s"/>
      <c r="I2612" t="s"/>
      <c r="J2612" t="n">
        <v>0</v>
      </c>
      <c r="K2612" t="n">
        <v>0</v>
      </c>
      <c r="L2612" t="n">
        <v>1</v>
      </c>
      <c r="M2612" t="n">
        <v>0</v>
      </c>
    </row>
    <row r="2613" spans="1:13">
      <c r="A2613" s="1">
        <f>HYPERLINK("http://www.twitter.com/NathanBLawrence/status/978182987765436416", "978182987765436416")</f>
        <v/>
      </c>
      <c r="B2613" s="2" t="n">
        <v>43185.34226851852</v>
      </c>
      <c r="C2613" t="n">
        <v>2</v>
      </c>
      <c r="D2613" t="n">
        <v>0</v>
      </c>
      <c r="E2613" t="s">
        <v>2624</v>
      </c>
      <c r="F2613">
        <f>HYPERLINK("http://pbs.twimg.com/media/DZM0O6XU8AE1URN.jpg", "http://pbs.twimg.com/media/DZM0O6XU8AE1URN.jpg")</f>
        <v/>
      </c>
      <c r="G2613" t="s"/>
      <c r="H2613" t="s"/>
      <c r="I2613" t="s"/>
      <c r="J2613" t="n">
        <v>0</v>
      </c>
      <c r="K2613" t="n">
        <v>0</v>
      </c>
      <c r="L2613" t="n">
        <v>1</v>
      </c>
      <c r="M2613" t="n">
        <v>0</v>
      </c>
    </row>
    <row r="2614" spans="1:13">
      <c r="A2614" s="1">
        <f>HYPERLINK("http://www.twitter.com/NathanBLawrence/status/978178540775596032", "978178540775596032")</f>
        <v/>
      </c>
      <c r="B2614" s="2" t="n">
        <v>43185.33</v>
      </c>
      <c r="C2614" t="n">
        <v>0</v>
      </c>
      <c r="D2614" t="n">
        <v>289</v>
      </c>
      <c r="E2614" t="s">
        <v>2625</v>
      </c>
      <c r="F2614">
        <f>HYPERLINK("http://pbs.twimg.com/media/DZLjEBfWsAUB4Ws.jpg", "http://pbs.twimg.com/media/DZLjEBfWsAUB4Ws.jpg")</f>
        <v/>
      </c>
      <c r="G2614" t="s"/>
      <c r="H2614" t="s"/>
      <c r="I2614" t="s"/>
      <c r="J2614" t="n">
        <v>-0.4824</v>
      </c>
      <c r="K2614" t="n">
        <v>0.142</v>
      </c>
      <c r="L2614" t="n">
        <v>0.858</v>
      </c>
      <c r="M2614" t="n">
        <v>0</v>
      </c>
    </row>
    <row r="2615" spans="1:13">
      <c r="A2615" s="1">
        <f>HYPERLINK("http://www.twitter.com/NathanBLawrence/status/978176344923234304", "978176344923234304")</f>
        <v/>
      </c>
      <c r="B2615" s="2" t="n">
        <v>43185.32393518519</v>
      </c>
      <c r="C2615" t="n">
        <v>0</v>
      </c>
      <c r="D2615" t="n">
        <v>0</v>
      </c>
      <c r="E2615" t="s">
        <v>2626</v>
      </c>
      <c r="F2615" t="s"/>
      <c r="G2615" t="s"/>
      <c r="H2615" t="s"/>
      <c r="I2615" t="s"/>
      <c r="J2615" t="n">
        <v>0</v>
      </c>
      <c r="K2615" t="n">
        <v>0</v>
      </c>
      <c r="L2615" t="n">
        <v>1</v>
      </c>
      <c r="M2615" t="n">
        <v>0</v>
      </c>
    </row>
    <row r="2616" spans="1:13">
      <c r="A2616" s="1">
        <f>HYPERLINK("http://www.twitter.com/NathanBLawrence/status/978108811465474049", "978108811465474049")</f>
        <v/>
      </c>
      <c r="B2616" s="2" t="n">
        <v>43185.13758101852</v>
      </c>
      <c r="C2616" t="n">
        <v>0</v>
      </c>
      <c r="D2616" t="n">
        <v>0</v>
      </c>
      <c r="E2616" t="s">
        <v>2627</v>
      </c>
      <c r="F2616" t="s"/>
      <c r="G2616" t="s"/>
      <c r="H2616" t="s"/>
      <c r="I2616" t="s"/>
      <c r="J2616" t="n">
        <v>-0.3818</v>
      </c>
      <c r="K2616" t="n">
        <v>0.133</v>
      </c>
      <c r="L2616" t="n">
        <v>0.867</v>
      </c>
      <c r="M2616" t="n">
        <v>0</v>
      </c>
    </row>
    <row r="2617" spans="1:13">
      <c r="A2617" s="1">
        <f>HYPERLINK("http://www.twitter.com/NathanBLawrence/status/978108557068521475", "978108557068521475")</f>
        <v/>
      </c>
      <c r="B2617" s="2" t="n">
        <v>43185.13688657407</v>
      </c>
      <c r="C2617" t="n">
        <v>0</v>
      </c>
      <c r="D2617" t="n">
        <v>190</v>
      </c>
      <c r="E2617" t="s">
        <v>2628</v>
      </c>
      <c r="F2617">
        <f>HYPERLINK("http://pbs.twimg.com/media/DZLVblJW0AAOd_7.jpg", "http://pbs.twimg.com/media/DZLVblJW0AAOd_7.jpg")</f>
        <v/>
      </c>
      <c r="G2617" t="s"/>
      <c r="H2617" t="s"/>
      <c r="I2617" t="s"/>
      <c r="J2617" t="n">
        <v>0</v>
      </c>
      <c r="K2617" t="n">
        <v>0</v>
      </c>
      <c r="L2617" t="n">
        <v>1</v>
      </c>
      <c r="M2617" t="n">
        <v>0</v>
      </c>
    </row>
    <row r="2618" spans="1:13">
      <c r="A2618" s="1">
        <f>HYPERLINK("http://www.twitter.com/NathanBLawrence/status/978108442429837312", "978108442429837312")</f>
        <v/>
      </c>
      <c r="B2618" s="2" t="n">
        <v>43185.1365625</v>
      </c>
      <c r="C2618" t="n">
        <v>1</v>
      </c>
      <c r="D2618" t="n">
        <v>0</v>
      </c>
      <c r="E2618" t="s">
        <v>2629</v>
      </c>
      <c r="F2618" t="s"/>
      <c r="G2618" t="s"/>
      <c r="H2618" t="s"/>
      <c r="I2618" t="s"/>
      <c r="J2618" t="n">
        <v>0.296</v>
      </c>
      <c r="K2618" t="n">
        <v>0</v>
      </c>
      <c r="L2618" t="n">
        <v>0.855</v>
      </c>
      <c r="M2618" t="n">
        <v>0.145</v>
      </c>
    </row>
    <row r="2619" spans="1:13">
      <c r="A2619" s="1">
        <f>HYPERLINK("http://www.twitter.com/NathanBLawrence/status/978108127232057344", "978108127232057344")</f>
        <v/>
      </c>
      <c r="B2619" s="2" t="n">
        <v>43185.13569444444</v>
      </c>
      <c r="C2619" t="n">
        <v>2</v>
      </c>
      <c r="D2619" t="n">
        <v>1</v>
      </c>
      <c r="E2619" t="s">
        <v>2630</v>
      </c>
      <c r="F2619" t="s"/>
      <c r="G2619" t="s"/>
      <c r="H2619" t="s"/>
      <c r="I2619" t="s"/>
      <c r="J2619" t="n">
        <v>-0.5859</v>
      </c>
      <c r="K2619" t="n">
        <v>0.286</v>
      </c>
      <c r="L2619" t="n">
        <v>0.611</v>
      </c>
      <c r="M2619" t="n">
        <v>0.103</v>
      </c>
    </row>
    <row r="2620" spans="1:13">
      <c r="A2620" s="1">
        <f>HYPERLINK("http://www.twitter.com/NathanBLawrence/status/978106882995949569", "978106882995949569")</f>
        <v/>
      </c>
      <c r="B2620" s="2" t="n">
        <v>43185.13225694445</v>
      </c>
      <c r="C2620" t="n">
        <v>1</v>
      </c>
      <c r="D2620" t="n">
        <v>0</v>
      </c>
      <c r="E2620" t="s">
        <v>2631</v>
      </c>
      <c r="F2620" t="s"/>
      <c r="G2620" t="s"/>
      <c r="H2620" t="s"/>
      <c r="I2620" t="s"/>
      <c r="J2620" t="n">
        <v>-0.7096</v>
      </c>
      <c r="K2620" t="n">
        <v>0.16</v>
      </c>
      <c r="L2620" t="n">
        <v>0.84</v>
      </c>
      <c r="M2620" t="n">
        <v>0</v>
      </c>
    </row>
    <row r="2621" spans="1:13">
      <c r="A2621" s="1">
        <f>HYPERLINK("http://www.twitter.com/NathanBLawrence/status/978106052779626496", "978106052779626496")</f>
        <v/>
      </c>
      <c r="B2621" s="2" t="n">
        <v>43185.12996527777</v>
      </c>
      <c r="C2621" t="n">
        <v>0</v>
      </c>
      <c r="D2621" t="n">
        <v>0</v>
      </c>
      <c r="E2621" t="s">
        <v>2632</v>
      </c>
      <c r="F2621" t="s"/>
      <c r="G2621" t="s"/>
      <c r="H2621" t="s"/>
      <c r="I2621" t="s"/>
      <c r="J2621" t="n">
        <v>0</v>
      </c>
      <c r="K2621" t="n">
        <v>0</v>
      </c>
      <c r="L2621" t="n">
        <v>1</v>
      </c>
      <c r="M2621" t="n">
        <v>0</v>
      </c>
    </row>
    <row r="2622" spans="1:13">
      <c r="A2622" s="1">
        <f>HYPERLINK("http://www.twitter.com/NathanBLawrence/status/978091335180783616", "978091335180783616")</f>
        <v/>
      </c>
      <c r="B2622" s="2" t="n">
        <v>43185.08936342593</v>
      </c>
      <c r="C2622" t="n">
        <v>0</v>
      </c>
      <c r="D2622" t="n">
        <v>0</v>
      </c>
      <c r="E2622" t="s">
        <v>2633</v>
      </c>
      <c r="F2622" t="s"/>
      <c r="G2622" t="s"/>
      <c r="H2622" t="s"/>
      <c r="I2622" t="s"/>
      <c r="J2622" t="n">
        <v>-0.8555</v>
      </c>
      <c r="K2622" t="n">
        <v>0.222</v>
      </c>
      <c r="L2622" t="n">
        <v>0.778</v>
      </c>
      <c r="M2622" t="n">
        <v>0</v>
      </c>
    </row>
    <row r="2623" spans="1:13">
      <c r="A2623" s="1">
        <f>HYPERLINK("http://www.twitter.com/NathanBLawrence/status/978076656668692482", "978076656668692482")</f>
        <v/>
      </c>
      <c r="B2623" s="2" t="n">
        <v>43185.04885416666</v>
      </c>
      <c r="C2623" t="n">
        <v>1</v>
      </c>
      <c r="D2623" t="n">
        <v>0</v>
      </c>
      <c r="E2623" t="s">
        <v>2634</v>
      </c>
      <c r="F2623" t="s"/>
      <c r="G2623" t="s"/>
      <c r="H2623" t="s"/>
      <c r="I2623" t="s"/>
      <c r="J2623" t="n">
        <v>0</v>
      </c>
      <c r="K2623" t="n">
        <v>0</v>
      </c>
      <c r="L2623" t="n">
        <v>1</v>
      </c>
      <c r="M2623" t="n">
        <v>0</v>
      </c>
    </row>
    <row r="2624" spans="1:13">
      <c r="A2624" s="1">
        <f>HYPERLINK("http://www.twitter.com/NathanBLawrence/status/978076268334809088", "978076268334809088")</f>
        <v/>
      </c>
      <c r="B2624" s="2" t="n">
        <v>43185.04777777778</v>
      </c>
      <c r="C2624" t="n">
        <v>0</v>
      </c>
      <c r="D2624" t="n">
        <v>0</v>
      </c>
      <c r="E2624" t="s">
        <v>2635</v>
      </c>
      <c r="F2624" t="s"/>
      <c r="G2624" t="s"/>
      <c r="H2624" t="s"/>
      <c r="I2624" t="s"/>
      <c r="J2624" t="n">
        <v>0</v>
      </c>
      <c r="K2624" t="n">
        <v>0</v>
      </c>
      <c r="L2624" t="n">
        <v>1</v>
      </c>
      <c r="M2624" t="n">
        <v>0</v>
      </c>
    </row>
    <row r="2625" spans="1:13">
      <c r="A2625" s="1">
        <f>HYPERLINK("http://www.twitter.com/NathanBLawrence/status/978075548890095616", "978075548890095616")</f>
        <v/>
      </c>
      <c r="B2625" s="2" t="n">
        <v>43185.04579861111</v>
      </c>
      <c r="C2625" t="n">
        <v>1</v>
      </c>
      <c r="D2625" t="n">
        <v>0</v>
      </c>
      <c r="E2625" t="s">
        <v>2636</v>
      </c>
      <c r="F2625" t="s"/>
      <c r="G2625" t="s"/>
      <c r="H2625" t="s"/>
      <c r="I2625" t="s"/>
      <c r="J2625" t="n">
        <v>-0.296</v>
      </c>
      <c r="K2625" t="n">
        <v>0.306</v>
      </c>
      <c r="L2625" t="n">
        <v>0.694</v>
      </c>
      <c r="M2625" t="n">
        <v>0</v>
      </c>
    </row>
    <row r="2626" spans="1:13">
      <c r="A2626" s="1">
        <f>HYPERLINK("http://www.twitter.com/NathanBLawrence/status/978072129819340801", "978072129819340801")</f>
        <v/>
      </c>
      <c r="B2626" s="2" t="n">
        <v>43185.03636574074</v>
      </c>
      <c r="C2626" t="n">
        <v>0</v>
      </c>
      <c r="D2626" t="n">
        <v>806</v>
      </c>
      <c r="E2626" t="s">
        <v>2637</v>
      </c>
      <c r="F2626">
        <f>HYPERLINK("http://pbs.twimg.com/media/DZLGc-VXUAEWJF8.jpg", "http://pbs.twimg.com/media/DZLGc-VXUAEWJF8.jpg")</f>
        <v/>
      </c>
      <c r="G2626" t="s"/>
      <c r="H2626" t="s"/>
      <c r="I2626" t="s"/>
      <c r="J2626" t="n">
        <v>0</v>
      </c>
      <c r="K2626" t="n">
        <v>0</v>
      </c>
      <c r="L2626" t="n">
        <v>1</v>
      </c>
      <c r="M2626" t="n">
        <v>0</v>
      </c>
    </row>
    <row r="2627" spans="1:13">
      <c r="A2627" s="1">
        <f>HYPERLINK("http://www.twitter.com/NathanBLawrence/status/978071725526212608", "978071725526212608")</f>
        <v/>
      </c>
      <c r="B2627" s="2" t="n">
        <v>43185.03524305556</v>
      </c>
      <c r="C2627" t="n">
        <v>0</v>
      </c>
      <c r="D2627" t="n">
        <v>0</v>
      </c>
      <c r="E2627" t="s">
        <v>2638</v>
      </c>
      <c r="F2627" t="s"/>
      <c r="G2627" t="s"/>
      <c r="H2627" t="s"/>
      <c r="I2627" t="s"/>
      <c r="J2627" t="n">
        <v>0.2732</v>
      </c>
      <c r="K2627" t="n">
        <v>0</v>
      </c>
      <c r="L2627" t="n">
        <v>0.861</v>
      </c>
      <c r="M2627" t="n">
        <v>0.139</v>
      </c>
    </row>
    <row r="2628" spans="1:13">
      <c r="A2628" s="1">
        <f>HYPERLINK("http://www.twitter.com/NathanBLawrence/status/978070671241699328", "978070671241699328")</f>
        <v/>
      </c>
      <c r="B2628" s="2" t="n">
        <v>43185.03233796296</v>
      </c>
      <c r="C2628" t="n">
        <v>0</v>
      </c>
      <c r="D2628" t="n">
        <v>0</v>
      </c>
      <c r="E2628" t="s">
        <v>2639</v>
      </c>
      <c r="F2628">
        <f>HYPERLINK("http://pbs.twimg.com/media/DZLOFU7VAAA1dAZ.jpg", "http://pbs.twimg.com/media/DZLOFU7VAAA1dAZ.jpg")</f>
        <v/>
      </c>
      <c r="G2628" t="s"/>
      <c r="H2628" t="s"/>
      <c r="I2628" t="s"/>
      <c r="J2628" t="n">
        <v>0</v>
      </c>
      <c r="K2628" t="n">
        <v>0</v>
      </c>
      <c r="L2628" t="n">
        <v>1</v>
      </c>
      <c r="M2628" t="n">
        <v>0</v>
      </c>
    </row>
    <row r="2629" spans="1:13">
      <c r="A2629" s="1">
        <f>HYPERLINK("http://www.twitter.com/NathanBLawrence/status/978070081526812673", "978070081526812673")</f>
        <v/>
      </c>
      <c r="B2629" s="2" t="n">
        <v>43185.03070601852</v>
      </c>
      <c r="C2629" t="n">
        <v>0</v>
      </c>
      <c r="D2629" t="n">
        <v>32</v>
      </c>
      <c r="E2629" t="s">
        <v>2640</v>
      </c>
      <c r="F2629" t="s"/>
      <c r="G2629" t="s"/>
      <c r="H2629" t="s"/>
      <c r="I2629" t="s"/>
      <c r="J2629" t="n">
        <v>-0.7902</v>
      </c>
      <c r="K2629" t="n">
        <v>0.291</v>
      </c>
      <c r="L2629" t="n">
        <v>0.709</v>
      </c>
      <c r="M2629" t="n">
        <v>0</v>
      </c>
    </row>
    <row r="2630" spans="1:13">
      <c r="A2630" s="1">
        <f>HYPERLINK("http://www.twitter.com/NathanBLawrence/status/978037337555906560", "978037337555906560")</f>
        <v/>
      </c>
      <c r="B2630" s="2" t="n">
        <v>43184.94034722223</v>
      </c>
      <c r="C2630" t="n">
        <v>0</v>
      </c>
      <c r="D2630" t="n">
        <v>0</v>
      </c>
      <c r="E2630" t="s">
        <v>2641</v>
      </c>
      <c r="F2630" t="s"/>
      <c r="G2630" t="s"/>
      <c r="H2630" t="s"/>
      <c r="I2630" t="s"/>
      <c r="J2630" t="n">
        <v>-0.8074</v>
      </c>
      <c r="K2630" t="n">
        <v>0.227</v>
      </c>
      <c r="L2630" t="n">
        <v>0.705</v>
      </c>
      <c r="M2630" t="n">
        <v>0.068</v>
      </c>
    </row>
    <row r="2631" spans="1:13">
      <c r="A2631" s="1">
        <f>HYPERLINK("http://www.twitter.com/NathanBLawrence/status/978036396119162880", "978036396119162880")</f>
        <v/>
      </c>
      <c r="B2631" s="2" t="n">
        <v>43184.93775462963</v>
      </c>
      <c r="C2631" t="n">
        <v>0</v>
      </c>
      <c r="D2631" t="n">
        <v>172</v>
      </c>
      <c r="E2631" t="s">
        <v>2642</v>
      </c>
      <c r="F2631" t="s"/>
      <c r="G2631" t="s"/>
      <c r="H2631" t="s"/>
      <c r="I2631" t="s"/>
      <c r="J2631" t="n">
        <v>0</v>
      </c>
      <c r="K2631" t="n">
        <v>0</v>
      </c>
      <c r="L2631" t="n">
        <v>1</v>
      </c>
      <c r="M2631" t="n">
        <v>0</v>
      </c>
    </row>
    <row r="2632" spans="1:13">
      <c r="A2632" s="1">
        <f>HYPERLINK("http://www.twitter.com/NathanBLawrence/status/978036161993232385", "978036161993232385")</f>
        <v/>
      </c>
      <c r="B2632" s="2" t="n">
        <v>43184.93710648148</v>
      </c>
      <c r="C2632" t="n">
        <v>0</v>
      </c>
      <c r="D2632" t="n">
        <v>0</v>
      </c>
      <c r="E2632" t="s">
        <v>2643</v>
      </c>
      <c r="F2632" t="s"/>
      <c r="G2632" t="s"/>
      <c r="H2632" t="s"/>
      <c r="I2632" t="s"/>
      <c r="J2632" t="n">
        <v>0</v>
      </c>
      <c r="K2632" t="n">
        <v>0</v>
      </c>
      <c r="L2632" t="n">
        <v>1</v>
      </c>
      <c r="M2632" t="n">
        <v>0</v>
      </c>
    </row>
    <row r="2633" spans="1:13">
      <c r="A2633" s="1">
        <f>HYPERLINK("http://www.twitter.com/NathanBLawrence/status/978035792932229120", "978035792932229120")</f>
        <v/>
      </c>
      <c r="B2633" s="2" t="n">
        <v>43184.93608796296</v>
      </c>
      <c r="C2633" t="n">
        <v>0</v>
      </c>
      <c r="D2633" t="n">
        <v>7</v>
      </c>
      <c r="E2633" t="s">
        <v>2644</v>
      </c>
      <c r="F2633" t="s"/>
      <c r="G2633" t="s"/>
      <c r="H2633" t="s"/>
      <c r="I2633" t="s"/>
      <c r="J2633" t="n">
        <v>-0.3804</v>
      </c>
      <c r="K2633" t="n">
        <v>0.126</v>
      </c>
      <c r="L2633" t="n">
        <v>0.874</v>
      </c>
      <c r="M2633" t="n">
        <v>0</v>
      </c>
    </row>
    <row r="2634" spans="1:13">
      <c r="A2634" s="1">
        <f>HYPERLINK("http://www.twitter.com/NathanBLawrence/status/978029079889932290", "978029079889932290")</f>
        <v/>
      </c>
      <c r="B2634" s="2" t="n">
        <v>43184.91756944444</v>
      </c>
      <c r="C2634" t="n">
        <v>0</v>
      </c>
      <c r="D2634" t="n">
        <v>105</v>
      </c>
      <c r="E2634" t="s">
        <v>2645</v>
      </c>
      <c r="F2634">
        <f>HYPERLINK("http://pbs.twimg.com/media/DZJucCDUQAAGabL.jpg", "http://pbs.twimg.com/media/DZJucCDUQAAGabL.jpg")</f>
        <v/>
      </c>
      <c r="G2634" t="s"/>
      <c r="H2634" t="s"/>
      <c r="I2634" t="s"/>
      <c r="J2634" t="n">
        <v>-0.6808</v>
      </c>
      <c r="K2634" t="n">
        <v>0.244</v>
      </c>
      <c r="L2634" t="n">
        <v>0.702</v>
      </c>
      <c r="M2634" t="n">
        <v>0.054</v>
      </c>
    </row>
    <row r="2635" spans="1:13">
      <c r="A2635" s="1">
        <f>HYPERLINK("http://www.twitter.com/NathanBLawrence/status/978028832597962758", "978028832597962758")</f>
        <v/>
      </c>
      <c r="B2635" s="2" t="n">
        <v>43184.91688657407</v>
      </c>
      <c r="C2635" t="n">
        <v>0</v>
      </c>
      <c r="D2635" t="n">
        <v>67</v>
      </c>
      <c r="E2635" t="s">
        <v>2646</v>
      </c>
      <c r="F2635" t="s"/>
      <c r="G2635" t="s"/>
      <c r="H2635" t="s"/>
      <c r="I2635" t="s"/>
      <c r="J2635" t="n">
        <v>0.7089</v>
      </c>
      <c r="K2635" t="n">
        <v>0</v>
      </c>
      <c r="L2635" t="n">
        <v>0.772</v>
      </c>
      <c r="M2635" t="n">
        <v>0.228</v>
      </c>
    </row>
    <row r="2636" spans="1:13">
      <c r="A2636" s="1">
        <f>HYPERLINK("http://www.twitter.com/NathanBLawrence/status/978028578540531712", "978028578540531712")</f>
        <v/>
      </c>
      <c r="B2636" s="2" t="n">
        <v>43184.91618055556</v>
      </c>
      <c r="C2636" t="n">
        <v>0</v>
      </c>
      <c r="D2636" t="n">
        <v>21</v>
      </c>
      <c r="E2636" t="s">
        <v>2647</v>
      </c>
      <c r="F2636" t="s"/>
      <c r="G2636" t="s"/>
      <c r="H2636" t="s"/>
      <c r="I2636" t="s"/>
      <c r="J2636" t="n">
        <v>-0.7717000000000001</v>
      </c>
      <c r="K2636" t="n">
        <v>0.295</v>
      </c>
      <c r="L2636" t="n">
        <v>0.705</v>
      </c>
      <c r="M2636" t="n">
        <v>0</v>
      </c>
    </row>
    <row r="2637" spans="1:13">
      <c r="A2637" s="1">
        <f>HYPERLINK("http://www.twitter.com/NathanBLawrence/status/978028544885485570", "978028544885485570")</f>
        <v/>
      </c>
      <c r="B2637" s="2" t="n">
        <v>43184.91608796296</v>
      </c>
      <c r="C2637" t="n">
        <v>0</v>
      </c>
      <c r="D2637" t="n">
        <v>15</v>
      </c>
      <c r="E2637" t="s">
        <v>2648</v>
      </c>
      <c r="F2637" t="s"/>
      <c r="G2637" t="s"/>
      <c r="H2637" t="s"/>
      <c r="I2637" t="s"/>
      <c r="J2637" t="n">
        <v>0.128</v>
      </c>
      <c r="K2637" t="n">
        <v>0.1</v>
      </c>
      <c r="L2637" t="n">
        <v>0.776</v>
      </c>
      <c r="M2637" t="n">
        <v>0.123</v>
      </c>
    </row>
    <row r="2638" spans="1:13">
      <c r="A2638" s="1">
        <f>HYPERLINK("http://www.twitter.com/NathanBLawrence/status/978028451360845824", "978028451360845824")</f>
        <v/>
      </c>
      <c r="B2638" s="2" t="n">
        <v>43184.91583333333</v>
      </c>
      <c r="C2638" t="n">
        <v>1</v>
      </c>
      <c r="D2638" t="n">
        <v>1</v>
      </c>
      <c r="E2638" t="s">
        <v>2649</v>
      </c>
      <c r="F2638" t="s"/>
      <c r="G2638" t="s"/>
      <c r="H2638" t="s"/>
      <c r="I2638" t="s"/>
      <c r="J2638" t="n">
        <v>-0.34</v>
      </c>
      <c r="K2638" t="n">
        <v>0.079</v>
      </c>
      <c r="L2638" t="n">
        <v>0.921</v>
      </c>
      <c r="M2638" t="n">
        <v>0</v>
      </c>
    </row>
    <row r="2639" spans="1:13">
      <c r="A2639" s="1">
        <f>HYPERLINK("http://www.twitter.com/NathanBLawrence/status/978028134384721920", "978028134384721920")</f>
        <v/>
      </c>
      <c r="B2639" s="2" t="n">
        <v>43184.9149537037</v>
      </c>
      <c r="C2639" t="n">
        <v>0</v>
      </c>
      <c r="D2639" t="n">
        <v>43</v>
      </c>
      <c r="E2639" t="s">
        <v>2650</v>
      </c>
      <c r="F2639" t="s"/>
      <c r="G2639" t="s"/>
      <c r="H2639" t="s"/>
      <c r="I2639" t="s"/>
      <c r="J2639" t="n">
        <v>-0.5994</v>
      </c>
      <c r="K2639" t="n">
        <v>0.292</v>
      </c>
      <c r="L2639" t="n">
        <v>0.5620000000000001</v>
      </c>
      <c r="M2639" t="n">
        <v>0.146</v>
      </c>
    </row>
    <row r="2640" spans="1:13">
      <c r="A2640" s="1">
        <f>HYPERLINK("http://www.twitter.com/NathanBLawrence/status/978028067842150401", "978028067842150401")</f>
        <v/>
      </c>
      <c r="B2640" s="2" t="n">
        <v>43184.91476851852</v>
      </c>
      <c r="C2640" t="n">
        <v>0</v>
      </c>
      <c r="D2640" t="n">
        <v>51</v>
      </c>
      <c r="E2640" t="s">
        <v>2651</v>
      </c>
      <c r="F2640" t="s"/>
      <c r="G2640" t="s"/>
      <c r="H2640" t="s"/>
      <c r="I2640" t="s"/>
      <c r="J2640" t="n">
        <v>0.1531</v>
      </c>
      <c r="K2640" t="n">
        <v>0.142</v>
      </c>
      <c r="L2640" t="n">
        <v>0.6879999999999999</v>
      </c>
      <c r="M2640" t="n">
        <v>0.17</v>
      </c>
    </row>
    <row r="2641" spans="1:13">
      <c r="A2641" s="1">
        <f>HYPERLINK("http://www.twitter.com/NathanBLawrence/status/978027957523501057", "978027957523501057")</f>
        <v/>
      </c>
      <c r="B2641" s="2" t="n">
        <v>43184.91446759259</v>
      </c>
      <c r="C2641" t="n">
        <v>0</v>
      </c>
      <c r="D2641" t="n">
        <v>0</v>
      </c>
      <c r="E2641" t="s">
        <v>2652</v>
      </c>
      <c r="F2641" t="s"/>
      <c r="G2641" t="s"/>
      <c r="H2641" t="s"/>
      <c r="I2641" t="s"/>
      <c r="J2641" t="n">
        <v>-0.4201</v>
      </c>
      <c r="K2641" t="n">
        <v>0.189</v>
      </c>
      <c r="L2641" t="n">
        <v>0.8110000000000001</v>
      </c>
      <c r="M2641" t="n">
        <v>0</v>
      </c>
    </row>
    <row r="2642" spans="1:13">
      <c r="A2642" s="1">
        <f>HYPERLINK("http://www.twitter.com/NathanBLawrence/status/978027584045961218", "978027584045961218")</f>
        <v/>
      </c>
      <c r="B2642" s="2" t="n">
        <v>43184.9134375</v>
      </c>
      <c r="C2642" t="n">
        <v>0</v>
      </c>
      <c r="D2642" t="n">
        <v>176</v>
      </c>
      <c r="E2642" t="s">
        <v>2653</v>
      </c>
      <c r="F2642">
        <f>HYPERLINK("http://pbs.twimg.com/media/DZHP1_OVwAAnabO.jpg", "http://pbs.twimg.com/media/DZHP1_OVwAAnabO.jpg")</f>
        <v/>
      </c>
      <c r="G2642" t="s"/>
      <c r="H2642" t="s"/>
      <c r="I2642" t="s"/>
      <c r="J2642" t="n">
        <v>-0.25</v>
      </c>
      <c r="K2642" t="n">
        <v>0.224</v>
      </c>
      <c r="L2642" t="n">
        <v>0.584</v>
      </c>
      <c r="M2642" t="n">
        <v>0.192</v>
      </c>
    </row>
    <row r="2643" spans="1:13">
      <c r="A2643" s="1">
        <f>HYPERLINK("http://www.twitter.com/NathanBLawrence/status/978025941724286976", "978025941724286976")</f>
        <v/>
      </c>
      <c r="B2643" s="2" t="n">
        <v>43184.90891203703</v>
      </c>
      <c r="C2643" t="n">
        <v>0</v>
      </c>
      <c r="D2643" t="n">
        <v>4201</v>
      </c>
      <c r="E2643" t="s">
        <v>2654</v>
      </c>
      <c r="F2643">
        <f>HYPERLINK("https://video.twimg.com/ext_tw_video/974431276097855488/pu/vid/640x360/w4fnWXDEgCAn7PuR.mp4", "https://video.twimg.com/ext_tw_video/974431276097855488/pu/vid/640x360/w4fnWXDEgCAn7PuR.mp4")</f>
        <v/>
      </c>
      <c r="G2643" t="s"/>
      <c r="H2643" t="s"/>
      <c r="I2643" t="s"/>
      <c r="J2643" t="n">
        <v>0.1232</v>
      </c>
      <c r="K2643" t="n">
        <v>0</v>
      </c>
      <c r="L2643" t="n">
        <v>0.9399999999999999</v>
      </c>
      <c r="M2643" t="n">
        <v>0.06</v>
      </c>
    </row>
    <row r="2644" spans="1:13">
      <c r="A2644" s="1">
        <f>HYPERLINK("http://www.twitter.com/NathanBLawrence/status/978025786207809538", "978025786207809538")</f>
        <v/>
      </c>
      <c r="B2644" s="2" t="n">
        <v>43184.90847222223</v>
      </c>
      <c r="C2644" t="n">
        <v>0</v>
      </c>
      <c r="D2644" t="n">
        <v>9983</v>
      </c>
      <c r="E2644" t="s">
        <v>2655</v>
      </c>
      <c r="F2644" t="s"/>
      <c r="G2644" t="s"/>
      <c r="H2644" t="s"/>
      <c r="I2644" t="s"/>
      <c r="J2644" t="n">
        <v>-0.7425</v>
      </c>
      <c r="K2644" t="n">
        <v>0.231</v>
      </c>
      <c r="L2644" t="n">
        <v>0.769</v>
      </c>
      <c r="M2644" t="n">
        <v>0</v>
      </c>
    </row>
    <row r="2645" spans="1:13">
      <c r="A2645" s="1">
        <f>HYPERLINK("http://www.twitter.com/NathanBLawrence/status/978025619454914566", "978025619454914566")</f>
        <v/>
      </c>
      <c r="B2645" s="2" t="n">
        <v>43184.90802083333</v>
      </c>
      <c r="C2645" t="n">
        <v>0</v>
      </c>
      <c r="D2645" t="n">
        <v>1286</v>
      </c>
      <c r="E2645" t="s">
        <v>2656</v>
      </c>
      <c r="F2645" t="s"/>
      <c r="G2645" t="s"/>
      <c r="H2645" t="s"/>
      <c r="I2645" t="s"/>
      <c r="J2645" t="n">
        <v>0</v>
      </c>
      <c r="K2645" t="n">
        <v>0</v>
      </c>
      <c r="L2645" t="n">
        <v>1</v>
      </c>
      <c r="M2645" t="n">
        <v>0</v>
      </c>
    </row>
    <row r="2646" spans="1:13">
      <c r="A2646" s="1">
        <f>HYPERLINK("http://www.twitter.com/NathanBLawrence/status/978025339183157249", "978025339183157249")</f>
        <v/>
      </c>
      <c r="B2646" s="2" t="n">
        <v>43184.90724537037</v>
      </c>
      <c r="C2646" t="n">
        <v>0</v>
      </c>
      <c r="D2646" t="n">
        <v>0</v>
      </c>
      <c r="E2646" t="s">
        <v>2657</v>
      </c>
      <c r="F2646" t="s"/>
      <c r="G2646" t="s"/>
      <c r="H2646" t="s"/>
      <c r="I2646" t="s"/>
      <c r="J2646" t="n">
        <v>-0.9533</v>
      </c>
      <c r="K2646" t="n">
        <v>0.375</v>
      </c>
      <c r="L2646" t="n">
        <v>0.625</v>
      </c>
      <c r="M2646" t="n">
        <v>0</v>
      </c>
    </row>
    <row r="2647" spans="1:13">
      <c r="A2647" s="1">
        <f>HYPERLINK("http://www.twitter.com/NathanBLawrence/status/978024841835106308", "978024841835106308")</f>
        <v/>
      </c>
      <c r="B2647" s="2" t="n">
        <v>43184.90586805555</v>
      </c>
      <c r="C2647" t="n">
        <v>0</v>
      </c>
      <c r="D2647" t="n">
        <v>0</v>
      </c>
      <c r="E2647" t="s">
        <v>2658</v>
      </c>
      <c r="F2647" t="s"/>
      <c r="G2647" t="s"/>
      <c r="H2647" t="s"/>
      <c r="I2647" t="s"/>
      <c r="J2647" t="n">
        <v>-0.9751</v>
      </c>
      <c r="K2647" t="n">
        <v>0.391</v>
      </c>
      <c r="L2647" t="n">
        <v>0.587</v>
      </c>
      <c r="M2647" t="n">
        <v>0.022</v>
      </c>
    </row>
    <row r="2648" spans="1:13">
      <c r="A2648" s="1">
        <f>HYPERLINK("http://www.twitter.com/NathanBLawrence/status/978023865141153795", "978023865141153795")</f>
        <v/>
      </c>
      <c r="B2648" s="2" t="n">
        <v>43184.9031712963</v>
      </c>
      <c r="C2648" t="n">
        <v>1</v>
      </c>
      <c r="D2648" t="n">
        <v>0</v>
      </c>
      <c r="E2648" t="s">
        <v>2659</v>
      </c>
      <c r="F2648" t="s"/>
      <c r="G2648" t="s"/>
      <c r="H2648" t="s"/>
      <c r="I2648" t="s"/>
      <c r="J2648" t="n">
        <v>-0.3182</v>
      </c>
      <c r="K2648" t="n">
        <v>0.155</v>
      </c>
      <c r="L2648" t="n">
        <v>0.845</v>
      </c>
      <c r="M2648" t="n">
        <v>0</v>
      </c>
    </row>
    <row r="2649" spans="1:13">
      <c r="A2649" s="1">
        <f>HYPERLINK("http://www.twitter.com/NathanBLawrence/status/978023555760836608", "978023555760836608")</f>
        <v/>
      </c>
      <c r="B2649" s="2" t="n">
        <v>43184.90232638889</v>
      </c>
      <c r="C2649" t="n">
        <v>0</v>
      </c>
      <c r="D2649" t="n">
        <v>2805</v>
      </c>
      <c r="E2649" t="s">
        <v>2660</v>
      </c>
      <c r="F2649">
        <f>HYPERLINK("http://pbs.twimg.com/media/DZEy7DUU8AIVEYd.jpg", "http://pbs.twimg.com/media/DZEy7DUU8AIVEYd.jpg")</f>
        <v/>
      </c>
      <c r="G2649">
        <f>HYPERLINK("http://pbs.twimg.com/media/DZEy7DWV4AAA-49.jpg", "http://pbs.twimg.com/media/DZEy7DWV4AAA-49.jpg")</f>
        <v/>
      </c>
      <c r="H2649">
        <f>HYPERLINK("http://pbs.twimg.com/media/DZEy7DVV4AAONDs.jpg", "http://pbs.twimg.com/media/DZEy7DVV4AAONDs.jpg")</f>
        <v/>
      </c>
      <c r="I2649">
        <f>HYPERLINK("http://pbs.twimg.com/media/DZEy7DYVMAAb-9x.jpg", "http://pbs.twimg.com/media/DZEy7DYVMAAb-9x.jpg")</f>
        <v/>
      </c>
      <c r="J2649" t="n">
        <v>-0.6908</v>
      </c>
      <c r="K2649" t="n">
        <v>0.19</v>
      </c>
      <c r="L2649" t="n">
        <v>0.8100000000000001</v>
      </c>
      <c r="M2649" t="n">
        <v>0</v>
      </c>
    </row>
    <row r="2650" spans="1:13">
      <c r="A2650" s="1">
        <f>HYPERLINK("http://www.twitter.com/NathanBLawrence/status/978023225086087168", "978023225086087168")</f>
        <v/>
      </c>
      <c r="B2650" s="2" t="n">
        <v>43184.90141203703</v>
      </c>
      <c r="C2650" t="n">
        <v>1</v>
      </c>
      <c r="D2650" t="n">
        <v>0</v>
      </c>
      <c r="E2650" t="s">
        <v>2661</v>
      </c>
      <c r="F2650" t="s"/>
      <c r="G2650" t="s"/>
      <c r="H2650" t="s"/>
      <c r="I2650" t="s"/>
      <c r="J2650" t="n">
        <v>-0.9046</v>
      </c>
      <c r="K2650" t="n">
        <v>0.265</v>
      </c>
      <c r="L2650" t="n">
        <v>0.6909999999999999</v>
      </c>
      <c r="M2650" t="n">
        <v>0.043</v>
      </c>
    </row>
    <row r="2651" spans="1:13">
      <c r="A2651" s="1">
        <f>HYPERLINK("http://www.twitter.com/NathanBLawrence/status/978021470906568709", "978021470906568709")</f>
        <v/>
      </c>
      <c r="B2651" s="2" t="n">
        <v>43184.89657407408</v>
      </c>
      <c r="C2651" t="n">
        <v>0</v>
      </c>
      <c r="D2651" t="n">
        <v>0</v>
      </c>
      <c r="E2651" t="s">
        <v>2662</v>
      </c>
      <c r="F2651" t="s"/>
      <c r="G2651" t="s"/>
      <c r="H2651" t="s"/>
      <c r="I2651" t="s"/>
      <c r="J2651" t="n">
        <v>0.0005</v>
      </c>
      <c r="K2651" t="n">
        <v>0.102</v>
      </c>
      <c r="L2651" t="n">
        <v>0.796</v>
      </c>
      <c r="M2651" t="n">
        <v>0.102</v>
      </c>
    </row>
    <row r="2652" spans="1:13">
      <c r="A2652" s="1">
        <f>HYPERLINK("http://www.twitter.com/NathanBLawrence/status/977974759626563584", "977974759626563584")</f>
        <v/>
      </c>
      <c r="B2652" s="2" t="n">
        <v>43184.76767361111</v>
      </c>
      <c r="C2652" t="n">
        <v>0</v>
      </c>
      <c r="D2652" t="n">
        <v>0</v>
      </c>
      <c r="E2652" t="s">
        <v>2663</v>
      </c>
      <c r="F2652" t="s"/>
      <c r="G2652" t="s"/>
      <c r="H2652" t="s"/>
      <c r="I2652" t="s"/>
      <c r="J2652" t="n">
        <v>0</v>
      </c>
      <c r="K2652" t="n">
        <v>0</v>
      </c>
      <c r="L2652" t="n">
        <v>1</v>
      </c>
      <c r="M2652" t="n">
        <v>0</v>
      </c>
    </row>
    <row r="2653" spans="1:13">
      <c r="A2653" s="1">
        <f>HYPERLINK("http://www.twitter.com/NathanBLawrence/status/977974301314961409", "977974301314961409")</f>
        <v/>
      </c>
      <c r="B2653" s="2" t="n">
        <v>43184.76640046296</v>
      </c>
      <c r="C2653" t="n">
        <v>0</v>
      </c>
      <c r="D2653" t="n">
        <v>0</v>
      </c>
      <c r="E2653" t="s">
        <v>2664</v>
      </c>
      <c r="F2653">
        <f>HYPERLINK("http://pbs.twimg.com/media/DZJ2cRvVoAAPUBo.jpg", "http://pbs.twimg.com/media/DZJ2cRvVoAAPUBo.jpg")</f>
        <v/>
      </c>
      <c r="G2653" t="s"/>
      <c r="H2653" t="s"/>
      <c r="I2653" t="s"/>
      <c r="J2653" t="n">
        <v>0</v>
      </c>
      <c r="K2653" t="n">
        <v>0</v>
      </c>
      <c r="L2653" t="n">
        <v>1</v>
      </c>
      <c r="M2653" t="n">
        <v>0</v>
      </c>
    </row>
    <row r="2654" spans="1:13">
      <c r="A2654" s="1">
        <f>HYPERLINK("http://www.twitter.com/NathanBLawrence/status/977974000432373760", "977974000432373760")</f>
        <v/>
      </c>
      <c r="B2654" s="2" t="n">
        <v>43184.7655787037</v>
      </c>
      <c r="C2654" t="n">
        <v>0</v>
      </c>
      <c r="D2654" t="n">
        <v>1</v>
      </c>
      <c r="E2654" t="s">
        <v>2665</v>
      </c>
      <c r="F2654" t="s"/>
      <c r="G2654" t="s"/>
      <c r="H2654" t="s"/>
      <c r="I2654" t="s"/>
      <c r="J2654" t="n">
        <v>0.3818</v>
      </c>
      <c r="K2654" t="n">
        <v>0</v>
      </c>
      <c r="L2654" t="n">
        <v>0.698</v>
      </c>
      <c r="M2654" t="n">
        <v>0.302</v>
      </c>
    </row>
    <row r="2655" spans="1:13">
      <c r="A2655" s="1">
        <f>HYPERLINK("http://www.twitter.com/NathanBLawrence/status/977973627558776832", "977973627558776832")</f>
        <v/>
      </c>
      <c r="B2655" s="2" t="n">
        <v>43184.76454861111</v>
      </c>
      <c r="C2655" t="n">
        <v>0</v>
      </c>
      <c r="D2655" t="n">
        <v>3228</v>
      </c>
      <c r="E2655" t="s">
        <v>2666</v>
      </c>
      <c r="F2655" t="s"/>
      <c r="G2655" t="s"/>
      <c r="H2655" t="s"/>
      <c r="I2655" t="s"/>
      <c r="J2655" t="n">
        <v>0.6832</v>
      </c>
      <c r="K2655" t="n">
        <v>0</v>
      </c>
      <c r="L2655" t="n">
        <v>0.789</v>
      </c>
      <c r="M2655" t="n">
        <v>0.211</v>
      </c>
    </row>
    <row r="2656" spans="1:13">
      <c r="A2656" s="1">
        <f>HYPERLINK("http://www.twitter.com/NathanBLawrence/status/977973433060425728", "977973433060425728")</f>
        <v/>
      </c>
      <c r="B2656" s="2" t="n">
        <v>43184.76400462963</v>
      </c>
      <c r="C2656" t="n">
        <v>0</v>
      </c>
      <c r="D2656" t="n">
        <v>4031</v>
      </c>
      <c r="E2656" t="s">
        <v>2667</v>
      </c>
      <c r="F2656">
        <f>HYPERLINK("https://video.twimg.com/ext_tw_video/977574370267844608/pu/vid/180x320/uiJN8wkKeZ_hJLa3.mp4", "https://video.twimg.com/ext_tw_video/977574370267844608/pu/vid/180x320/uiJN8wkKeZ_hJLa3.mp4")</f>
        <v/>
      </c>
      <c r="G2656" t="s"/>
      <c r="H2656" t="s"/>
      <c r="I2656" t="s"/>
      <c r="J2656" t="n">
        <v>-0.6597</v>
      </c>
      <c r="K2656" t="n">
        <v>0.18</v>
      </c>
      <c r="L2656" t="n">
        <v>0.82</v>
      </c>
      <c r="M2656" t="n">
        <v>0</v>
      </c>
    </row>
    <row r="2657" spans="1:13">
      <c r="A2657" s="1">
        <f>HYPERLINK("http://www.twitter.com/NathanBLawrence/status/977962003296935936", "977962003296935936")</f>
        <v/>
      </c>
      <c r="B2657" s="2" t="n">
        <v>43184.73246527778</v>
      </c>
      <c r="C2657" t="n">
        <v>0</v>
      </c>
      <c r="D2657" t="n">
        <v>2</v>
      </c>
      <c r="E2657" t="s">
        <v>2668</v>
      </c>
      <c r="F2657" t="s"/>
      <c r="G2657" t="s"/>
      <c r="H2657" t="s"/>
      <c r="I2657" t="s"/>
      <c r="J2657" t="n">
        <v>0.0511</v>
      </c>
      <c r="K2657" t="n">
        <v>0.114</v>
      </c>
      <c r="L2657" t="n">
        <v>0.763</v>
      </c>
      <c r="M2657" t="n">
        <v>0.123</v>
      </c>
    </row>
    <row r="2658" spans="1:13">
      <c r="A2658" s="1">
        <f>HYPERLINK("http://www.twitter.com/NathanBLawrence/status/977961767539298304", "977961767539298304")</f>
        <v/>
      </c>
      <c r="B2658" s="2" t="n">
        <v>43184.73181712963</v>
      </c>
      <c r="C2658" t="n">
        <v>0</v>
      </c>
      <c r="D2658" t="n">
        <v>0</v>
      </c>
      <c r="E2658" t="s">
        <v>2669</v>
      </c>
      <c r="F2658" t="s"/>
      <c r="G2658" t="s"/>
      <c r="H2658" t="s"/>
      <c r="I2658" t="s"/>
      <c r="J2658" t="n">
        <v>0</v>
      </c>
      <c r="K2658" t="n">
        <v>0</v>
      </c>
      <c r="L2658" t="n">
        <v>1</v>
      </c>
      <c r="M2658" t="n">
        <v>0</v>
      </c>
    </row>
    <row r="2659" spans="1:13">
      <c r="A2659" s="1">
        <f>HYPERLINK("http://www.twitter.com/NathanBLawrence/status/977961531714539520", "977961531714539520")</f>
        <v/>
      </c>
      <c r="B2659" s="2" t="n">
        <v>43184.73116898148</v>
      </c>
      <c r="C2659" t="n">
        <v>0</v>
      </c>
      <c r="D2659" t="n">
        <v>26</v>
      </c>
      <c r="E2659" t="s">
        <v>2670</v>
      </c>
      <c r="F2659">
        <f>HYPERLINK("http://pbs.twimg.com/media/DZI8lTTVQAAlk7C.jpg", "http://pbs.twimg.com/media/DZI8lTTVQAAlk7C.jpg")</f>
        <v/>
      </c>
      <c r="G2659" t="s"/>
      <c r="H2659" t="s"/>
      <c r="I2659" t="s"/>
      <c r="J2659" t="n">
        <v>0.7181999999999999</v>
      </c>
      <c r="K2659" t="n">
        <v>0</v>
      </c>
      <c r="L2659" t="n">
        <v>0.75</v>
      </c>
      <c r="M2659" t="n">
        <v>0.25</v>
      </c>
    </row>
    <row r="2660" spans="1:13">
      <c r="A2660" s="1">
        <f>HYPERLINK("http://www.twitter.com/NathanBLawrence/status/977961394707591168", "977961394707591168")</f>
        <v/>
      </c>
      <c r="B2660" s="2" t="n">
        <v>43184.73078703704</v>
      </c>
      <c r="C2660" t="n">
        <v>0</v>
      </c>
      <c r="D2660" t="n">
        <v>0</v>
      </c>
      <c r="E2660" t="s">
        <v>2671</v>
      </c>
      <c r="F2660" t="s"/>
      <c r="G2660" t="s"/>
      <c r="H2660" t="s"/>
      <c r="I2660" t="s"/>
      <c r="J2660" t="n">
        <v>-0.7596000000000001</v>
      </c>
      <c r="K2660" t="n">
        <v>0.212</v>
      </c>
      <c r="L2660" t="n">
        <v>0.788</v>
      </c>
      <c r="M2660" t="n">
        <v>0</v>
      </c>
    </row>
    <row r="2661" spans="1:13">
      <c r="A2661" s="1">
        <f>HYPERLINK("http://www.twitter.com/NathanBLawrence/status/977960960425123840", "977960960425123840")</f>
        <v/>
      </c>
      <c r="B2661" s="2" t="n">
        <v>43184.72959490741</v>
      </c>
      <c r="C2661" t="n">
        <v>0</v>
      </c>
      <c r="D2661" t="n">
        <v>0</v>
      </c>
      <c r="E2661" t="s">
        <v>2672</v>
      </c>
      <c r="F2661" t="s"/>
      <c r="G2661" t="s"/>
      <c r="H2661" t="s"/>
      <c r="I2661" t="s"/>
      <c r="J2661" t="n">
        <v>0.5574</v>
      </c>
      <c r="K2661" t="n">
        <v>0</v>
      </c>
      <c r="L2661" t="n">
        <v>0.886</v>
      </c>
      <c r="M2661" t="n">
        <v>0.114</v>
      </c>
    </row>
    <row r="2662" spans="1:13">
      <c r="A2662" s="1">
        <f>HYPERLINK("http://www.twitter.com/NathanBLawrence/status/977960515120107521", "977960515120107521")</f>
        <v/>
      </c>
      <c r="B2662" s="2" t="n">
        <v>43184.72836805556</v>
      </c>
      <c r="C2662" t="n">
        <v>0</v>
      </c>
      <c r="D2662" t="n">
        <v>0</v>
      </c>
      <c r="E2662" t="s">
        <v>2673</v>
      </c>
      <c r="F2662" t="s"/>
      <c r="G2662" t="s"/>
      <c r="H2662" t="s"/>
      <c r="I2662" t="s"/>
      <c r="J2662" t="n">
        <v>-0.3818</v>
      </c>
      <c r="K2662" t="n">
        <v>0.178</v>
      </c>
      <c r="L2662" t="n">
        <v>0.734</v>
      </c>
      <c r="M2662" t="n">
        <v>0.08699999999999999</v>
      </c>
    </row>
    <row r="2663" spans="1:13">
      <c r="A2663" s="1">
        <f>HYPERLINK("http://www.twitter.com/NathanBLawrence/status/977960170201509890", "977960170201509890")</f>
        <v/>
      </c>
      <c r="B2663" s="2" t="n">
        <v>43184.72740740741</v>
      </c>
      <c r="C2663" t="n">
        <v>0</v>
      </c>
      <c r="D2663" t="n">
        <v>0</v>
      </c>
      <c r="E2663" t="s">
        <v>2674</v>
      </c>
      <c r="F2663" t="s"/>
      <c r="G2663" t="s"/>
      <c r="H2663" t="s"/>
      <c r="I2663" t="s"/>
      <c r="J2663" t="n">
        <v>-0.2755</v>
      </c>
      <c r="K2663" t="n">
        <v>0.136</v>
      </c>
      <c r="L2663" t="n">
        <v>0.783</v>
      </c>
      <c r="M2663" t="n">
        <v>0.081</v>
      </c>
    </row>
    <row r="2664" spans="1:13">
      <c r="A2664" s="1">
        <f>HYPERLINK("http://www.twitter.com/NathanBLawrence/status/977959185131474945", "977959185131474945")</f>
        <v/>
      </c>
      <c r="B2664" s="2" t="n">
        <v>43184.7246875</v>
      </c>
      <c r="C2664" t="n">
        <v>1</v>
      </c>
      <c r="D2664" t="n">
        <v>0</v>
      </c>
      <c r="E2664" t="s">
        <v>2675</v>
      </c>
      <c r="F2664">
        <f>HYPERLINK("http://pbs.twimg.com/media/DZJosJkVoAEUWtZ.jpg", "http://pbs.twimg.com/media/DZJosJkVoAEUWtZ.jpg")</f>
        <v/>
      </c>
      <c r="G2664" t="s"/>
      <c r="H2664" t="s"/>
      <c r="I2664" t="s"/>
      <c r="J2664" t="n">
        <v>-0.1027</v>
      </c>
      <c r="K2664" t="n">
        <v>0.217</v>
      </c>
      <c r="L2664" t="n">
        <v>0.592</v>
      </c>
      <c r="M2664" t="n">
        <v>0.191</v>
      </c>
    </row>
    <row r="2665" spans="1:13">
      <c r="A2665" s="1">
        <f>HYPERLINK("http://www.twitter.com/NathanBLawrence/status/977958802745188358", "977958802745188358")</f>
        <v/>
      </c>
      <c r="B2665" s="2" t="n">
        <v>43184.72363425926</v>
      </c>
      <c r="C2665" t="n">
        <v>3</v>
      </c>
      <c r="D2665" t="n">
        <v>0</v>
      </c>
      <c r="E2665" t="s">
        <v>2676</v>
      </c>
      <c r="F2665">
        <f>HYPERLINK("http://pbs.twimg.com/media/DZJoWKrU0AA3U1h.jpg", "http://pbs.twimg.com/media/DZJoWKrU0AA3U1h.jpg")</f>
        <v/>
      </c>
      <c r="G2665" t="s"/>
      <c r="H2665" t="s"/>
      <c r="I2665" t="s"/>
      <c r="J2665" t="n">
        <v>0</v>
      </c>
      <c r="K2665" t="n">
        <v>0</v>
      </c>
      <c r="L2665" t="n">
        <v>1</v>
      </c>
      <c r="M2665" t="n">
        <v>0</v>
      </c>
    </row>
    <row r="2666" spans="1:13">
      <c r="A2666" s="1">
        <f>HYPERLINK("http://www.twitter.com/NathanBLawrence/status/977958253916192768", "977958253916192768")</f>
        <v/>
      </c>
      <c r="B2666" s="2" t="n">
        <v>43184.72211805556</v>
      </c>
      <c r="C2666" t="n">
        <v>4</v>
      </c>
      <c r="D2666" t="n">
        <v>2</v>
      </c>
      <c r="E2666" t="s">
        <v>2677</v>
      </c>
      <c r="F2666">
        <f>HYPERLINK("http://pbs.twimg.com/media/DZJn11_VMAAphdT.jpg", "http://pbs.twimg.com/media/DZJn11_VMAAphdT.jpg")</f>
        <v/>
      </c>
      <c r="G2666" t="s"/>
      <c r="H2666" t="s"/>
      <c r="I2666" t="s"/>
      <c r="J2666" t="n">
        <v>-0.4138</v>
      </c>
      <c r="K2666" t="n">
        <v>0.176</v>
      </c>
      <c r="L2666" t="n">
        <v>0.749</v>
      </c>
      <c r="M2666" t="n">
        <v>0.075</v>
      </c>
    </row>
    <row r="2667" spans="1:13">
      <c r="A2667" s="1">
        <f>HYPERLINK("http://www.twitter.com/NathanBLawrence/status/977957452917460992", "977957452917460992")</f>
        <v/>
      </c>
      <c r="B2667" s="2" t="n">
        <v>43184.71991898148</v>
      </c>
      <c r="C2667" t="n">
        <v>0</v>
      </c>
      <c r="D2667" t="n">
        <v>0</v>
      </c>
      <c r="E2667" t="s">
        <v>2678</v>
      </c>
      <c r="F2667">
        <f>HYPERLINK("http://pbs.twimg.com/media/DZJnHQQV4AAAlRW.jpg", "http://pbs.twimg.com/media/DZJnHQQV4AAAlRW.jpg")</f>
        <v/>
      </c>
      <c r="G2667" t="s"/>
      <c r="H2667" t="s"/>
      <c r="I2667" t="s"/>
      <c r="J2667" t="n">
        <v>0</v>
      </c>
      <c r="K2667" t="n">
        <v>0</v>
      </c>
      <c r="L2667" t="n">
        <v>1</v>
      </c>
      <c r="M2667" t="n">
        <v>0</v>
      </c>
    </row>
    <row r="2668" spans="1:13">
      <c r="A2668" s="1">
        <f>HYPERLINK("http://www.twitter.com/NathanBLawrence/status/977956713730072576", "977956713730072576")</f>
        <v/>
      </c>
      <c r="B2668" s="2" t="n">
        <v>43184.71787037037</v>
      </c>
      <c r="C2668" t="n">
        <v>0</v>
      </c>
      <c r="D2668" t="n">
        <v>0</v>
      </c>
      <c r="E2668" t="s">
        <v>2679</v>
      </c>
      <c r="F2668">
        <f>HYPERLINK("http://pbs.twimg.com/media/DZJmclYVoAAh1NL.jpg", "http://pbs.twimg.com/media/DZJmclYVoAAh1NL.jpg")</f>
        <v/>
      </c>
      <c r="G2668" t="s"/>
      <c r="H2668" t="s"/>
      <c r="I2668" t="s"/>
      <c r="J2668" t="n">
        <v>0</v>
      </c>
      <c r="K2668" t="n">
        <v>0</v>
      </c>
      <c r="L2668" t="n">
        <v>1</v>
      </c>
      <c r="M2668" t="n">
        <v>0</v>
      </c>
    </row>
    <row r="2669" spans="1:13">
      <c r="A2669" s="1">
        <f>HYPERLINK("http://www.twitter.com/NathanBLawrence/status/977956121284694019", "977956121284694019")</f>
        <v/>
      </c>
      <c r="B2669" s="2" t="n">
        <v>43184.71623842593</v>
      </c>
      <c r="C2669" t="n">
        <v>4</v>
      </c>
      <c r="D2669" t="n">
        <v>4</v>
      </c>
      <c r="E2669" t="s">
        <v>2680</v>
      </c>
      <c r="F2669">
        <f>HYPERLINK("http://pbs.twimg.com/media/DZJl51nVAAA7xi9.jpg", "http://pbs.twimg.com/media/DZJl51nVAAA7xi9.jpg")</f>
        <v/>
      </c>
      <c r="G2669" t="s"/>
      <c r="H2669" t="s"/>
      <c r="I2669" t="s"/>
      <c r="J2669" t="n">
        <v>0.5106000000000001</v>
      </c>
      <c r="K2669" t="n">
        <v>0</v>
      </c>
      <c r="L2669" t="n">
        <v>0.752</v>
      </c>
      <c r="M2669" t="n">
        <v>0.248</v>
      </c>
    </row>
    <row r="2670" spans="1:13">
      <c r="A2670" s="1">
        <f>HYPERLINK("http://www.twitter.com/NathanBLawrence/status/977955521272664066", "977955521272664066")</f>
        <v/>
      </c>
      <c r="B2670" s="2" t="n">
        <v>43184.71458333333</v>
      </c>
      <c r="C2670" t="n">
        <v>0</v>
      </c>
      <c r="D2670" t="n">
        <v>0</v>
      </c>
      <c r="E2670" t="s">
        <v>2681</v>
      </c>
      <c r="F2670">
        <f>HYPERLINK("http://pbs.twimg.com/media/DZJlXLPVMAAwWhy.jpg", "http://pbs.twimg.com/media/DZJlXLPVMAAwWhy.jpg")</f>
        <v/>
      </c>
      <c r="G2670" t="s"/>
      <c r="H2670" t="s"/>
      <c r="I2670" t="s"/>
      <c r="J2670" t="n">
        <v>0.4927</v>
      </c>
      <c r="K2670" t="n">
        <v>0</v>
      </c>
      <c r="L2670" t="n">
        <v>0.715</v>
      </c>
      <c r="M2670" t="n">
        <v>0.285</v>
      </c>
    </row>
    <row r="2671" spans="1:13">
      <c r="A2671" s="1">
        <f>HYPERLINK("http://www.twitter.com/NathanBLawrence/status/977954952533499904", "977954952533499904")</f>
        <v/>
      </c>
      <c r="B2671" s="2" t="n">
        <v>43184.71300925926</v>
      </c>
      <c r="C2671" t="n">
        <v>2</v>
      </c>
      <c r="D2671" t="n">
        <v>1</v>
      </c>
      <c r="E2671" t="s">
        <v>2682</v>
      </c>
      <c r="F2671">
        <f>HYPERLINK("http://pbs.twimg.com/media/DZJk1xGVMAAHs46.jpg", "http://pbs.twimg.com/media/DZJk1xGVMAAHs46.jpg")</f>
        <v/>
      </c>
      <c r="G2671" t="s"/>
      <c r="H2671" t="s"/>
      <c r="I2671" t="s"/>
      <c r="J2671" t="n">
        <v>0</v>
      </c>
      <c r="K2671" t="n">
        <v>0</v>
      </c>
      <c r="L2671" t="n">
        <v>1</v>
      </c>
      <c r="M2671" t="n">
        <v>0</v>
      </c>
    </row>
    <row r="2672" spans="1:13">
      <c r="A2672" s="1">
        <f>HYPERLINK("http://www.twitter.com/NathanBLawrence/status/977953515661414400", "977953515661414400")</f>
        <v/>
      </c>
      <c r="B2672" s="2" t="n">
        <v>43184.70905092593</v>
      </c>
      <c r="C2672" t="n">
        <v>0</v>
      </c>
      <c r="D2672" t="n">
        <v>1</v>
      </c>
      <c r="E2672" t="s">
        <v>2683</v>
      </c>
      <c r="F2672" t="s"/>
      <c r="G2672" t="s"/>
      <c r="H2672" t="s"/>
      <c r="I2672" t="s"/>
      <c r="J2672" t="n">
        <v>0</v>
      </c>
      <c r="K2672" t="n">
        <v>0</v>
      </c>
      <c r="L2672" t="n">
        <v>1</v>
      </c>
      <c r="M2672" t="n">
        <v>0</v>
      </c>
    </row>
    <row r="2673" spans="1:13">
      <c r="A2673" s="1">
        <f>HYPERLINK("http://www.twitter.com/NathanBLawrence/status/977931797668532224", "977931797668532224")</f>
        <v/>
      </c>
      <c r="B2673" s="2" t="n">
        <v>43184.64912037037</v>
      </c>
      <c r="C2673" t="n">
        <v>0</v>
      </c>
      <c r="D2673" t="n">
        <v>0</v>
      </c>
      <c r="E2673" t="s">
        <v>2684</v>
      </c>
      <c r="F2673" t="s"/>
      <c r="G2673" t="s"/>
      <c r="H2673" t="s"/>
      <c r="I2673" t="s"/>
      <c r="J2673" t="n">
        <v>0.5106000000000001</v>
      </c>
      <c r="K2673" t="n">
        <v>0</v>
      </c>
      <c r="L2673" t="n">
        <v>0.912</v>
      </c>
      <c r="M2673" t="n">
        <v>0.08799999999999999</v>
      </c>
    </row>
    <row r="2674" spans="1:13">
      <c r="A2674" s="1">
        <f>HYPERLINK("http://www.twitter.com/NathanBLawrence/status/977931044291796994", "977931044291796994")</f>
        <v/>
      </c>
      <c r="B2674" s="2" t="n">
        <v>43184.64703703704</v>
      </c>
      <c r="C2674" t="n">
        <v>0</v>
      </c>
      <c r="D2674" t="n">
        <v>1</v>
      </c>
      <c r="E2674" t="s">
        <v>2685</v>
      </c>
      <c r="F2674">
        <f>HYPERLINK("http://pbs.twimg.com/media/DZGPJOTW4AATOBG.jpg", "http://pbs.twimg.com/media/DZGPJOTW4AATOBG.jpg")</f>
        <v/>
      </c>
      <c r="G2674" t="s"/>
      <c r="H2674" t="s"/>
      <c r="I2674" t="s"/>
      <c r="J2674" t="n">
        <v>0</v>
      </c>
      <c r="K2674" t="n">
        <v>0</v>
      </c>
      <c r="L2674" t="n">
        <v>1</v>
      </c>
      <c r="M2674" t="n">
        <v>0</v>
      </c>
    </row>
    <row r="2675" spans="1:13">
      <c r="A2675" s="1">
        <f>HYPERLINK("http://www.twitter.com/NathanBLawrence/status/977929672339218433", "977929672339218433")</f>
        <v/>
      </c>
      <c r="B2675" s="2" t="n">
        <v>43184.64325231482</v>
      </c>
      <c r="C2675" t="n">
        <v>0</v>
      </c>
      <c r="D2675" t="n">
        <v>4</v>
      </c>
      <c r="E2675" t="s">
        <v>2686</v>
      </c>
      <c r="F2675">
        <f>HYPERLINK("http://pbs.twimg.com/media/DZJNNYyVwAAjj0A.jpg", "http://pbs.twimg.com/media/DZJNNYyVwAAjj0A.jpg")</f>
        <v/>
      </c>
      <c r="G2675" t="s"/>
      <c r="H2675" t="s"/>
      <c r="I2675" t="s"/>
      <c r="J2675" t="n">
        <v>0</v>
      </c>
      <c r="K2675" t="n">
        <v>0</v>
      </c>
      <c r="L2675" t="n">
        <v>1</v>
      </c>
      <c r="M2675" t="n">
        <v>0</v>
      </c>
    </row>
    <row r="2676" spans="1:13">
      <c r="A2676" s="1">
        <f>HYPERLINK("http://www.twitter.com/NathanBLawrence/status/977629425520074752", "977629425520074752")</f>
        <v/>
      </c>
      <c r="B2676" s="2" t="n">
        <v>43183.81473379629</v>
      </c>
      <c r="C2676" t="n">
        <v>0</v>
      </c>
      <c r="D2676" t="n">
        <v>0</v>
      </c>
      <c r="E2676" t="s">
        <v>2687</v>
      </c>
      <c r="F2676" t="s"/>
      <c r="G2676" t="s"/>
      <c r="H2676" t="s"/>
      <c r="I2676" t="s"/>
      <c r="J2676" t="n">
        <v>0.4995</v>
      </c>
      <c r="K2676" t="n">
        <v>0</v>
      </c>
      <c r="L2676" t="n">
        <v>0.893</v>
      </c>
      <c r="M2676" t="n">
        <v>0.107</v>
      </c>
    </row>
    <row r="2677" spans="1:13">
      <c r="A2677" s="1">
        <f>HYPERLINK("http://www.twitter.com/NathanBLawrence/status/977628822542716933", "977628822542716933")</f>
        <v/>
      </c>
      <c r="B2677" s="2" t="n">
        <v>43183.81306712963</v>
      </c>
      <c r="C2677" t="n">
        <v>0</v>
      </c>
      <c r="D2677" t="n">
        <v>0</v>
      </c>
      <c r="E2677" t="s">
        <v>2688</v>
      </c>
      <c r="F2677" t="s"/>
      <c r="G2677" t="s"/>
      <c r="H2677" t="s"/>
      <c r="I2677" t="s"/>
      <c r="J2677" t="n">
        <v>0</v>
      </c>
      <c r="K2677" t="n">
        <v>0</v>
      </c>
      <c r="L2677" t="n">
        <v>1</v>
      </c>
      <c r="M2677" t="n">
        <v>0</v>
      </c>
    </row>
    <row r="2678" spans="1:13">
      <c r="A2678" s="1">
        <f>HYPERLINK("http://www.twitter.com/NathanBLawrence/status/977628430874365952", "977628430874365952")</f>
        <v/>
      </c>
      <c r="B2678" s="2" t="n">
        <v>43183.81199074074</v>
      </c>
      <c r="C2678" t="n">
        <v>0</v>
      </c>
      <c r="D2678" t="n">
        <v>0</v>
      </c>
      <c r="E2678" t="s">
        <v>2689</v>
      </c>
      <c r="F2678" t="s"/>
      <c r="G2678" t="s"/>
      <c r="H2678" t="s"/>
      <c r="I2678" t="s"/>
      <c r="J2678" t="n">
        <v>-0.5789</v>
      </c>
      <c r="K2678" t="n">
        <v>0.11</v>
      </c>
      <c r="L2678" t="n">
        <v>0.827</v>
      </c>
      <c r="M2678" t="n">
        <v>0.063</v>
      </c>
    </row>
    <row r="2679" spans="1:13">
      <c r="A2679" s="1">
        <f>HYPERLINK("http://www.twitter.com/NathanBLawrence/status/977627816052318210", "977627816052318210")</f>
        <v/>
      </c>
      <c r="B2679" s="2" t="n">
        <v>43183.81028935185</v>
      </c>
      <c r="C2679" t="n">
        <v>1</v>
      </c>
      <c r="D2679" t="n">
        <v>0</v>
      </c>
      <c r="E2679" t="s">
        <v>2690</v>
      </c>
      <c r="F2679" t="s"/>
      <c r="G2679" t="s"/>
      <c r="H2679" t="s"/>
      <c r="I2679" t="s"/>
      <c r="J2679" t="n">
        <v>0.7698</v>
      </c>
      <c r="K2679" t="n">
        <v>0</v>
      </c>
      <c r="L2679" t="n">
        <v>0.545</v>
      </c>
      <c r="M2679" t="n">
        <v>0.455</v>
      </c>
    </row>
    <row r="2680" spans="1:13">
      <c r="A2680" s="1">
        <f>HYPERLINK("http://www.twitter.com/NathanBLawrence/status/977609094906503172", "977609094906503172")</f>
        <v/>
      </c>
      <c r="B2680" s="2" t="n">
        <v>43183.75862268519</v>
      </c>
      <c r="C2680" t="n">
        <v>0</v>
      </c>
      <c r="D2680" t="n">
        <v>0</v>
      </c>
      <c r="E2680" t="s">
        <v>2691</v>
      </c>
      <c r="F2680" t="s"/>
      <c r="G2680" t="s"/>
      <c r="H2680" t="s"/>
      <c r="I2680" t="s"/>
      <c r="J2680" t="n">
        <v>0</v>
      </c>
      <c r="K2680" t="n">
        <v>0</v>
      </c>
      <c r="L2680" t="n">
        <v>1</v>
      </c>
      <c r="M2680" t="n">
        <v>0</v>
      </c>
    </row>
    <row r="2681" spans="1:13">
      <c r="A2681" s="1">
        <f>HYPERLINK("http://www.twitter.com/NathanBLawrence/status/977607235743436807", "977607235743436807")</f>
        <v/>
      </c>
      <c r="B2681" s="2" t="n">
        <v>43183.75349537037</v>
      </c>
      <c r="C2681" t="n">
        <v>1</v>
      </c>
      <c r="D2681" t="n">
        <v>0</v>
      </c>
      <c r="E2681" t="s">
        <v>2692</v>
      </c>
      <c r="F2681">
        <f>HYPERLINK("http://pbs.twimg.com/media/DZEolnvUQAARsrz.jpg", "http://pbs.twimg.com/media/DZEolnvUQAARsrz.jpg")</f>
        <v/>
      </c>
      <c r="G2681" t="s"/>
      <c r="H2681" t="s"/>
      <c r="I2681" t="s"/>
      <c r="J2681" t="n">
        <v>0</v>
      </c>
      <c r="K2681" t="n">
        <v>0</v>
      </c>
      <c r="L2681" t="n">
        <v>1</v>
      </c>
      <c r="M2681" t="n">
        <v>0</v>
      </c>
    </row>
    <row r="2682" spans="1:13">
      <c r="A2682" s="1">
        <f>HYPERLINK("http://www.twitter.com/NathanBLawrence/status/977607009553059841", "977607009553059841")</f>
        <v/>
      </c>
      <c r="B2682" s="2" t="n">
        <v>43183.75287037037</v>
      </c>
      <c r="C2682" t="n">
        <v>0</v>
      </c>
      <c r="D2682" t="n">
        <v>0</v>
      </c>
      <c r="E2682" t="s">
        <v>2693</v>
      </c>
      <c r="F2682">
        <f>HYPERLINK("http://pbs.twimg.com/media/DZEoYuoVwAI_dbF.jpg", "http://pbs.twimg.com/media/DZEoYuoVwAI_dbF.jpg")</f>
        <v/>
      </c>
      <c r="G2682" t="s"/>
      <c r="H2682" t="s"/>
      <c r="I2682" t="s"/>
      <c r="J2682" t="n">
        <v>0</v>
      </c>
      <c r="K2682" t="n">
        <v>0</v>
      </c>
      <c r="L2682" t="n">
        <v>1</v>
      </c>
      <c r="M2682" t="n">
        <v>0</v>
      </c>
    </row>
    <row r="2683" spans="1:13">
      <c r="A2683" s="1">
        <f>HYPERLINK("http://www.twitter.com/NathanBLawrence/status/977606021811200001", "977606021811200001")</f>
        <v/>
      </c>
      <c r="B2683" s="2" t="n">
        <v>43183.75015046296</v>
      </c>
      <c r="C2683" t="n">
        <v>0</v>
      </c>
      <c r="D2683" t="n">
        <v>2962</v>
      </c>
      <c r="E2683" t="s">
        <v>2694</v>
      </c>
      <c r="F2683">
        <f>HYPERLINK("http://pbs.twimg.com/media/DZEk8fNW4AMCFfq.jpg", "http://pbs.twimg.com/media/DZEk8fNW4AMCFfq.jpg")</f>
        <v/>
      </c>
      <c r="G2683" t="s"/>
      <c r="H2683" t="s"/>
      <c r="I2683" t="s"/>
      <c r="J2683" t="n">
        <v>0.4215</v>
      </c>
      <c r="K2683" t="n">
        <v>0.09</v>
      </c>
      <c r="L2683" t="n">
        <v>0.752</v>
      </c>
      <c r="M2683" t="n">
        <v>0.158</v>
      </c>
    </row>
    <row r="2684" spans="1:13">
      <c r="A2684" s="1">
        <f>HYPERLINK("http://www.twitter.com/NathanBLawrence/status/977605805611667461", "977605805611667461")</f>
        <v/>
      </c>
      <c r="B2684" s="2" t="n">
        <v>43183.74954861111</v>
      </c>
      <c r="C2684" t="n">
        <v>0</v>
      </c>
      <c r="D2684" t="n">
        <v>12</v>
      </c>
      <c r="E2684" t="s">
        <v>2695</v>
      </c>
      <c r="F2684">
        <f>HYPERLINK("http://pbs.twimg.com/media/DY-llooUMAAPbzM.jpg", "http://pbs.twimg.com/media/DY-llooUMAAPbzM.jpg")</f>
        <v/>
      </c>
      <c r="G2684" t="s"/>
      <c r="H2684" t="s"/>
      <c r="I2684" t="s"/>
      <c r="J2684" t="n">
        <v>-0.5859</v>
      </c>
      <c r="K2684" t="n">
        <v>0.202</v>
      </c>
      <c r="L2684" t="n">
        <v>0.798</v>
      </c>
      <c r="M2684" t="n">
        <v>0</v>
      </c>
    </row>
    <row r="2685" spans="1:13">
      <c r="A2685" s="1">
        <f>HYPERLINK("http://www.twitter.com/NathanBLawrence/status/977605706508656641", "977605706508656641")</f>
        <v/>
      </c>
      <c r="B2685" s="2" t="n">
        <v>43183.74928240741</v>
      </c>
      <c r="C2685" t="n">
        <v>0</v>
      </c>
      <c r="D2685" t="n">
        <v>0</v>
      </c>
      <c r="E2685" t="s">
        <v>2696</v>
      </c>
      <c r="F2685" t="s"/>
      <c r="G2685" t="s"/>
      <c r="H2685" t="s"/>
      <c r="I2685" t="s"/>
      <c r="J2685" t="n">
        <v>0</v>
      </c>
      <c r="K2685" t="n">
        <v>0</v>
      </c>
      <c r="L2685" t="n">
        <v>1</v>
      </c>
      <c r="M2685" t="n">
        <v>0</v>
      </c>
    </row>
    <row r="2686" spans="1:13">
      <c r="A2686" s="1">
        <f>HYPERLINK("http://www.twitter.com/NathanBLawrence/status/977605129728819201", "977605129728819201")</f>
        <v/>
      </c>
      <c r="B2686" s="2" t="n">
        <v>43183.74768518518</v>
      </c>
      <c r="C2686" t="n">
        <v>6</v>
      </c>
      <c r="D2686" t="n">
        <v>1</v>
      </c>
      <c r="E2686" t="s">
        <v>2697</v>
      </c>
      <c r="F2686" t="s"/>
      <c r="G2686" t="s"/>
      <c r="H2686" t="s"/>
      <c r="I2686" t="s"/>
      <c r="J2686" t="n">
        <v>-0.1531</v>
      </c>
      <c r="K2686" t="n">
        <v>0.228</v>
      </c>
      <c r="L2686" t="n">
        <v>0.588</v>
      </c>
      <c r="M2686" t="n">
        <v>0.184</v>
      </c>
    </row>
    <row r="2687" spans="1:13">
      <c r="A2687" s="1">
        <f>HYPERLINK("http://www.twitter.com/NathanBLawrence/status/977604949617070084", "977604949617070084")</f>
        <v/>
      </c>
      <c r="B2687" s="2" t="n">
        <v>43183.7471875</v>
      </c>
      <c r="C2687" t="n">
        <v>3</v>
      </c>
      <c r="D2687" t="n">
        <v>1</v>
      </c>
      <c r="E2687" t="s">
        <v>2698</v>
      </c>
      <c r="F2687" t="s"/>
      <c r="G2687" t="s"/>
      <c r="H2687" t="s"/>
      <c r="I2687" t="s"/>
      <c r="J2687" t="n">
        <v>0.34</v>
      </c>
      <c r="K2687" t="n">
        <v>0</v>
      </c>
      <c r="L2687" t="n">
        <v>0.676</v>
      </c>
      <c r="M2687" t="n">
        <v>0.324</v>
      </c>
    </row>
    <row r="2688" spans="1:13">
      <c r="A2688" s="1">
        <f>HYPERLINK("http://www.twitter.com/NathanBLawrence/status/977604751440441344", "977604751440441344")</f>
        <v/>
      </c>
      <c r="B2688" s="2" t="n">
        <v>43183.74664351852</v>
      </c>
      <c r="C2688" t="n">
        <v>0</v>
      </c>
      <c r="D2688" t="n">
        <v>0</v>
      </c>
      <c r="E2688" t="s">
        <v>2699</v>
      </c>
      <c r="F2688" t="s"/>
      <c r="G2688" t="s"/>
      <c r="H2688" t="s"/>
      <c r="I2688" t="s"/>
      <c r="J2688" t="n">
        <v>0</v>
      </c>
      <c r="K2688" t="n">
        <v>0</v>
      </c>
      <c r="L2688" t="n">
        <v>1</v>
      </c>
      <c r="M2688" t="n">
        <v>0</v>
      </c>
    </row>
    <row r="2689" spans="1:13">
      <c r="A2689" s="1">
        <f>HYPERLINK("http://www.twitter.com/NathanBLawrence/status/977604548645801993", "977604548645801993")</f>
        <v/>
      </c>
      <c r="B2689" s="2" t="n">
        <v>43183.74608796297</v>
      </c>
      <c r="C2689" t="n">
        <v>0</v>
      </c>
      <c r="D2689" t="n">
        <v>0</v>
      </c>
      <c r="E2689" t="s">
        <v>2700</v>
      </c>
      <c r="F2689" t="s"/>
      <c r="G2689" t="s"/>
      <c r="H2689" t="s"/>
      <c r="I2689" t="s"/>
      <c r="J2689" t="n">
        <v>0.4019</v>
      </c>
      <c r="K2689" t="n">
        <v>0</v>
      </c>
      <c r="L2689" t="n">
        <v>0.881</v>
      </c>
      <c r="M2689" t="n">
        <v>0.119</v>
      </c>
    </row>
    <row r="2690" spans="1:13">
      <c r="A2690" s="1">
        <f>HYPERLINK("http://www.twitter.com/NathanBLawrence/status/977603754731204609", "977603754731204609")</f>
        <v/>
      </c>
      <c r="B2690" s="2" t="n">
        <v>43183.74388888889</v>
      </c>
      <c r="C2690" t="n">
        <v>0</v>
      </c>
      <c r="D2690" t="n">
        <v>0</v>
      </c>
      <c r="E2690" t="s">
        <v>2701</v>
      </c>
      <c r="F2690" t="s"/>
      <c r="G2690" t="s"/>
      <c r="H2690" t="s"/>
      <c r="I2690" t="s"/>
      <c r="J2690" t="n">
        <v>0.25</v>
      </c>
      <c r="K2690" t="n">
        <v>0</v>
      </c>
      <c r="L2690" t="n">
        <v>0.9409999999999999</v>
      </c>
      <c r="M2690" t="n">
        <v>0.059</v>
      </c>
    </row>
    <row r="2691" spans="1:13">
      <c r="A2691" s="1">
        <f>HYPERLINK("http://www.twitter.com/NathanBLawrence/status/977603048368410626", "977603048368410626")</f>
        <v/>
      </c>
      <c r="B2691" s="2" t="n">
        <v>43183.74194444445</v>
      </c>
      <c r="C2691" t="n">
        <v>1</v>
      </c>
      <c r="D2691" t="n">
        <v>0</v>
      </c>
      <c r="E2691" t="s">
        <v>2702</v>
      </c>
      <c r="F2691" t="s"/>
      <c r="G2691" t="s"/>
      <c r="H2691" t="s"/>
      <c r="I2691" t="s"/>
      <c r="J2691" t="n">
        <v>0</v>
      </c>
      <c r="K2691" t="n">
        <v>0</v>
      </c>
      <c r="L2691" t="n">
        <v>1</v>
      </c>
      <c r="M2691" t="n">
        <v>0</v>
      </c>
    </row>
    <row r="2692" spans="1:13">
      <c r="A2692" s="1">
        <f>HYPERLINK("http://www.twitter.com/NathanBLawrence/status/977602630355771392", "977602630355771392")</f>
        <v/>
      </c>
      <c r="B2692" s="2" t="n">
        <v>43183.74078703704</v>
      </c>
      <c r="C2692" t="n">
        <v>1</v>
      </c>
      <c r="D2692" t="n">
        <v>0</v>
      </c>
      <c r="E2692" t="s">
        <v>2703</v>
      </c>
      <c r="F2692" t="s"/>
      <c r="G2692" t="s"/>
      <c r="H2692" t="s"/>
      <c r="I2692" t="s"/>
      <c r="J2692" t="n">
        <v>-0.3612</v>
      </c>
      <c r="K2692" t="n">
        <v>0.149</v>
      </c>
      <c r="L2692" t="n">
        <v>0.851</v>
      </c>
      <c r="M2692" t="n">
        <v>0</v>
      </c>
    </row>
    <row r="2693" spans="1:13">
      <c r="A2693" s="1">
        <f>HYPERLINK("http://www.twitter.com/NathanBLawrence/status/977598004151676928", "977598004151676928")</f>
        <v/>
      </c>
      <c r="B2693" s="2" t="n">
        <v>43183.72802083333</v>
      </c>
      <c r="C2693" t="n">
        <v>0</v>
      </c>
      <c r="D2693" t="n">
        <v>0</v>
      </c>
      <c r="E2693" t="s">
        <v>2704</v>
      </c>
      <c r="F2693" t="s"/>
      <c r="G2693" t="s"/>
      <c r="H2693" t="s"/>
      <c r="I2693" t="s"/>
      <c r="J2693" t="n">
        <v>-0.3818</v>
      </c>
      <c r="K2693" t="n">
        <v>0.128</v>
      </c>
      <c r="L2693" t="n">
        <v>0.8120000000000001</v>
      </c>
      <c r="M2693" t="n">
        <v>0.06</v>
      </c>
    </row>
    <row r="2694" spans="1:13">
      <c r="A2694" s="1">
        <f>HYPERLINK("http://www.twitter.com/NathanBLawrence/status/977597596138115072", "977597596138115072")</f>
        <v/>
      </c>
      <c r="B2694" s="2" t="n">
        <v>43183.72689814815</v>
      </c>
      <c r="C2694" t="n">
        <v>0</v>
      </c>
      <c r="D2694" t="n">
        <v>0</v>
      </c>
      <c r="E2694" t="s">
        <v>2705</v>
      </c>
      <c r="F2694" t="s"/>
      <c r="G2694" t="s"/>
      <c r="H2694" t="s"/>
      <c r="I2694" t="s"/>
      <c r="J2694" t="n">
        <v>0</v>
      </c>
      <c r="K2694" t="n">
        <v>0</v>
      </c>
      <c r="L2694" t="n">
        <v>1</v>
      </c>
      <c r="M2694" t="n">
        <v>0</v>
      </c>
    </row>
    <row r="2695" spans="1:13">
      <c r="A2695" s="1">
        <f>HYPERLINK("http://www.twitter.com/NathanBLawrence/status/977597498805182464", "977597498805182464")</f>
        <v/>
      </c>
      <c r="B2695" s="2" t="n">
        <v>43183.72663194445</v>
      </c>
      <c r="C2695" t="n">
        <v>0</v>
      </c>
      <c r="D2695" t="n">
        <v>0</v>
      </c>
      <c r="E2695" t="s">
        <v>2706</v>
      </c>
      <c r="F2695" t="s"/>
      <c r="G2695" t="s"/>
      <c r="H2695" t="s"/>
      <c r="I2695" t="s"/>
      <c r="J2695" t="n">
        <v>0</v>
      </c>
      <c r="K2695" t="n">
        <v>0</v>
      </c>
      <c r="L2695" t="n">
        <v>1</v>
      </c>
      <c r="M2695" t="n">
        <v>0</v>
      </c>
    </row>
    <row r="2696" spans="1:13">
      <c r="A2696" s="1">
        <f>HYPERLINK("http://www.twitter.com/NathanBLawrence/status/977596461079760897", "977596461079760897")</f>
        <v/>
      </c>
      <c r="B2696" s="2" t="n">
        <v>43183.72376157407</v>
      </c>
      <c r="C2696" t="n">
        <v>1</v>
      </c>
      <c r="D2696" t="n">
        <v>0</v>
      </c>
      <c r="E2696" t="s">
        <v>2707</v>
      </c>
      <c r="F2696" t="s"/>
      <c r="G2696" t="s"/>
      <c r="H2696" t="s"/>
      <c r="I2696" t="s"/>
      <c r="J2696" t="n">
        <v>0.6236</v>
      </c>
      <c r="K2696" t="n">
        <v>0.081</v>
      </c>
      <c r="L2696" t="n">
        <v>0.764</v>
      </c>
      <c r="M2696" t="n">
        <v>0.155</v>
      </c>
    </row>
    <row r="2697" spans="1:13">
      <c r="A2697" s="1">
        <f>HYPERLINK("http://www.twitter.com/NathanBLawrence/status/977595589889351680", "977595589889351680")</f>
        <v/>
      </c>
      <c r="B2697" s="2" t="n">
        <v>43183.72136574074</v>
      </c>
      <c r="C2697" t="n">
        <v>1</v>
      </c>
      <c r="D2697" t="n">
        <v>0</v>
      </c>
      <c r="E2697" t="s">
        <v>2708</v>
      </c>
      <c r="F2697" t="s"/>
      <c r="G2697" t="s"/>
      <c r="H2697" t="s"/>
      <c r="I2697" t="s"/>
      <c r="J2697" t="n">
        <v>0</v>
      </c>
      <c r="K2697" t="n">
        <v>0</v>
      </c>
      <c r="L2697" t="n">
        <v>1</v>
      </c>
      <c r="M2697" t="n">
        <v>0</v>
      </c>
    </row>
    <row r="2698" spans="1:13">
      <c r="A2698" s="1">
        <f>HYPERLINK("http://www.twitter.com/NathanBLawrence/status/977595102221819904", "977595102221819904")</f>
        <v/>
      </c>
      <c r="B2698" s="2" t="n">
        <v>43183.72001157407</v>
      </c>
      <c r="C2698" t="n">
        <v>1</v>
      </c>
      <c r="D2698" t="n">
        <v>0</v>
      </c>
      <c r="E2698" t="s">
        <v>2709</v>
      </c>
      <c r="F2698" t="s"/>
      <c r="G2698" t="s"/>
      <c r="H2698" t="s"/>
      <c r="I2698" t="s"/>
      <c r="J2698" t="n">
        <v>0.756</v>
      </c>
      <c r="K2698" t="n">
        <v>0</v>
      </c>
      <c r="L2698" t="n">
        <v>0.889</v>
      </c>
      <c r="M2698" t="n">
        <v>0.111</v>
      </c>
    </row>
    <row r="2699" spans="1:13">
      <c r="A2699" s="1">
        <f>HYPERLINK("http://www.twitter.com/NathanBLawrence/status/977594174026469376", "977594174026469376")</f>
        <v/>
      </c>
      <c r="B2699" s="2" t="n">
        <v>43183.71745370371</v>
      </c>
      <c r="C2699" t="n">
        <v>1</v>
      </c>
      <c r="D2699" t="n">
        <v>0</v>
      </c>
      <c r="E2699" t="s">
        <v>2710</v>
      </c>
      <c r="F2699" t="s"/>
      <c r="G2699" t="s"/>
      <c r="H2699" t="s"/>
      <c r="I2699" t="s"/>
      <c r="J2699" t="n">
        <v>0.0516</v>
      </c>
      <c r="K2699" t="n">
        <v>0.046</v>
      </c>
      <c r="L2699" t="n">
        <v>0.903</v>
      </c>
      <c r="M2699" t="n">
        <v>0.05</v>
      </c>
    </row>
    <row r="2700" spans="1:13">
      <c r="A2700" s="1">
        <f>HYPERLINK("http://www.twitter.com/NathanBLawrence/status/977592990565847040", "977592990565847040")</f>
        <v/>
      </c>
      <c r="B2700" s="2" t="n">
        <v>43183.71418981482</v>
      </c>
      <c r="C2700" t="n">
        <v>1</v>
      </c>
      <c r="D2700" t="n">
        <v>0</v>
      </c>
      <c r="E2700" t="s">
        <v>2711</v>
      </c>
      <c r="F2700" t="s"/>
      <c r="G2700" t="s"/>
      <c r="H2700" t="s"/>
      <c r="I2700" t="s"/>
      <c r="J2700" t="n">
        <v>0.0772</v>
      </c>
      <c r="K2700" t="n">
        <v>0</v>
      </c>
      <c r="L2700" t="n">
        <v>0.967</v>
      </c>
      <c r="M2700" t="n">
        <v>0.033</v>
      </c>
    </row>
    <row r="2701" spans="1:13">
      <c r="A2701" s="1">
        <f>HYPERLINK("http://www.twitter.com/NathanBLawrence/status/977591759944462336", "977591759944462336")</f>
        <v/>
      </c>
      <c r="B2701" s="2" t="n">
        <v>43183.71079861111</v>
      </c>
      <c r="C2701" t="n">
        <v>2</v>
      </c>
      <c r="D2701" t="n">
        <v>2</v>
      </c>
      <c r="E2701" t="s">
        <v>2712</v>
      </c>
      <c r="F2701" t="s"/>
      <c r="G2701" t="s"/>
      <c r="H2701" t="s"/>
      <c r="I2701" t="s"/>
      <c r="J2701" t="n">
        <v>0.3296</v>
      </c>
      <c r="K2701" t="n">
        <v>0.048</v>
      </c>
      <c r="L2701" t="n">
        <v>0.874</v>
      </c>
      <c r="M2701" t="n">
        <v>0.078</v>
      </c>
    </row>
    <row r="2702" spans="1:13">
      <c r="A2702" s="1">
        <f>HYPERLINK("http://www.twitter.com/NathanBLawrence/status/977590537401307137", "977590537401307137")</f>
        <v/>
      </c>
      <c r="B2702" s="2" t="n">
        <v>43183.70741898148</v>
      </c>
      <c r="C2702" t="n">
        <v>2</v>
      </c>
      <c r="D2702" t="n">
        <v>1</v>
      </c>
      <c r="E2702" t="s">
        <v>2713</v>
      </c>
      <c r="F2702" t="s"/>
      <c r="G2702" t="s"/>
      <c r="H2702" t="s"/>
      <c r="I2702" t="s"/>
      <c r="J2702" t="n">
        <v>-0.1431</v>
      </c>
      <c r="K2702" t="n">
        <v>0.081</v>
      </c>
      <c r="L2702" t="n">
        <v>0.856</v>
      </c>
      <c r="M2702" t="n">
        <v>0.063</v>
      </c>
    </row>
    <row r="2703" spans="1:13">
      <c r="A2703" s="1">
        <f>HYPERLINK("http://www.twitter.com/NathanBLawrence/status/977589444453765121", "977589444453765121")</f>
        <v/>
      </c>
      <c r="B2703" s="2" t="n">
        <v>43183.70439814815</v>
      </c>
      <c r="C2703" t="n">
        <v>2</v>
      </c>
      <c r="D2703" t="n">
        <v>1</v>
      </c>
      <c r="E2703" t="s">
        <v>2714</v>
      </c>
      <c r="F2703" t="s"/>
      <c r="G2703" t="s"/>
      <c r="H2703" t="s"/>
      <c r="I2703" t="s"/>
      <c r="J2703" t="n">
        <v>0.2869</v>
      </c>
      <c r="K2703" t="n">
        <v>0</v>
      </c>
      <c r="L2703" t="n">
        <v>0.9330000000000001</v>
      </c>
      <c r="M2703" t="n">
        <v>0.067</v>
      </c>
    </row>
    <row r="2704" spans="1:13">
      <c r="A2704" s="1">
        <f>HYPERLINK("http://www.twitter.com/NathanBLawrence/status/977589019210108928", "977589019210108928")</f>
        <v/>
      </c>
      <c r="B2704" s="2" t="n">
        <v>43183.70322916667</v>
      </c>
      <c r="C2704" t="n">
        <v>2</v>
      </c>
      <c r="D2704" t="n">
        <v>1</v>
      </c>
      <c r="E2704" t="s">
        <v>2715</v>
      </c>
      <c r="F2704" t="s"/>
      <c r="G2704" t="s"/>
      <c r="H2704" t="s"/>
      <c r="I2704" t="s"/>
      <c r="J2704" t="n">
        <v>0.3612</v>
      </c>
      <c r="K2704" t="n">
        <v>0</v>
      </c>
      <c r="L2704" t="n">
        <v>0.884</v>
      </c>
      <c r="M2704" t="n">
        <v>0.116</v>
      </c>
    </row>
    <row r="2705" spans="1:13">
      <c r="A2705" s="1">
        <f>HYPERLINK("http://www.twitter.com/NathanBLawrence/status/977588551633252358", "977588551633252358")</f>
        <v/>
      </c>
      <c r="B2705" s="2" t="n">
        <v>43183.70194444444</v>
      </c>
      <c r="C2705" t="n">
        <v>2</v>
      </c>
      <c r="D2705" t="n">
        <v>1</v>
      </c>
      <c r="E2705" t="s">
        <v>2716</v>
      </c>
      <c r="F2705" t="s"/>
      <c r="G2705" t="s"/>
      <c r="H2705" t="s"/>
      <c r="I2705" t="s"/>
      <c r="J2705" t="n">
        <v>0.4019</v>
      </c>
      <c r="K2705" t="n">
        <v>0</v>
      </c>
      <c r="L2705" t="n">
        <v>0.9379999999999999</v>
      </c>
      <c r="M2705" t="n">
        <v>0.062</v>
      </c>
    </row>
    <row r="2706" spans="1:13">
      <c r="A2706" s="1">
        <f>HYPERLINK("http://www.twitter.com/NathanBLawrence/status/977587826350084105", "977587826350084105")</f>
        <v/>
      </c>
      <c r="B2706" s="2" t="n">
        <v>43183.69994212963</v>
      </c>
      <c r="C2706" t="n">
        <v>2</v>
      </c>
      <c r="D2706" t="n">
        <v>1</v>
      </c>
      <c r="E2706" t="s">
        <v>2717</v>
      </c>
      <c r="F2706" t="s"/>
      <c r="G2706" t="s"/>
      <c r="H2706" t="s"/>
      <c r="I2706" t="s"/>
      <c r="J2706" t="n">
        <v>-0.4497</v>
      </c>
      <c r="K2706" t="n">
        <v>0.063</v>
      </c>
      <c r="L2706" t="n">
        <v>0.9370000000000001</v>
      </c>
      <c r="M2706" t="n">
        <v>0</v>
      </c>
    </row>
    <row r="2707" spans="1:13">
      <c r="A2707" s="1">
        <f>HYPERLINK("http://www.twitter.com/NathanBLawrence/status/977587199360274432", "977587199360274432")</f>
        <v/>
      </c>
      <c r="B2707" s="2" t="n">
        <v>43183.69820601852</v>
      </c>
      <c r="C2707" t="n">
        <v>1</v>
      </c>
      <c r="D2707" t="n">
        <v>1</v>
      </c>
      <c r="E2707" t="s">
        <v>2718</v>
      </c>
      <c r="F2707" t="s"/>
      <c r="G2707" t="s"/>
      <c r="H2707" t="s"/>
      <c r="I2707" t="s"/>
      <c r="J2707" t="n">
        <v>0.3612</v>
      </c>
      <c r="K2707" t="n">
        <v>0</v>
      </c>
      <c r="L2707" t="n">
        <v>0.9429999999999999</v>
      </c>
      <c r="M2707" t="n">
        <v>0.057</v>
      </c>
    </row>
    <row r="2708" spans="1:13">
      <c r="A2708" s="1">
        <f>HYPERLINK("http://www.twitter.com/NathanBLawrence/status/977586438534516736", "977586438534516736")</f>
        <v/>
      </c>
      <c r="B2708" s="2" t="n">
        <v>43183.69611111111</v>
      </c>
      <c r="C2708" t="n">
        <v>1</v>
      </c>
      <c r="D2708" t="n">
        <v>1</v>
      </c>
      <c r="E2708" t="s">
        <v>2719</v>
      </c>
      <c r="F2708" t="s"/>
      <c r="G2708" t="s"/>
      <c r="H2708" t="s"/>
      <c r="I2708" t="s"/>
      <c r="J2708" t="n">
        <v>0.4084</v>
      </c>
      <c r="K2708" t="n">
        <v>0.065</v>
      </c>
      <c r="L2708" t="n">
        <v>0.834</v>
      </c>
      <c r="M2708" t="n">
        <v>0.1</v>
      </c>
    </row>
    <row r="2709" spans="1:13">
      <c r="A2709" s="1">
        <f>HYPERLINK("http://www.twitter.com/NathanBLawrence/status/977581950084026375", "977581950084026375")</f>
        <v/>
      </c>
      <c r="B2709" s="2" t="n">
        <v>43183.68372685185</v>
      </c>
      <c r="C2709" t="n">
        <v>1</v>
      </c>
      <c r="D2709" t="n">
        <v>1</v>
      </c>
      <c r="E2709" t="s">
        <v>2720</v>
      </c>
      <c r="F2709" t="s"/>
      <c r="G2709" t="s"/>
      <c r="H2709" t="s"/>
      <c r="I2709" t="s"/>
      <c r="J2709" t="n">
        <v>0.2144</v>
      </c>
      <c r="K2709" t="n">
        <v>0</v>
      </c>
      <c r="L2709" t="n">
        <v>0.764</v>
      </c>
      <c r="M2709" t="n">
        <v>0.236</v>
      </c>
    </row>
    <row r="2710" spans="1:13">
      <c r="A2710" s="1">
        <f>HYPERLINK("http://www.twitter.com/NathanBLawrence/status/977581756739092481", "977581756739092481")</f>
        <v/>
      </c>
      <c r="B2710" s="2" t="n">
        <v>43183.68319444444</v>
      </c>
      <c r="C2710" t="n">
        <v>1</v>
      </c>
      <c r="D2710" t="n">
        <v>0</v>
      </c>
      <c r="E2710" t="s">
        <v>2721</v>
      </c>
      <c r="F2710" t="s"/>
      <c r="G2710" t="s"/>
      <c r="H2710" t="s"/>
      <c r="I2710" t="s"/>
      <c r="J2710" t="n">
        <v>0.6784</v>
      </c>
      <c r="K2710" t="n">
        <v>0</v>
      </c>
      <c r="L2710" t="n">
        <v>0.396</v>
      </c>
      <c r="M2710" t="n">
        <v>0.604</v>
      </c>
    </row>
    <row r="2711" spans="1:13">
      <c r="A2711" s="1">
        <f>HYPERLINK("http://www.twitter.com/NathanBLawrence/status/977579925178929152", "977579925178929152")</f>
        <v/>
      </c>
      <c r="B2711" s="2" t="n">
        <v>43183.67813657408</v>
      </c>
      <c r="C2711" t="n">
        <v>0</v>
      </c>
      <c r="D2711" t="n">
        <v>0</v>
      </c>
      <c r="E2711" t="s">
        <v>2722</v>
      </c>
      <c r="F2711" t="s"/>
      <c r="G2711" t="s"/>
      <c r="H2711" t="s"/>
      <c r="I2711" t="s"/>
      <c r="J2711" t="n">
        <v>-0.5563</v>
      </c>
      <c r="K2711" t="n">
        <v>0.11</v>
      </c>
      <c r="L2711" t="n">
        <v>0.89</v>
      </c>
      <c r="M2711" t="n">
        <v>0</v>
      </c>
    </row>
    <row r="2712" spans="1:13">
      <c r="A2712" s="1">
        <f>HYPERLINK("http://www.twitter.com/NathanBLawrence/status/977579324130852865", "977579324130852865")</f>
        <v/>
      </c>
      <c r="B2712" s="2" t="n">
        <v>43183.67648148148</v>
      </c>
      <c r="C2712" t="n">
        <v>0</v>
      </c>
      <c r="D2712" t="n">
        <v>0</v>
      </c>
      <c r="E2712" t="s">
        <v>2723</v>
      </c>
      <c r="F2712" t="s"/>
      <c r="G2712" t="s"/>
      <c r="H2712" t="s"/>
      <c r="I2712" t="s"/>
      <c r="J2712" t="n">
        <v>0</v>
      </c>
      <c r="K2712" t="n">
        <v>0</v>
      </c>
      <c r="L2712" t="n">
        <v>1</v>
      </c>
      <c r="M2712" t="n">
        <v>0</v>
      </c>
    </row>
    <row r="2713" spans="1:13">
      <c r="A2713" s="1">
        <f>HYPERLINK("http://www.twitter.com/NathanBLawrence/status/977577243630239744", "977577243630239744")</f>
        <v/>
      </c>
      <c r="B2713" s="2" t="n">
        <v>43183.67074074074</v>
      </c>
      <c r="C2713" t="n">
        <v>1</v>
      </c>
      <c r="D2713" t="n">
        <v>1</v>
      </c>
      <c r="E2713" t="s">
        <v>2724</v>
      </c>
      <c r="F2713" t="s"/>
      <c r="G2713" t="s"/>
      <c r="H2713" t="s"/>
      <c r="I2713" t="s"/>
      <c r="J2713" t="n">
        <v>0.6104000000000001</v>
      </c>
      <c r="K2713" t="n">
        <v>0.024</v>
      </c>
      <c r="L2713" t="n">
        <v>0.886</v>
      </c>
      <c r="M2713" t="n">
        <v>0.09</v>
      </c>
    </row>
    <row r="2714" spans="1:13">
      <c r="A2714" s="1">
        <f>HYPERLINK("http://www.twitter.com/NathanBLawrence/status/977575410119725059", "977575410119725059")</f>
        <v/>
      </c>
      <c r="B2714" s="2" t="n">
        <v>43183.66567129629</v>
      </c>
      <c r="C2714" t="n">
        <v>0</v>
      </c>
      <c r="D2714" t="n">
        <v>0</v>
      </c>
      <c r="E2714" t="s">
        <v>2725</v>
      </c>
      <c r="F2714" t="s"/>
      <c r="G2714" t="s"/>
      <c r="H2714" t="s"/>
      <c r="I2714" t="s"/>
      <c r="J2714" t="n">
        <v>0.4215</v>
      </c>
      <c r="K2714" t="n">
        <v>0</v>
      </c>
      <c r="L2714" t="n">
        <v>0.92</v>
      </c>
      <c r="M2714" t="n">
        <v>0.08</v>
      </c>
    </row>
    <row r="2715" spans="1:13">
      <c r="A2715" s="1">
        <f>HYPERLINK("http://www.twitter.com/NathanBLawrence/status/977398263044300800", "977398263044300800")</f>
        <v/>
      </c>
      <c r="B2715" s="2" t="n">
        <v>43183.17684027777</v>
      </c>
      <c r="C2715" t="n">
        <v>0</v>
      </c>
      <c r="D2715" t="n">
        <v>0</v>
      </c>
      <c r="E2715" t="s">
        <v>2726</v>
      </c>
      <c r="F2715" t="s"/>
      <c r="G2715" t="s"/>
      <c r="H2715" t="s"/>
      <c r="I2715" t="s"/>
      <c r="J2715" t="n">
        <v>-0.6625</v>
      </c>
      <c r="K2715" t="n">
        <v>0.644</v>
      </c>
      <c r="L2715" t="n">
        <v>0.356</v>
      </c>
      <c r="M2715" t="n">
        <v>0</v>
      </c>
    </row>
    <row r="2716" spans="1:13">
      <c r="A2716" s="1">
        <f>HYPERLINK("http://www.twitter.com/NathanBLawrence/status/977396245684776960", "977396245684776960")</f>
        <v/>
      </c>
      <c r="B2716" s="2" t="n">
        <v>43183.17127314815</v>
      </c>
      <c r="C2716" t="n">
        <v>1</v>
      </c>
      <c r="D2716" t="n">
        <v>0</v>
      </c>
      <c r="E2716" t="s">
        <v>2727</v>
      </c>
      <c r="F2716" t="s"/>
      <c r="G2716" t="s"/>
      <c r="H2716" t="s"/>
      <c r="I2716" t="s"/>
      <c r="J2716" t="n">
        <v>0</v>
      </c>
      <c r="K2716" t="n">
        <v>0</v>
      </c>
      <c r="L2716" t="n">
        <v>1</v>
      </c>
      <c r="M2716" t="n">
        <v>0</v>
      </c>
    </row>
    <row r="2717" spans="1:13">
      <c r="A2717" s="1">
        <f>HYPERLINK("http://www.twitter.com/NathanBLawrence/status/977395674349297670", "977395674349297670")</f>
        <v/>
      </c>
      <c r="B2717" s="2" t="n">
        <v>43183.16969907407</v>
      </c>
      <c r="C2717" t="n">
        <v>1</v>
      </c>
      <c r="D2717" t="n">
        <v>0</v>
      </c>
      <c r="E2717" t="s">
        <v>2728</v>
      </c>
      <c r="F2717" t="s"/>
      <c r="G2717" t="s"/>
      <c r="H2717" t="s"/>
      <c r="I2717" t="s"/>
      <c r="J2717" t="n">
        <v>0</v>
      </c>
      <c r="K2717" t="n">
        <v>0</v>
      </c>
      <c r="L2717" t="n">
        <v>1</v>
      </c>
      <c r="M2717" t="n">
        <v>0</v>
      </c>
    </row>
    <row r="2718" spans="1:13">
      <c r="A2718" s="1">
        <f>HYPERLINK("http://www.twitter.com/NathanBLawrence/status/977392996978216961", "977392996978216961")</f>
        <v/>
      </c>
      <c r="B2718" s="2" t="n">
        <v>43183.16231481481</v>
      </c>
      <c r="C2718" t="n">
        <v>1</v>
      </c>
      <c r="D2718" t="n">
        <v>1</v>
      </c>
      <c r="E2718" t="s">
        <v>2729</v>
      </c>
      <c r="F2718" t="s"/>
      <c r="G2718" t="s"/>
      <c r="H2718" t="s"/>
      <c r="I2718" t="s"/>
      <c r="J2718" t="n">
        <v>-0.4824</v>
      </c>
      <c r="K2718" t="n">
        <v>0.173</v>
      </c>
      <c r="L2718" t="n">
        <v>0.827</v>
      </c>
      <c r="M2718" t="n">
        <v>0</v>
      </c>
    </row>
    <row r="2719" spans="1:13">
      <c r="A2719" s="1">
        <f>HYPERLINK("http://www.twitter.com/NathanBLawrence/status/977368312702267392", "977368312702267392")</f>
        <v/>
      </c>
      <c r="B2719" s="2" t="n">
        <v>43183.09420138889</v>
      </c>
      <c r="C2719" t="n">
        <v>0</v>
      </c>
      <c r="D2719" t="n">
        <v>8</v>
      </c>
      <c r="E2719" t="s">
        <v>2730</v>
      </c>
      <c r="F2719">
        <f>HYPERLINK("http://pbs.twimg.com/media/DY-Va00VQAAhS-N.jpg", "http://pbs.twimg.com/media/DY-Va00VQAAhS-N.jpg")</f>
        <v/>
      </c>
      <c r="G2719" t="s"/>
      <c r="H2719" t="s"/>
      <c r="I2719" t="s"/>
      <c r="J2719" t="n">
        <v>0</v>
      </c>
      <c r="K2719" t="n">
        <v>0</v>
      </c>
      <c r="L2719" t="n">
        <v>1</v>
      </c>
      <c r="M2719" t="n">
        <v>0</v>
      </c>
    </row>
    <row r="2720" spans="1:13">
      <c r="A2720" s="1">
        <f>HYPERLINK("http://www.twitter.com/NathanBLawrence/status/977368191608508416", "977368191608508416")</f>
        <v/>
      </c>
      <c r="B2720" s="2" t="n">
        <v>43183.09386574074</v>
      </c>
      <c r="C2720" t="n">
        <v>0</v>
      </c>
      <c r="D2720" t="n">
        <v>13</v>
      </c>
      <c r="E2720" t="s">
        <v>2731</v>
      </c>
      <c r="F2720">
        <f>HYPERLINK("http://pbs.twimg.com/media/DZAzsuAWAAEgDaT.jpg", "http://pbs.twimg.com/media/DZAzsuAWAAEgDaT.jpg")</f>
        <v/>
      </c>
      <c r="G2720" t="s"/>
      <c r="H2720" t="s"/>
      <c r="I2720" t="s"/>
      <c r="J2720" t="n">
        <v>-0.5935</v>
      </c>
      <c r="K2720" t="n">
        <v>0.291</v>
      </c>
      <c r="L2720" t="n">
        <v>0.6</v>
      </c>
      <c r="M2720" t="n">
        <v>0.109</v>
      </c>
    </row>
    <row r="2721" spans="1:13">
      <c r="A2721" s="1">
        <f>HYPERLINK("http://www.twitter.com/NathanBLawrence/status/977368144854638592", "977368144854638592")</f>
        <v/>
      </c>
      <c r="B2721" s="2" t="n">
        <v>43183.09373842592</v>
      </c>
      <c r="C2721" t="n">
        <v>3</v>
      </c>
      <c r="D2721" t="n">
        <v>2</v>
      </c>
      <c r="E2721" t="s">
        <v>2732</v>
      </c>
      <c r="F2721" t="s"/>
      <c r="G2721" t="s"/>
      <c r="H2721" t="s"/>
      <c r="I2721" t="s"/>
      <c r="J2721" t="n">
        <v>0.6581</v>
      </c>
      <c r="K2721" t="n">
        <v>0</v>
      </c>
      <c r="L2721" t="n">
        <v>0.598</v>
      </c>
      <c r="M2721" t="n">
        <v>0.402</v>
      </c>
    </row>
    <row r="2722" spans="1:13">
      <c r="A2722" s="1">
        <f>HYPERLINK("http://www.twitter.com/NathanBLawrence/status/977366866153955329", "977366866153955329")</f>
        <v/>
      </c>
      <c r="B2722" s="2" t="n">
        <v>43183.09020833333</v>
      </c>
      <c r="C2722" t="n">
        <v>3</v>
      </c>
      <c r="D2722" t="n">
        <v>0</v>
      </c>
      <c r="E2722" t="s">
        <v>2733</v>
      </c>
      <c r="F2722" t="s"/>
      <c r="G2722" t="s"/>
      <c r="H2722" t="s"/>
      <c r="I2722" t="s"/>
      <c r="J2722" t="n">
        <v>0.7335</v>
      </c>
      <c r="K2722" t="n">
        <v>0</v>
      </c>
      <c r="L2722" t="n">
        <v>0.5639999999999999</v>
      </c>
      <c r="M2722" t="n">
        <v>0.436</v>
      </c>
    </row>
    <row r="2723" spans="1:13">
      <c r="A2723" s="1">
        <f>HYPERLINK("http://www.twitter.com/NathanBLawrence/status/977366638826852352", "977366638826852352")</f>
        <v/>
      </c>
      <c r="B2723" s="2" t="n">
        <v>43183.08957175926</v>
      </c>
      <c r="C2723" t="n">
        <v>4</v>
      </c>
      <c r="D2723" t="n">
        <v>1</v>
      </c>
      <c r="E2723" t="s">
        <v>2734</v>
      </c>
      <c r="F2723" t="s"/>
      <c r="G2723" t="s"/>
      <c r="H2723" t="s"/>
      <c r="I2723" t="s"/>
      <c r="J2723" t="n">
        <v>0.2023</v>
      </c>
      <c r="K2723" t="n">
        <v>0</v>
      </c>
      <c r="L2723" t="n">
        <v>0.87</v>
      </c>
      <c r="M2723" t="n">
        <v>0.13</v>
      </c>
    </row>
    <row r="2724" spans="1:13">
      <c r="A2724" s="1">
        <f>HYPERLINK("http://www.twitter.com/NathanBLawrence/status/977263350202724353", "977263350202724353")</f>
        <v/>
      </c>
      <c r="B2724" s="2" t="n">
        <v>43182.80456018518</v>
      </c>
      <c r="C2724" t="n">
        <v>2</v>
      </c>
      <c r="D2724" t="n">
        <v>0</v>
      </c>
      <c r="E2724" t="s">
        <v>2735</v>
      </c>
      <c r="F2724" t="s"/>
      <c r="G2724" t="s"/>
      <c r="H2724" t="s"/>
      <c r="I2724" t="s"/>
      <c r="J2724" t="n">
        <v>-0.6113</v>
      </c>
      <c r="K2724" t="n">
        <v>0.281</v>
      </c>
      <c r="L2724" t="n">
        <v>0.584</v>
      </c>
      <c r="M2724" t="n">
        <v>0.135</v>
      </c>
    </row>
    <row r="2725" spans="1:13">
      <c r="A2725" s="1">
        <f>HYPERLINK("http://www.twitter.com/NathanBLawrence/status/977260664652750850", "977260664652750850")</f>
        <v/>
      </c>
      <c r="B2725" s="2" t="n">
        <v>43182.7971412037</v>
      </c>
      <c r="C2725" t="n">
        <v>0</v>
      </c>
      <c r="D2725" t="n">
        <v>1</v>
      </c>
      <c r="E2725" t="s">
        <v>2736</v>
      </c>
      <c r="F2725" t="s"/>
      <c r="G2725" t="s"/>
      <c r="H2725" t="s"/>
      <c r="I2725" t="s"/>
      <c r="J2725" t="n">
        <v>0</v>
      </c>
      <c r="K2725" t="n">
        <v>0</v>
      </c>
      <c r="L2725" t="n">
        <v>1</v>
      </c>
      <c r="M2725" t="n">
        <v>0</v>
      </c>
    </row>
    <row r="2726" spans="1:13">
      <c r="A2726" s="1">
        <f>HYPERLINK("http://www.twitter.com/NathanBLawrence/status/977259817109741568", "977259817109741568")</f>
        <v/>
      </c>
      <c r="B2726" s="2" t="n">
        <v>43182.79480324074</v>
      </c>
      <c r="C2726" t="n">
        <v>0</v>
      </c>
      <c r="D2726" t="n">
        <v>0</v>
      </c>
      <c r="E2726" t="s">
        <v>2737</v>
      </c>
      <c r="F2726">
        <f>HYPERLINK("http://pbs.twimg.com/media/DY_snwVX4AAPtjA.jpg", "http://pbs.twimg.com/media/DY_snwVX4AAPtjA.jpg")</f>
        <v/>
      </c>
      <c r="G2726" t="s"/>
      <c r="H2726" t="s"/>
      <c r="I2726" t="s"/>
      <c r="J2726" t="n">
        <v>-0.1779</v>
      </c>
      <c r="K2726" t="n">
        <v>0.178</v>
      </c>
      <c r="L2726" t="n">
        <v>0.681</v>
      </c>
      <c r="M2726" t="n">
        <v>0.141</v>
      </c>
    </row>
    <row r="2727" spans="1:13">
      <c r="A2727" s="1">
        <f>HYPERLINK("http://www.twitter.com/NathanBLawrence/status/977255299613646849", "977255299613646849")</f>
        <v/>
      </c>
      <c r="B2727" s="2" t="n">
        <v>43182.78233796296</v>
      </c>
      <c r="C2727" t="n">
        <v>0</v>
      </c>
      <c r="D2727" t="n">
        <v>0</v>
      </c>
      <c r="E2727" t="s">
        <v>2738</v>
      </c>
      <c r="F2727" t="s"/>
      <c r="G2727" t="s"/>
      <c r="H2727" t="s"/>
      <c r="I2727" t="s"/>
      <c r="J2727" t="n">
        <v>-0.7506</v>
      </c>
      <c r="K2727" t="n">
        <v>0.214</v>
      </c>
      <c r="L2727" t="n">
        <v>0.72</v>
      </c>
      <c r="M2727" t="n">
        <v>0.066</v>
      </c>
    </row>
    <row r="2728" spans="1:13">
      <c r="A2728" s="1">
        <f>HYPERLINK("http://www.twitter.com/NathanBLawrence/status/977244011424571395", "977244011424571395")</f>
        <v/>
      </c>
      <c r="B2728" s="2" t="n">
        <v>43182.75119212963</v>
      </c>
      <c r="C2728" t="n">
        <v>1</v>
      </c>
      <c r="D2728" t="n">
        <v>0</v>
      </c>
      <c r="E2728" t="s">
        <v>2739</v>
      </c>
      <c r="F2728">
        <f>HYPERLINK("http://pbs.twimg.com/media/DY_eOnvUQAALPhy.jpg", "http://pbs.twimg.com/media/DY_eOnvUQAALPhy.jpg")</f>
        <v/>
      </c>
      <c r="G2728" t="s"/>
      <c r="H2728" t="s"/>
      <c r="I2728" t="s"/>
      <c r="J2728" t="n">
        <v>-0.368</v>
      </c>
      <c r="K2728" t="n">
        <v>0.147</v>
      </c>
      <c r="L2728" t="n">
        <v>0.745</v>
      </c>
      <c r="M2728" t="n">
        <v>0.108</v>
      </c>
    </row>
    <row r="2729" spans="1:13">
      <c r="A2729" s="1">
        <f>HYPERLINK("http://www.twitter.com/NathanBLawrence/status/977242253650464768", "977242253650464768")</f>
        <v/>
      </c>
      <c r="B2729" s="2" t="n">
        <v>43182.7463425926</v>
      </c>
      <c r="C2729" t="n">
        <v>1</v>
      </c>
      <c r="D2729" t="n">
        <v>0</v>
      </c>
      <c r="E2729" t="s">
        <v>2740</v>
      </c>
      <c r="F2729" t="s"/>
      <c r="G2729" t="s"/>
      <c r="H2729" t="s"/>
      <c r="I2729" t="s"/>
      <c r="J2729" t="n">
        <v>0.3754</v>
      </c>
      <c r="K2729" t="n">
        <v>0.103</v>
      </c>
      <c r="L2729" t="n">
        <v>0.729</v>
      </c>
      <c r="M2729" t="n">
        <v>0.168</v>
      </c>
    </row>
    <row r="2730" spans="1:13">
      <c r="A2730" s="1">
        <f>HYPERLINK("http://www.twitter.com/NathanBLawrence/status/977233586951741440", "977233586951741440")</f>
        <v/>
      </c>
      <c r="B2730" s="2" t="n">
        <v>43182.72241898148</v>
      </c>
      <c r="C2730" t="n">
        <v>0</v>
      </c>
      <c r="D2730" t="n">
        <v>0</v>
      </c>
      <c r="E2730" t="s">
        <v>2741</v>
      </c>
      <c r="F2730" t="s"/>
      <c r="G2730" t="s"/>
      <c r="H2730" t="s"/>
      <c r="I2730" t="s"/>
      <c r="J2730" t="n">
        <v>0</v>
      </c>
      <c r="K2730" t="n">
        <v>0</v>
      </c>
      <c r="L2730" t="n">
        <v>1</v>
      </c>
      <c r="M2730" t="n">
        <v>0</v>
      </c>
    </row>
    <row r="2731" spans="1:13">
      <c r="A2731" s="1">
        <f>HYPERLINK("http://www.twitter.com/NathanBLawrence/status/977227378505240577", "977227378505240577")</f>
        <v/>
      </c>
      <c r="B2731" s="2" t="n">
        <v>43182.70528935185</v>
      </c>
      <c r="C2731" t="n">
        <v>0</v>
      </c>
      <c r="D2731" t="n">
        <v>0</v>
      </c>
      <c r="E2731" t="s">
        <v>2742</v>
      </c>
      <c r="F2731" t="s"/>
      <c r="G2731" t="s"/>
      <c r="H2731" t="s"/>
      <c r="I2731" t="s"/>
      <c r="J2731" t="n">
        <v>0</v>
      </c>
      <c r="K2731" t="n">
        <v>0</v>
      </c>
      <c r="L2731" t="n">
        <v>1</v>
      </c>
      <c r="M2731" t="n">
        <v>0</v>
      </c>
    </row>
    <row r="2732" spans="1:13">
      <c r="A2732" s="1">
        <f>HYPERLINK("http://www.twitter.com/NathanBLawrence/status/977226810235727873", "977226810235727873")</f>
        <v/>
      </c>
      <c r="B2732" s="2" t="n">
        <v>43182.70372685185</v>
      </c>
      <c r="C2732" t="n">
        <v>1</v>
      </c>
      <c r="D2732" t="n">
        <v>0</v>
      </c>
      <c r="E2732" t="s">
        <v>2743</v>
      </c>
      <c r="F2732" t="s"/>
      <c r="G2732" t="s"/>
      <c r="H2732" t="s"/>
      <c r="I2732" t="s"/>
      <c r="J2732" t="n">
        <v>-0.8122</v>
      </c>
      <c r="K2732" t="n">
        <v>0.711</v>
      </c>
      <c r="L2732" t="n">
        <v>0.289</v>
      </c>
      <c r="M2732" t="n">
        <v>0</v>
      </c>
    </row>
    <row r="2733" spans="1:13">
      <c r="A2733" s="1">
        <f>HYPERLINK("http://www.twitter.com/NathanBLawrence/status/977226587090444288", "977226587090444288")</f>
        <v/>
      </c>
      <c r="B2733" s="2" t="n">
        <v>43182.70311342592</v>
      </c>
      <c r="C2733" t="n">
        <v>2</v>
      </c>
      <c r="D2733" t="n">
        <v>0</v>
      </c>
      <c r="E2733" t="s">
        <v>2744</v>
      </c>
      <c r="F2733" t="s"/>
      <c r="G2733" t="s"/>
      <c r="H2733" t="s"/>
      <c r="I2733" t="s"/>
      <c r="J2733" t="n">
        <v>0.6808</v>
      </c>
      <c r="K2733" t="n">
        <v>0</v>
      </c>
      <c r="L2733" t="n">
        <v>0.6820000000000001</v>
      </c>
      <c r="M2733" t="n">
        <v>0.318</v>
      </c>
    </row>
    <row r="2734" spans="1:13">
      <c r="A2734" s="1">
        <f>HYPERLINK("http://www.twitter.com/NathanBLawrence/status/977226193622720512", "977226193622720512")</f>
        <v/>
      </c>
      <c r="B2734" s="2" t="n">
        <v>43182.70202546296</v>
      </c>
      <c r="C2734" t="n">
        <v>0</v>
      </c>
      <c r="D2734" t="n">
        <v>3</v>
      </c>
      <c r="E2734" t="s">
        <v>2745</v>
      </c>
      <c r="F2734" t="s"/>
      <c r="G2734" t="s"/>
      <c r="H2734" t="s"/>
      <c r="I2734" t="s"/>
      <c r="J2734" t="n">
        <v>0.4939</v>
      </c>
      <c r="K2734" t="n">
        <v>0</v>
      </c>
      <c r="L2734" t="n">
        <v>0.842</v>
      </c>
      <c r="M2734" t="n">
        <v>0.158</v>
      </c>
    </row>
    <row r="2735" spans="1:13">
      <c r="A2735" s="1">
        <f>HYPERLINK("http://www.twitter.com/NathanBLawrence/status/977225997622894592", "977225997622894592")</f>
        <v/>
      </c>
      <c r="B2735" s="2" t="n">
        <v>43182.70148148148</v>
      </c>
      <c r="C2735" t="n">
        <v>1</v>
      </c>
      <c r="D2735" t="n">
        <v>0</v>
      </c>
      <c r="E2735" t="s">
        <v>2746</v>
      </c>
      <c r="F2735" t="s"/>
      <c r="G2735" t="s"/>
      <c r="H2735" t="s"/>
      <c r="I2735" t="s"/>
      <c r="J2735" t="n">
        <v>0.5106000000000001</v>
      </c>
      <c r="K2735" t="n">
        <v>0</v>
      </c>
      <c r="L2735" t="n">
        <v>0.926</v>
      </c>
      <c r="M2735" t="n">
        <v>0.074</v>
      </c>
    </row>
    <row r="2736" spans="1:13">
      <c r="A2736" s="1">
        <f>HYPERLINK("http://www.twitter.com/NathanBLawrence/status/977201069821431808", "977201069821431808")</f>
        <v/>
      </c>
      <c r="B2736" s="2" t="n">
        <v>43182.63269675926</v>
      </c>
      <c r="C2736" t="n">
        <v>0</v>
      </c>
      <c r="D2736" t="n">
        <v>0</v>
      </c>
      <c r="E2736" t="s">
        <v>2747</v>
      </c>
      <c r="F2736" t="s"/>
      <c r="G2736" t="s"/>
      <c r="H2736" t="s"/>
      <c r="I2736" t="s"/>
      <c r="J2736" t="n">
        <v>0</v>
      </c>
      <c r="K2736" t="n">
        <v>0</v>
      </c>
      <c r="L2736" t="n">
        <v>1</v>
      </c>
      <c r="M2736" t="n">
        <v>0</v>
      </c>
    </row>
    <row r="2737" spans="1:13">
      <c r="A2737" s="1">
        <f>HYPERLINK("http://www.twitter.com/NathanBLawrence/status/977200855945564161", "977200855945564161")</f>
        <v/>
      </c>
      <c r="B2737" s="2" t="n">
        <v>43182.63210648148</v>
      </c>
      <c r="C2737" t="n">
        <v>0</v>
      </c>
      <c r="D2737" t="n">
        <v>0</v>
      </c>
      <c r="E2737" t="s">
        <v>2748</v>
      </c>
      <c r="F2737">
        <f>HYPERLINK("http://pbs.twimg.com/media/DY-2_m-VwAALJ2l.jpg", "http://pbs.twimg.com/media/DY-2_m-VwAALJ2l.jpg")</f>
        <v/>
      </c>
      <c r="G2737" t="s"/>
      <c r="H2737" t="s"/>
      <c r="I2737" t="s"/>
      <c r="J2737" t="n">
        <v>-0.3453</v>
      </c>
      <c r="K2737" t="n">
        <v>0.08799999999999999</v>
      </c>
      <c r="L2737" t="n">
        <v>0.912</v>
      </c>
      <c r="M2737" t="n">
        <v>0</v>
      </c>
    </row>
    <row r="2738" spans="1:13">
      <c r="A2738" s="1">
        <f>HYPERLINK("http://www.twitter.com/NathanBLawrence/status/977197532676870145", "977197532676870145")</f>
        <v/>
      </c>
      <c r="B2738" s="2" t="n">
        <v>43182.62292824074</v>
      </c>
      <c r="C2738" t="n">
        <v>0</v>
      </c>
      <c r="D2738" t="n">
        <v>0</v>
      </c>
      <c r="E2738" t="s">
        <v>2749</v>
      </c>
      <c r="F2738" t="s"/>
      <c r="G2738" t="s"/>
      <c r="H2738" t="s"/>
      <c r="I2738" t="s"/>
      <c r="J2738" t="n">
        <v>-0.8591</v>
      </c>
      <c r="K2738" t="n">
        <v>0.5580000000000001</v>
      </c>
      <c r="L2738" t="n">
        <v>0.323</v>
      </c>
      <c r="M2738" t="n">
        <v>0.12</v>
      </c>
    </row>
    <row r="2739" spans="1:13">
      <c r="A2739" s="1">
        <f>HYPERLINK("http://www.twitter.com/NathanBLawrence/status/977196718721703942", "977196718721703942")</f>
        <v/>
      </c>
      <c r="B2739" s="2" t="n">
        <v>43182.62068287037</v>
      </c>
      <c r="C2739" t="n">
        <v>1</v>
      </c>
      <c r="D2739" t="n">
        <v>0</v>
      </c>
      <c r="E2739" t="s">
        <v>2750</v>
      </c>
      <c r="F2739" t="s"/>
      <c r="G2739" t="s"/>
      <c r="H2739" t="s"/>
      <c r="I2739" t="s"/>
      <c r="J2739" t="n">
        <v>0.4199</v>
      </c>
      <c r="K2739" t="n">
        <v>0</v>
      </c>
      <c r="L2739" t="n">
        <v>0.518</v>
      </c>
      <c r="M2739" t="n">
        <v>0.482</v>
      </c>
    </row>
    <row r="2740" spans="1:13">
      <c r="A2740" s="1">
        <f>HYPERLINK("http://www.twitter.com/NathanBLawrence/status/977196412873125888", "977196412873125888")</f>
        <v/>
      </c>
      <c r="B2740" s="2" t="n">
        <v>43182.61983796296</v>
      </c>
      <c r="C2740" t="n">
        <v>1</v>
      </c>
      <c r="D2740" t="n">
        <v>0</v>
      </c>
      <c r="E2740" t="s">
        <v>2751</v>
      </c>
      <c r="F2740" t="s"/>
      <c r="G2740" t="s"/>
      <c r="H2740" t="s"/>
      <c r="I2740" t="s"/>
      <c r="J2740" t="n">
        <v>0.2732</v>
      </c>
      <c r="K2740" t="n">
        <v>0</v>
      </c>
      <c r="L2740" t="n">
        <v>0.704</v>
      </c>
      <c r="M2740" t="n">
        <v>0.296</v>
      </c>
    </row>
    <row r="2741" spans="1:13">
      <c r="A2741" s="1">
        <f>HYPERLINK("http://www.twitter.com/NathanBLawrence/status/977195657571291136", "977195657571291136")</f>
        <v/>
      </c>
      <c r="B2741" s="2" t="n">
        <v>43182.61775462963</v>
      </c>
      <c r="C2741" t="n">
        <v>0</v>
      </c>
      <c r="D2741" t="n">
        <v>75</v>
      </c>
      <c r="E2741" t="s">
        <v>2752</v>
      </c>
      <c r="F2741">
        <f>HYPERLINK("http://pbs.twimg.com/media/DY7uEFvVoAACMZi.jpg", "http://pbs.twimg.com/media/DY7uEFvVoAACMZi.jpg")</f>
        <v/>
      </c>
      <c r="G2741">
        <f>HYPERLINK("http://pbs.twimg.com/media/DY7uEFwUMAAzELS.jpg", "http://pbs.twimg.com/media/DY7uEFwUMAAzELS.jpg")</f>
        <v/>
      </c>
      <c r="H2741">
        <f>HYPERLINK("http://pbs.twimg.com/media/DY7uEFvVoAE-dj0.jpg", "http://pbs.twimg.com/media/DY7uEFvVoAE-dj0.jpg")</f>
        <v/>
      </c>
      <c r="I2741" t="s"/>
      <c r="J2741" t="n">
        <v>0</v>
      </c>
      <c r="K2741" t="n">
        <v>0</v>
      </c>
      <c r="L2741" t="n">
        <v>1</v>
      </c>
      <c r="M2741" t="n">
        <v>0</v>
      </c>
    </row>
    <row r="2742" spans="1:13">
      <c r="A2742" s="1">
        <f>HYPERLINK("http://www.twitter.com/NathanBLawrence/status/977195175389908997", "977195175389908997")</f>
        <v/>
      </c>
      <c r="B2742" s="2" t="n">
        <v>43182.61642361111</v>
      </c>
      <c r="C2742" t="n">
        <v>2</v>
      </c>
      <c r="D2742" t="n">
        <v>1</v>
      </c>
      <c r="E2742" t="s">
        <v>2753</v>
      </c>
      <c r="F2742" t="s"/>
      <c r="G2742" t="s"/>
      <c r="H2742" t="s"/>
      <c r="I2742" t="s"/>
      <c r="J2742" t="n">
        <v>0.3182</v>
      </c>
      <c r="K2742" t="n">
        <v>0.07000000000000001</v>
      </c>
      <c r="L2742" t="n">
        <v>0.8159999999999999</v>
      </c>
      <c r="M2742" t="n">
        <v>0.115</v>
      </c>
    </row>
    <row r="2743" spans="1:13">
      <c r="A2743" s="1">
        <f>HYPERLINK("http://www.twitter.com/NathanBLawrence/status/977185268607352837", "977185268607352837")</f>
        <v/>
      </c>
      <c r="B2743" s="2" t="n">
        <v>43182.58908564815</v>
      </c>
      <c r="C2743" t="n">
        <v>0</v>
      </c>
      <c r="D2743" t="n">
        <v>0</v>
      </c>
      <c r="E2743" t="s">
        <v>2754</v>
      </c>
      <c r="F2743" t="s"/>
      <c r="G2743" t="s"/>
      <c r="H2743" t="s"/>
      <c r="I2743" t="s"/>
      <c r="J2743" t="n">
        <v>0.3953</v>
      </c>
      <c r="K2743" t="n">
        <v>0.164</v>
      </c>
      <c r="L2743" t="n">
        <v>0.526</v>
      </c>
      <c r="M2743" t="n">
        <v>0.31</v>
      </c>
    </row>
    <row r="2744" spans="1:13">
      <c r="A2744" s="1">
        <f>HYPERLINK("http://www.twitter.com/NathanBLawrence/status/977184876985188352", "977184876985188352")</f>
        <v/>
      </c>
      <c r="B2744" s="2" t="n">
        <v>43182.58800925926</v>
      </c>
      <c r="C2744" t="n">
        <v>1</v>
      </c>
      <c r="D2744" t="n">
        <v>0</v>
      </c>
      <c r="E2744" t="s">
        <v>2755</v>
      </c>
      <c r="F2744" t="s"/>
      <c r="G2744" t="s"/>
      <c r="H2744" t="s"/>
      <c r="I2744" t="s"/>
      <c r="J2744" t="n">
        <v>-0.1873</v>
      </c>
      <c r="K2744" t="n">
        <v>0.07000000000000001</v>
      </c>
      <c r="L2744" t="n">
        <v>0.93</v>
      </c>
      <c r="M2744" t="n">
        <v>0</v>
      </c>
    </row>
    <row r="2745" spans="1:13">
      <c r="A2745" s="1">
        <f>HYPERLINK("http://www.twitter.com/NathanBLawrence/status/977184593446088706", "977184593446088706")</f>
        <v/>
      </c>
      <c r="B2745" s="2" t="n">
        <v>43182.58722222222</v>
      </c>
      <c r="C2745" t="n">
        <v>0</v>
      </c>
      <c r="D2745" t="n">
        <v>0</v>
      </c>
      <c r="E2745" t="s">
        <v>2756</v>
      </c>
      <c r="F2745" t="s"/>
      <c r="G2745" t="s"/>
      <c r="H2745" t="s"/>
      <c r="I2745" t="s"/>
      <c r="J2745" t="n">
        <v>-0.4854</v>
      </c>
      <c r="K2745" t="n">
        <v>0.277</v>
      </c>
      <c r="L2745" t="n">
        <v>0.586</v>
      </c>
      <c r="M2745" t="n">
        <v>0.137</v>
      </c>
    </row>
    <row r="2746" spans="1:13">
      <c r="A2746" s="1">
        <f>HYPERLINK("http://www.twitter.com/NathanBLawrence/status/977177134300106752", "977177134300106752")</f>
        <v/>
      </c>
      <c r="B2746" s="2" t="n">
        <v>43182.56664351852</v>
      </c>
      <c r="C2746" t="n">
        <v>8</v>
      </c>
      <c r="D2746" t="n">
        <v>6</v>
      </c>
      <c r="E2746" t="s">
        <v>2757</v>
      </c>
      <c r="F2746" t="s"/>
      <c r="G2746" t="s"/>
      <c r="H2746" t="s"/>
      <c r="I2746" t="s"/>
      <c r="J2746" t="n">
        <v>-0.7691</v>
      </c>
      <c r="K2746" t="n">
        <v>0.173</v>
      </c>
      <c r="L2746" t="n">
        <v>0.77</v>
      </c>
      <c r="M2746" t="n">
        <v>0.057</v>
      </c>
    </row>
    <row r="2747" spans="1:13">
      <c r="A2747" s="1">
        <f>HYPERLINK("http://www.twitter.com/NathanBLawrence/status/977176340708413441", "977176340708413441")</f>
        <v/>
      </c>
      <c r="B2747" s="2" t="n">
        <v>43182.56445601852</v>
      </c>
      <c r="C2747" t="n">
        <v>5</v>
      </c>
      <c r="D2747" t="n">
        <v>2</v>
      </c>
      <c r="E2747" t="s">
        <v>2758</v>
      </c>
      <c r="F2747">
        <f>HYPERLINK("http://pbs.twimg.com/media/DY-gsXTUQAE57QM.jpg", "http://pbs.twimg.com/media/DY-gsXTUQAE57QM.jpg")</f>
        <v/>
      </c>
      <c r="G2747" t="s"/>
      <c r="H2747" t="s"/>
      <c r="I2747" t="s"/>
      <c r="J2747" t="n">
        <v>-0.5386</v>
      </c>
      <c r="K2747" t="n">
        <v>0.17</v>
      </c>
      <c r="L2747" t="n">
        <v>0.83</v>
      </c>
      <c r="M2747" t="n">
        <v>0</v>
      </c>
    </row>
    <row r="2748" spans="1:13">
      <c r="A2748" s="1">
        <f>HYPERLINK("http://www.twitter.com/NathanBLawrence/status/977176038672396288", "977176038672396288")</f>
        <v/>
      </c>
      <c r="B2748" s="2" t="n">
        <v>43182.56362268519</v>
      </c>
      <c r="C2748" t="n">
        <v>2</v>
      </c>
      <c r="D2748" t="n">
        <v>2</v>
      </c>
      <c r="E2748" t="s">
        <v>2759</v>
      </c>
      <c r="F2748">
        <f>HYPERLINK("http://pbs.twimg.com/media/DY-gbABVMAArtlU.jpg", "http://pbs.twimg.com/media/DY-gbABVMAArtlU.jpg")</f>
        <v/>
      </c>
      <c r="G2748" t="s"/>
      <c r="H2748" t="s"/>
      <c r="I2748" t="s"/>
      <c r="J2748" t="n">
        <v>0</v>
      </c>
      <c r="K2748" t="n">
        <v>0</v>
      </c>
      <c r="L2748" t="n">
        <v>1</v>
      </c>
      <c r="M2748" t="n">
        <v>0</v>
      </c>
    </row>
    <row r="2749" spans="1:13">
      <c r="A2749" s="1">
        <f>HYPERLINK("http://www.twitter.com/NathanBLawrence/status/977175964848451585", "977175964848451585")</f>
        <v/>
      </c>
      <c r="B2749" s="2" t="n">
        <v>43182.56341435185</v>
      </c>
      <c r="C2749" t="n">
        <v>4</v>
      </c>
      <c r="D2749" t="n">
        <v>1</v>
      </c>
      <c r="E2749" t="s">
        <v>2760</v>
      </c>
      <c r="F2749">
        <f>HYPERLINK("http://pbs.twimg.com/media/DY-gWpVV4AA7fEn.jpg", "http://pbs.twimg.com/media/DY-gWpVV4AA7fEn.jpg")</f>
        <v/>
      </c>
      <c r="G2749" t="s"/>
      <c r="H2749" t="s"/>
      <c r="I2749" t="s"/>
      <c r="J2749" t="n">
        <v>0</v>
      </c>
      <c r="K2749" t="n">
        <v>0</v>
      </c>
      <c r="L2749" t="n">
        <v>1</v>
      </c>
      <c r="M2749" t="n">
        <v>0</v>
      </c>
    </row>
    <row r="2750" spans="1:13">
      <c r="A2750" s="1">
        <f>HYPERLINK("http://www.twitter.com/NathanBLawrence/status/977175553794076672", "977175553794076672")</f>
        <v/>
      </c>
      <c r="B2750" s="2" t="n">
        <v>43182.56228009259</v>
      </c>
      <c r="C2750" t="n">
        <v>1</v>
      </c>
      <c r="D2750" t="n">
        <v>0</v>
      </c>
      <c r="E2750" t="s">
        <v>2761</v>
      </c>
      <c r="F2750" t="s"/>
      <c r="G2750" t="s"/>
      <c r="H2750" t="s"/>
      <c r="I2750" t="s"/>
      <c r="J2750" t="n">
        <v>0.3612</v>
      </c>
      <c r="K2750" t="n">
        <v>0.222</v>
      </c>
      <c r="L2750" t="n">
        <v>0.427</v>
      </c>
      <c r="M2750" t="n">
        <v>0.35</v>
      </c>
    </row>
    <row r="2751" spans="1:13">
      <c r="A2751" s="1">
        <f>HYPERLINK("http://www.twitter.com/NathanBLawrence/status/977174937189396483", "977174937189396483")</f>
        <v/>
      </c>
      <c r="B2751" s="2" t="n">
        <v>43182.56057870371</v>
      </c>
      <c r="C2751" t="n">
        <v>1</v>
      </c>
      <c r="D2751" t="n">
        <v>0</v>
      </c>
      <c r="E2751" t="s">
        <v>2762</v>
      </c>
      <c r="F2751" t="s"/>
      <c r="G2751" t="s"/>
      <c r="H2751" t="s"/>
      <c r="I2751" t="s"/>
      <c r="J2751" t="n">
        <v>0</v>
      </c>
      <c r="K2751" t="n">
        <v>0</v>
      </c>
      <c r="L2751" t="n">
        <v>1</v>
      </c>
      <c r="M2751" t="n">
        <v>0</v>
      </c>
    </row>
    <row r="2752" spans="1:13">
      <c r="A2752" s="1">
        <f>HYPERLINK("http://www.twitter.com/NathanBLawrence/status/977174786437771269", "977174786437771269")</f>
        <v/>
      </c>
      <c r="B2752" s="2" t="n">
        <v>43182.56016203704</v>
      </c>
      <c r="C2752" t="n">
        <v>0</v>
      </c>
      <c r="D2752" t="n">
        <v>3</v>
      </c>
      <c r="E2752" t="s">
        <v>2763</v>
      </c>
      <c r="F2752">
        <f>HYPERLINK("http://pbs.twimg.com/media/DY93YLgXkAAZpK_.jpg", "http://pbs.twimg.com/media/DY93YLgXkAAZpK_.jpg")</f>
        <v/>
      </c>
      <c r="G2752" t="s"/>
      <c r="H2752" t="s"/>
      <c r="I2752" t="s"/>
      <c r="J2752" t="n">
        <v>0</v>
      </c>
      <c r="K2752" t="n">
        <v>0</v>
      </c>
      <c r="L2752" t="n">
        <v>1</v>
      </c>
      <c r="M2752" t="n">
        <v>0</v>
      </c>
    </row>
    <row r="2753" spans="1:13">
      <c r="A2753" s="1">
        <f>HYPERLINK("http://www.twitter.com/NathanBLawrence/status/977174545617518592", "977174545617518592")</f>
        <v/>
      </c>
      <c r="B2753" s="2" t="n">
        <v>43182.55950231481</v>
      </c>
      <c r="C2753" t="n">
        <v>2</v>
      </c>
      <c r="D2753" t="n">
        <v>0</v>
      </c>
      <c r="E2753" t="s">
        <v>2764</v>
      </c>
      <c r="F2753" t="s"/>
      <c r="G2753" t="s"/>
      <c r="H2753" t="s"/>
      <c r="I2753" t="s"/>
      <c r="J2753" t="n">
        <v>0</v>
      </c>
      <c r="K2753" t="n">
        <v>0</v>
      </c>
      <c r="L2753" t="n">
        <v>1</v>
      </c>
      <c r="M2753" t="n">
        <v>0</v>
      </c>
    </row>
    <row r="2754" spans="1:13">
      <c r="A2754" s="1">
        <f>HYPERLINK("http://www.twitter.com/NathanBLawrence/status/977155457218437121", "977155457218437121")</f>
        <v/>
      </c>
      <c r="B2754" s="2" t="n">
        <v>43182.50682870371</v>
      </c>
      <c r="C2754" t="n">
        <v>3</v>
      </c>
      <c r="D2754" t="n">
        <v>1</v>
      </c>
      <c r="E2754" t="s">
        <v>2765</v>
      </c>
      <c r="F2754" t="s"/>
      <c r="G2754" t="s"/>
      <c r="H2754" t="s"/>
      <c r="I2754" t="s"/>
      <c r="J2754" t="n">
        <v>0</v>
      </c>
      <c r="K2754" t="n">
        <v>0</v>
      </c>
      <c r="L2754" t="n">
        <v>1</v>
      </c>
      <c r="M2754" t="n">
        <v>0</v>
      </c>
    </row>
    <row r="2755" spans="1:13">
      <c r="A2755" s="1">
        <f>HYPERLINK("http://www.twitter.com/NathanBLawrence/status/977144686312910848", "977144686312910848")</f>
        <v/>
      </c>
      <c r="B2755" s="2" t="n">
        <v>43182.47710648148</v>
      </c>
      <c r="C2755" t="n">
        <v>0</v>
      </c>
      <c r="D2755" t="n">
        <v>0</v>
      </c>
      <c r="E2755" t="s">
        <v>2766</v>
      </c>
      <c r="F2755" t="s"/>
      <c r="G2755" t="s"/>
      <c r="H2755" t="s"/>
      <c r="I2755" t="s"/>
      <c r="J2755" t="n">
        <v>0.4215</v>
      </c>
      <c r="K2755" t="n">
        <v>0</v>
      </c>
      <c r="L2755" t="n">
        <v>0.896</v>
      </c>
      <c r="M2755" t="n">
        <v>0.104</v>
      </c>
    </row>
    <row r="2756" spans="1:13">
      <c r="A2756" s="1">
        <f>HYPERLINK("http://www.twitter.com/NathanBLawrence/status/977143959054159872", "977143959054159872")</f>
        <v/>
      </c>
      <c r="B2756" s="2" t="n">
        <v>43182.47509259259</v>
      </c>
      <c r="C2756" t="n">
        <v>0</v>
      </c>
      <c r="D2756" t="n">
        <v>0</v>
      </c>
      <c r="E2756" t="s">
        <v>2767</v>
      </c>
      <c r="F2756" t="s"/>
      <c r="G2756" t="s"/>
      <c r="H2756" t="s"/>
      <c r="I2756" t="s"/>
      <c r="J2756" t="n">
        <v>-0.6115</v>
      </c>
      <c r="K2756" t="n">
        <v>0.4</v>
      </c>
      <c r="L2756" t="n">
        <v>0.6</v>
      </c>
      <c r="M2756" t="n">
        <v>0</v>
      </c>
    </row>
    <row r="2757" spans="1:13">
      <c r="A2757" s="1">
        <f>HYPERLINK("http://www.twitter.com/NathanBLawrence/status/977141279355297792", "977141279355297792")</f>
        <v/>
      </c>
      <c r="B2757" s="2" t="n">
        <v>43182.46770833333</v>
      </c>
      <c r="C2757" t="n">
        <v>0</v>
      </c>
      <c r="D2757" t="n">
        <v>0</v>
      </c>
      <c r="E2757" t="s">
        <v>2768</v>
      </c>
      <c r="F2757" t="s"/>
      <c r="G2757" t="s"/>
      <c r="H2757" t="s"/>
      <c r="I2757" t="s"/>
      <c r="J2757" t="n">
        <v>0</v>
      </c>
      <c r="K2757" t="n">
        <v>0</v>
      </c>
      <c r="L2757" t="n">
        <v>1</v>
      </c>
      <c r="M2757" t="n">
        <v>0</v>
      </c>
    </row>
    <row r="2758" spans="1:13">
      <c r="A2758" s="1">
        <f>HYPERLINK("http://www.twitter.com/NathanBLawrence/status/977024881299771393", "977024881299771393")</f>
        <v/>
      </c>
      <c r="B2758" s="2" t="n">
        <v>43182.14650462963</v>
      </c>
      <c r="C2758" t="n">
        <v>0</v>
      </c>
      <c r="D2758" t="n">
        <v>0</v>
      </c>
      <c r="E2758" t="s">
        <v>2769</v>
      </c>
      <c r="F2758">
        <f>HYPERLINK("http://pbs.twimg.com/media/DY8W8lbVQAAapoT.jpg", "http://pbs.twimg.com/media/DY8W8lbVQAAapoT.jpg")</f>
        <v/>
      </c>
      <c r="G2758" t="s"/>
      <c r="H2758" t="s"/>
      <c r="I2758" t="s"/>
      <c r="J2758" t="n">
        <v>-0.2003</v>
      </c>
      <c r="K2758" t="n">
        <v>0.183</v>
      </c>
      <c r="L2758" t="n">
        <v>0.8169999999999999</v>
      </c>
      <c r="M2758" t="n">
        <v>0</v>
      </c>
    </row>
    <row r="2759" spans="1:13">
      <c r="A2759" s="1">
        <f>HYPERLINK("http://www.twitter.com/NathanBLawrence/status/977024343929769984", "977024343929769984")</f>
        <v/>
      </c>
      <c r="B2759" s="2" t="n">
        <v>43182.14502314815</v>
      </c>
      <c r="C2759" t="n">
        <v>0</v>
      </c>
      <c r="D2759" t="n">
        <v>0</v>
      </c>
      <c r="E2759" t="s">
        <v>2770</v>
      </c>
      <c r="F2759">
        <f>HYPERLINK("http://pbs.twimg.com/media/DY8WcwQUQAAf5dV.jpg", "http://pbs.twimg.com/media/DY8WcwQUQAAf5dV.jpg")</f>
        <v/>
      </c>
      <c r="G2759" t="s"/>
      <c r="H2759" t="s"/>
      <c r="I2759" t="s"/>
      <c r="J2759" t="n">
        <v>-0.6625</v>
      </c>
      <c r="K2759" t="n">
        <v>0.254</v>
      </c>
      <c r="L2759" t="n">
        <v>0.746</v>
      </c>
      <c r="M2759" t="n">
        <v>0</v>
      </c>
    </row>
    <row r="2760" spans="1:13">
      <c r="A2760" s="1">
        <f>HYPERLINK("http://www.twitter.com/NathanBLawrence/status/977022745388175360", "977022745388175360")</f>
        <v/>
      </c>
      <c r="B2760" s="2" t="n">
        <v>43182.14061342592</v>
      </c>
      <c r="C2760" t="n">
        <v>0</v>
      </c>
      <c r="D2760" t="n">
        <v>0</v>
      </c>
      <c r="E2760" t="s">
        <v>2771</v>
      </c>
      <c r="F2760" t="s"/>
      <c r="G2760" t="s"/>
      <c r="H2760" t="s"/>
      <c r="I2760" t="s"/>
      <c r="J2760" t="n">
        <v>-0.3612</v>
      </c>
      <c r="K2760" t="n">
        <v>0.196</v>
      </c>
      <c r="L2760" t="n">
        <v>0.6879999999999999</v>
      </c>
      <c r="M2760" t="n">
        <v>0.116</v>
      </c>
    </row>
    <row r="2761" spans="1:13">
      <c r="A2761" s="1">
        <f>HYPERLINK("http://www.twitter.com/NathanBLawrence/status/977022447651315712", "977022447651315712")</f>
        <v/>
      </c>
      <c r="B2761" s="2" t="n">
        <v>43182.13979166667</v>
      </c>
      <c r="C2761" t="n">
        <v>1</v>
      </c>
      <c r="D2761" t="n">
        <v>0</v>
      </c>
      <c r="E2761" t="s">
        <v>2772</v>
      </c>
      <c r="F2761" t="s"/>
      <c r="G2761" t="s"/>
      <c r="H2761" t="s"/>
      <c r="I2761" t="s"/>
      <c r="J2761" t="n">
        <v>0</v>
      </c>
      <c r="K2761" t="n">
        <v>0</v>
      </c>
      <c r="L2761" t="n">
        <v>1</v>
      </c>
      <c r="M2761" t="n">
        <v>0</v>
      </c>
    </row>
    <row r="2762" spans="1:13">
      <c r="A2762" s="1">
        <f>HYPERLINK("http://www.twitter.com/NathanBLawrence/status/977021252501164032", "977021252501164032")</f>
        <v/>
      </c>
      <c r="B2762" s="2" t="n">
        <v>43182.13649305556</v>
      </c>
      <c r="C2762" t="n">
        <v>0</v>
      </c>
      <c r="D2762" t="n">
        <v>0</v>
      </c>
      <c r="E2762" t="s">
        <v>2773</v>
      </c>
      <c r="F2762" t="s"/>
      <c r="G2762" t="s"/>
      <c r="H2762" t="s"/>
      <c r="I2762" t="s"/>
      <c r="J2762" t="n">
        <v>0.3544</v>
      </c>
      <c r="K2762" t="n">
        <v>0</v>
      </c>
      <c r="L2762" t="n">
        <v>0.829</v>
      </c>
      <c r="M2762" t="n">
        <v>0.171</v>
      </c>
    </row>
    <row r="2763" spans="1:13">
      <c r="A2763" s="1">
        <f>HYPERLINK("http://www.twitter.com/NathanBLawrence/status/977020534750875648", "977020534750875648")</f>
        <v/>
      </c>
      <c r="B2763" s="2" t="n">
        <v>43182.13451388889</v>
      </c>
      <c r="C2763" t="n">
        <v>0</v>
      </c>
      <c r="D2763" t="n">
        <v>6</v>
      </c>
      <c r="E2763" t="s">
        <v>2774</v>
      </c>
      <c r="F2763" t="s"/>
      <c r="G2763" t="s"/>
      <c r="H2763" t="s"/>
      <c r="I2763" t="s"/>
      <c r="J2763" t="n">
        <v>-0.6677999999999999</v>
      </c>
      <c r="K2763" t="n">
        <v>0.233</v>
      </c>
      <c r="L2763" t="n">
        <v>0.767</v>
      </c>
      <c r="M2763" t="n">
        <v>0</v>
      </c>
    </row>
    <row r="2764" spans="1:13">
      <c r="A2764" s="1">
        <f>HYPERLINK("http://www.twitter.com/NathanBLawrence/status/977020426667913216", "977020426667913216")</f>
        <v/>
      </c>
      <c r="B2764" s="2" t="n">
        <v>43182.13421296296</v>
      </c>
      <c r="C2764" t="n">
        <v>1</v>
      </c>
      <c r="D2764" t="n">
        <v>1</v>
      </c>
      <c r="E2764" t="s">
        <v>2775</v>
      </c>
      <c r="F2764" t="s"/>
      <c r="G2764" t="s"/>
      <c r="H2764" t="s"/>
      <c r="I2764" t="s"/>
      <c r="J2764" t="n">
        <v>0</v>
      </c>
      <c r="K2764" t="n">
        <v>0</v>
      </c>
      <c r="L2764" t="n">
        <v>1</v>
      </c>
      <c r="M2764" t="n">
        <v>0</v>
      </c>
    </row>
    <row r="2765" spans="1:13">
      <c r="A2765" s="1">
        <f>HYPERLINK("http://www.twitter.com/NathanBLawrence/status/977006206702247936", "977006206702247936")</f>
        <v/>
      </c>
      <c r="B2765" s="2" t="n">
        <v>43182.09497685185</v>
      </c>
      <c r="C2765" t="n">
        <v>0</v>
      </c>
      <c r="D2765" t="n">
        <v>2360</v>
      </c>
      <c r="E2765" t="s">
        <v>2776</v>
      </c>
      <c r="F2765" t="s"/>
      <c r="G2765" t="s"/>
      <c r="H2765" t="s"/>
      <c r="I2765" t="s"/>
      <c r="J2765" t="n">
        <v>0.2023</v>
      </c>
      <c r="K2765" t="n">
        <v>0.08699999999999999</v>
      </c>
      <c r="L2765" t="n">
        <v>0.754</v>
      </c>
      <c r="M2765" t="n">
        <v>0.159</v>
      </c>
    </row>
    <row r="2766" spans="1:13">
      <c r="A2766" s="1">
        <f>HYPERLINK("http://www.twitter.com/NathanBLawrence/status/976991298833014785", "976991298833014785")</f>
        <v/>
      </c>
      <c r="B2766" s="2" t="n">
        <v>43182.05383101852</v>
      </c>
      <c r="C2766" t="n">
        <v>1</v>
      </c>
      <c r="D2766" t="n">
        <v>0</v>
      </c>
      <c r="E2766" t="s">
        <v>2777</v>
      </c>
      <c r="F2766" t="s"/>
      <c r="G2766" t="s"/>
      <c r="H2766" t="s"/>
      <c r="I2766" t="s"/>
      <c r="J2766" t="n">
        <v>-0.5106000000000001</v>
      </c>
      <c r="K2766" t="n">
        <v>0.398</v>
      </c>
      <c r="L2766" t="n">
        <v>0.602</v>
      </c>
      <c r="M2766" t="n">
        <v>0</v>
      </c>
    </row>
    <row r="2767" spans="1:13">
      <c r="A2767" s="1">
        <f>HYPERLINK("http://www.twitter.com/NathanBLawrence/status/976990579430223875", "976990579430223875")</f>
        <v/>
      </c>
      <c r="B2767" s="2" t="n">
        <v>43182.05185185185</v>
      </c>
      <c r="C2767" t="n">
        <v>1</v>
      </c>
      <c r="D2767" t="n">
        <v>0</v>
      </c>
      <c r="E2767" t="s">
        <v>2778</v>
      </c>
      <c r="F2767" t="s"/>
      <c r="G2767" t="s"/>
      <c r="H2767" t="s"/>
      <c r="I2767" t="s"/>
      <c r="J2767" t="n">
        <v>0</v>
      </c>
      <c r="K2767" t="n">
        <v>0</v>
      </c>
      <c r="L2767" t="n">
        <v>1</v>
      </c>
      <c r="M2767" t="n">
        <v>0</v>
      </c>
    </row>
    <row r="2768" spans="1:13">
      <c r="A2768" s="1">
        <f>HYPERLINK("http://www.twitter.com/NathanBLawrence/status/976989917040529409", "976989917040529409")</f>
        <v/>
      </c>
      <c r="B2768" s="2" t="n">
        <v>43182.05002314815</v>
      </c>
      <c r="C2768" t="n">
        <v>1</v>
      </c>
      <c r="D2768" t="n">
        <v>1</v>
      </c>
      <c r="E2768" t="s">
        <v>2779</v>
      </c>
      <c r="F2768" t="s"/>
      <c r="G2768" t="s"/>
      <c r="H2768" t="s"/>
      <c r="I2768" t="s"/>
      <c r="J2768" t="n">
        <v>0</v>
      </c>
      <c r="K2768" t="n">
        <v>0</v>
      </c>
      <c r="L2768" t="n">
        <v>1</v>
      </c>
      <c r="M2768" t="n">
        <v>0</v>
      </c>
    </row>
    <row r="2769" spans="1:13">
      <c r="A2769" s="1">
        <f>HYPERLINK("http://www.twitter.com/NathanBLawrence/status/976989796194234368", "976989796194234368")</f>
        <v/>
      </c>
      <c r="B2769" s="2" t="n">
        <v>43182.0496875</v>
      </c>
      <c r="C2769" t="n">
        <v>1</v>
      </c>
      <c r="D2769" t="n">
        <v>0</v>
      </c>
      <c r="E2769" t="s">
        <v>2780</v>
      </c>
      <c r="F2769" t="s"/>
      <c r="G2769" t="s"/>
      <c r="H2769" t="s"/>
      <c r="I2769" t="s"/>
      <c r="J2769" t="n">
        <v>0.2406</v>
      </c>
      <c r="K2769" t="n">
        <v>0</v>
      </c>
      <c r="L2769" t="n">
        <v>0.93</v>
      </c>
      <c r="M2769" t="n">
        <v>0.07000000000000001</v>
      </c>
    </row>
    <row r="2770" spans="1:13">
      <c r="A2770" s="1">
        <f>HYPERLINK("http://www.twitter.com/NathanBLawrence/status/976986995607162882", "976986995607162882")</f>
        <v/>
      </c>
      <c r="B2770" s="2" t="n">
        <v>43182.04195601852</v>
      </c>
      <c r="C2770" t="n">
        <v>0</v>
      </c>
      <c r="D2770" t="n">
        <v>117</v>
      </c>
      <c r="E2770" t="s">
        <v>2781</v>
      </c>
      <c r="F2770" t="s"/>
      <c r="G2770" t="s"/>
      <c r="H2770" t="s"/>
      <c r="I2770" t="s"/>
      <c r="J2770" t="n">
        <v>0.1531</v>
      </c>
      <c r="K2770" t="n">
        <v>0.1</v>
      </c>
      <c r="L2770" t="n">
        <v>0.765</v>
      </c>
      <c r="M2770" t="n">
        <v>0.135</v>
      </c>
    </row>
    <row r="2771" spans="1:13">
      <c r="A2771" s="1">
        <f>HYPERLINK("http://www.twitter.com/NathanBLawrence/status/976986917794402304", "976986917794402304")</f>
        <v/>
      </c>
      <c r="B2771" s="2" t="n">
        <v>43182.04174768519</v>
      </c>
      <c r="C2771" t="n">
        <v>0</v>
      </c>
      <c r="D2771" t="n">
        <v>0</v>
      </c>
      <c r="E2771" t="s">
        <v>2782</v>
      </c>
      <c r="F2771" t="s"/>
      <c r="G2771" t="s"/>
      <c r="H2771" t="s"/>
      <c r="I2771" t="s"/>
      <c r="J2771" t="n">
        <v>0</v>
      </c>
      <c r="K2771" t="n">
        <v>0</v>
      </c>
      <c r="L2771" t="n">
        <v>1</v>
      </c>
      <c r="M2771" t="n">
        <v>0</v>
      </c>
    </row>
    <row r="2772" spans="1:13">
      <c r="A2772" s="1">
        <f>HYPERLINK("http://www.twitter.com/NathanBLawrence/status/976974469368631297", "976974469368631297")</f>
        <v/>
      </c>
      <c r="B2772" s="2" t="n">
        <v>43182.00739583333</v>
      </c>
      <c r="C2772" t="n">
        <v>0</v>
      </c>
      <c r="D2772" t="n">
        <v>0</v>
      </c>
      <c r="E2772" t="s">
        <v>2783</v>
      </c>
      <c r="F2772" t="s"/>
      <c r="G2772" t="s"/>
      <c r="H2772" t="s"/>
      <c r="I2772" t="s"/>
      <c r="J2772" t="n">
        <v>0</v>
      </c>
      <c r="K2772" t="n">
        <v>0</v>
      </c>
      <c r="L2772" t="n">
        <v>1</v>
      </c>
      <c r="M2772" t="n">
        <v>0</v>
      </c>
    </row>
    <row r="2773" spans="1:13">
      <c r="A2773" s="1">
        <f>HYPERLINK("http://www.twitter.com/NathanBLawrence/status/976972601317888000", "976972601317888000")</f>
        <v/>
      </c>
      <c r="B2773" s="2" t="n">
        <v>43182.00224537037</v>
      </c>
      <c r="C2773" t="n">
        <v>1</v>
      </c>
      <c r="D2773" t="n">
        <v>0</v>
      </c>
      <c r="E2773" t="s">
        <v>2784</v>
      </c>
      <c r="F2773" t="s"/>
      <c r="G2773" t="s"/>
      <c r="H2773" t="s"/>
      <c r="I2773" t="s"/>
      <c r="J2773" t="n">
        <v>0</v>
      </c>
      <c r="K2773" t="n">
        <v>0</v>
      </c>
      <c r="L2773" t="n">
        <v>1</v>
      </c>
      <c r="M2773" t="n">
        <v>0</v>
      </c>
    </row>
    <row r="2774" spans="1:13">
      <c r="A2774" s="1">
        <f>HYPERLINK("http://www.twitter.com/NathanBLawrence/status/976958973625716737", "976958973625716737")</f>
        <v/>
      </c>
      <c r="B2774" s="2" t="n">
        <v>43181.96462962963</v>
      </c>
      <c r="C2774" t="n">
        <v>5</v>
      </c>
      <c r="D2774" t="n">
        <v>3</v>
      </c>
      <c r="E2774" t="s">
        <v>2785</v>
      </c>
      <c r="F2774">
        <f>HYPERLINK("http://pbs.twimg.com/media/DY7a_3VV4AIBceH.jpg", "http://pbs.twimg.com/media/DY7a_3VV4AIBceH.jpg")</f>
        <v/>
      </c>
      <c r="G2774" t="s"/>
      <c r="H2774" t="s"/>
      <c r="I2774" t="s"/>
      <c r="J2774" t="n">
        <v>0.3818</v>
      </c>
      <c r="K2774" t="n">
        <v>0</v>
      </c>
      <c r="L2774" t="n">
        <v>0.92</v>
      </c>
      <c r="M2774" t="n">
        <v>0.08</v>
      </c>
    </row>
    <row r="2775" spans="1:13">
      <c r="A2775" s="1">
        <f>HYPERLINK("http://www.twitter.com/NathanBLawrence/status/976952080819777536", "976952080819777536")</f>
        <v/>
      </c>
      <c r="B2775" s="2" t="n">
        <v>43181.94561342592</v>
      </c>
      <c r="C2775" t="n">
        <v>2</v>
      </c>
      <c r="D2775" t="n">
        <v>0</v>
      </c>
      <c r="E2775" t="s">
        <v>2786</v>
      </c>
      <c r="F2775" t="s"/>
      <c r="G2775" t="s"/>
      <c r="H2775" t="s"/>
      <c r="I2775" t="s"/>
      <c r="J2775" t="n">
        <v>0.3919</v>
      </c>
      <c r="K2775" t="n">
        <v>0</v>
      </c>
      <c r="L2775" t="n">
        <v>0.919</v>
      </c>
      <c r="M2775" t="n">
        <v>0.081</v>
      </c>
    </row>
    <row r="2776" spans="1:13">
      <c r="A2776" s="1">
        <f>HYPERLINK("http://www.twitter.com/NathanBLawrence/status/976947792433373192", "976947792433373192")</f>
        <v/>
      </c>
      <c r="B2776" s="2" t="n">
        <v>43181.93378472222</v>
      </c>
      <c r="C2776" t="n">
        <v>0</v>
      </c>
      <c r="D2776" t="n">
        <v>0</v>
      </c>
      <c r="E2776" t="s">
        <v>2787</v>
      </c>
      <c r="F2776" t="s"/>
      <c r="G2776" t="s"/>
      <c r="H2776" t="s"/>
      <c r="I2776" t="s"/>
      <c r="J2776" t="n">
        <v>0.4404</v>
      </c>
      <c r="K2776" t="n">
        <v>0.14</v>
      </c>
      <c r="L2776" t="n">
        <v>0.588</v>
      </c>
      <c r="M2776" t="n">
        <v>0.271</v>
      </c>
    </row>
    <row r="2777" spans="1:13">
      <c r="A2777" s="1">
        <f>HYPERLINK("http://www.twitter.com/NathanBLawrence/status/976946242717708288", "976946242717708288")</f>
        <v/>
      </c>
      <c r="B2777" s="2" t="n">
        <v>43181.92950231482</v>
      </c>
      <c r="C2777" t="n">
        <v>2</v>
      </c>
      <c r="D2777" t="n">
        <v>0</v>
      </c>
      <c r="E2777" t="s">
        <v>2788</v>
      </c>
      <c r="F2777" t="s"/>
      <c r="G2777" t="s"/>
      <c r="H2777" t="s"/>
      <c r="I2777" t="s"/>
      <c r="J2777" t="n">
        <v>0</v>
      </c>
      <c r="K2777" t="n">
        <v>0</v>
      </c>
      <c r="L2777" t="n">
        <v>1</v>
      </c>
      <c r="M2777" t="n">
        <v>0</v>
      </c>
    </row>
    <row r="2778" spans="1:13">
      <c r="A2778" s="1">
        <f>HYPERLINK("http://www.twitter.com/NathanBLawrence/status/976940804232052736", "976940804232052736")</f>
        <v/>
      </c>
      <c r="B2778" s="2" t="n">
        <v>43181.91450231482</v>
      </c>
      <c r="C2778" t="n">
        <v>0</v>
      </c>
      <c r="D2778" t="n">
        <v>8</v>
      </c>
      <c r="E2778" t="s">
        <v>2789</v>
      </c>
      <c r="F2778" t="s"/>
      <c r="G2778" t="s"/>
      <c r="H2778" t="s"/>
      <c r="I2778" t="s"/>
      <c r="J2778" t="n">
        <v>0</v>
      </c>
      <c r="K2778" t="n">
        <v>0</v>
      </c>
      <c r="L2778" t="n">
        <v>1</v>
      </c>
      <c r="M2778" t="n">
        <v>0</v>
      </c>
    </row>
    <row r="2779" spans="1:13">
      <c r="A2779" s="1">
        <f>HYPERLINK("http://www.twitter.com/NathanBLawrence/status/976872522636554240", "976872522636554240")</f>
        <v/>
      </c>
      <c r="B2779" s="2" t="n">
        <v>43181.72607638889</v>
      </c>
      <c r="C2779" t="n">
        <v>4</v>
      </c>
      <c r="D2779" t="n">
        <v>0</v>
      </c>
      <c r="E2779" t="s">
        <v>2790</v>
      </c>
      <c r="F2779" t="s"/>
      <c r="G2779" t="s"/>
      <c r="H2779" t="s"/>
      <c r="I2779" t="s"/>
      <c r="J2779" t="n">
        <v>0</v>
      </c>
      <c r="K2779" t="n">
        <v>0</v>
      </c>
      <c r="L2779" t="n">
        <v>1</v>
      </c>
      <c r="M2779" t="n">
        <v>0</v>
      </c>
    </row>
    <row r="2780" spans="1:13">
      <c r="A2780" s="1">
        <f>HYPERLINK("http://www.twitter.com/NathanBLawrence/status/976850421091393536", "976850421091393536")</f>
        <v/>
      </c>
      <c r="B2780" s="2" t="n">
        <v>43181.66509259259</v>
      </c>
      <c r="C2780" t="n">
        <v>0</v>
      </c>
      <c r="D2780" t="n">
        <v>0</v>
      </c>
      <c r="E2780" t="s">
        <v>2791</v>
      </c>
      <c r="F2780" t="s"/>
      <c r="G2780" t="s"/>
      <c r="H2780" t="s"/>
      <c r="I2780" t="s"/>
      <c r="J2780" t="n">
        <v>-0.1027</v>
      </c>
      <c r="K2780" t="n">
        <v>0.06900000000000001</v>
      </c>
      <c r="L2780" t="n">
        <v>0.931</v>
      </c>
      <c r="M2780" t="n">
        <v>0</v>
      </c>
    </row>
    <row r="2781" spans="1:13">
      <c r="A2781" s="1">
        <f>HYPERLINK("http://www.twitter.com/NathanBLawrence/status/976850103288975360", "976850103288975360")</f>
        <v/>
      </c>
      <c r="B2781" s="2" t="n">
        <v>43181.66421296296</v>
      </c>
      <c r="C2781" t="n">
        <v>0</v>
      </c>
      <c r="D2781" t="n">
        <v>22</v>
      </c>
      <c r="E2781" t="s">
        <v>2792</v>
      </c>
      <c r="F2781" t="s"/>
      <c r="G2781" t="s"/>
      <c r="H2781" t="s"/>
      <c r="I2781" t="s"/>
      <c r="J2781" t="n">
        <v>0</v>
      </c>
      <c r="K2781" t="n">
        <v>0</v>
      </c>
      <c r="L2781" t="n">
        <v>1</v>
      </c>
      <c r="M2781" t="n">
        <v>0</v>
      </c>
    </row>
    <row r="2782" spans="1:13">
      <c r="A2782" s="1">
        <f>HYPERLINK("http://www.twitter.com/NathanBLawrence/status/976850050646204417", "976850050646204417")</f>
        <v/>
      </c>
      <c r="B2782" s="2" t="n">
        <v>43181.6640625</v>
      </c>
      <c r="C2782" t="n">
        <v>1</v>
      </c>
      <c r="D2782" t="n">
        <v>0</v>
      </c>
      <c r="E2782" t="s">
        <v>2793</v>
      </c>
      <c r="F2782" t="s"/>
      <c r="G2782" t="s"/>
      <c r="H2782" t="s"/>
      <c r="I2782" t="s"/>
      <c r="J2782" t="n">
        <v>0</v>
      </c>
      <c r="K2782" t="n">
        <v>0</v>
      </c>
      <c r="L2782" t="n">
        <v>1</v>
      </c>
      <c r="M2782" t="n">
        <v>0</v>
      </c>
    </row>
    <row r="2783" spans="1:13">
      <c r="A2783" s="1">
        <f>HYPERLINK("http://www.twitter.com/NathanBLawrence/status/976849191669501954", "976849191669501954")</f>
        <v/>
      </c>
      <c r="B2783" s="2" t="n">
        <v>43181.66168981481</v>
      </c>
      <c r="C2783" t="n">
        <v>1</v>
      </c>
      <c r="D2783" t="n">
        <v>0</v>
      </c>
      <c r="E2783" t="s">
        <v>2794</v>
      </c>
      <c r="F2783" t="s"/>
      <c r="G2783" t="s"/>
      <c r="H2783" t="s"/>
      <c r="I2783" t="s"/>
      <c r="J2783" t="n">
        <v>0.6641</v>
      </c>
      <c r="K2783" t="n">
        <v>0.209</v>
      </c>
      <c r="L2783" t="n">
        <v>0.308</v>
      </c>
      <c r="M2783" t="n">
        <v>0.483</v>
      </c>
    </row>
    <row r="2784" spans="1:13">
      <c r="A2784" s="1">
        <f>HYPERLINK("http://www.twitter.com/NathanBLawrence/status/976848949083541507", "976848949083541507")</f>
        <v/>
      </c>
      <c r="B2784" s="2" t="n">
        <v>43181.66103009259</v>
      </c>
      <c r="C2784" t="n">
        <v>1</v>
      </c>
      <c r="D2784" t="n">
        <v>0</v>
      </c>
      <c r="E2784" t="s">
        <v>2795</v>
      </c>
      <c r="F2784" t="s"/>
      <c r="G2784" t="s"/>
      <c r="H2784" t="s"/>
      <c r="I2784" t="s"/>
      <c r="J2784" t="n">
        <v>0</v>
      </c>
      <c r="K2784" t="n">
        <v>0</v>
      </c>
      <c r="L2784" t="n">
        <v>1</v>
      </c>
      <c r="M2784" t="n">
        <v>0</v>
      </c>
    </row>
    <row r="2785" spans="1:13">
      <c r="A2785" s="1">
        <f>HYPERLINK("http://www.twitter.com/NathanBLawrence/status/976848792174678016", "976848792174678016")</f>
        <v/>
      </c>
      <c r="B2785" s="2" t="n">
        <v>43181.66059027778</v>
      </c>
      <c r="C2785" t="n">
        <v>1</v>
      </c>
      <c r="D2785" t="n">
        <v>0</v>
      </c>
      <c r="E2785" t="s">
        <v>2796</v>
      </c>
      <c r="F2785" t="s"/>
      <c r="G2785" t="s"/>
      <c r="H2785" t="s"/>
      <c r="I2785" t="s"/>
      <c r="J2785" t="n">
        <v>0</v>
      </c>
      <c r="K2785" t="n">
        <v>0</v>
      </c>
      <c r="L2785" t="n">
        <v>1</v>
      </c>
      <c r="M2785" t="n">
        <v>0</v>
      </c>
    </row>
    <row r="2786" spans="1:13">
      <c r="A2786" s="1">
        <f>HYPERLINK("http://www.twitter.com/NathanBLawrence/status/976827119404711936", "976827119404711936")</f>
        <v/>
      </c>
      <c r="B2786" s="2" t="n">
        <v>43181.60078703704</v>
      </c>
      <c r="C2786" t="n">
        <v>0</v>
      </c>
      <c r="D2786" t="n">
        <v>50</v>
      </c>
      <c r="E2786" t="s">
        <v>2797</v>
      </c>
      <c r="F2786" t="s"/>
      <c r="G2786" t="s"/>
      <c r="H2786" t="s"/>
      <c r="I2786" t="s"/>
      <c r="J2786" t="n">
        <v>-0.8399</v>
      </c>
      <c r="K2786" t="n">
        <v>0.32</v>
      </c>
      <c r="L2786" t="n">
        <v>0.68</v>
      </c>
      <c r="M2786" t="n">
        <v>0</v>
      </c>
    </row>
    <row r="2787" spans="1:13">
      <c r="A2787" s="1">
        <f>HYPERLINK("http://www.twitter.com/NathanBLawrence/status/976811611687129088", "976811611687129088")</f>
        <v/>
      </c>
      <c r="B2787" s="2" t="n">
        <v>43181.55799768519</v>
      </c>
      <c r="C2787" t="n">
        <v>3</v>
      </c>
      <c r="D2787" t="n">
        <v>1</v>
      </c>
      <c r="E2787" t="s">
        <v>2798</v>
      </c>
      <c r="F2787" t="s"/>
      <c r="G2787" t="s"/>
      <c r="H2787" t="s"/>
      <c r="I2787" t="s"/>
      <c r="J2787" t="n">
        <v>0</v>
      </c>
      <c r="K2787" t="n">
        <v>0</v>
      </c>
      <c r="L2787" t="n">
        <v>1</v>
      </c>
      <c r="M2787" t="n">
        <v>0</v>
      </c>
    </row>
    <row r="2788" spans="1:13">
      <c r="A2788" s="1">
        <f>HYPERLINK("http://www.twitter.com/NathanBLawrence/status/976800077858648066", "976800077858648066")</f>
        <v/>
      </c>
      <c r="B2788" s="2" t="n">
        <v>43181.52616898148</v>
      </c>
      <c r="C2788" t="n">
        <v>0</v>
      </c>
      <c r="D2788" t="n">
        <v>148</v>
      </c>
      <c r="E2788" t="s">
        <v>2799</v>
      </c>
      <c r="F2788">
        <f>HYPERLINK("http://pbs.twimg.com/media/DY4yQjmVoAE_X4n.jpg", "http://pbs.twimg.com/media/DY4yQjmVoAE_X4n.jpg")</f>
        <v/>
      </c>
      <c r="G2788" t="s"/>
      <c r="H2788" t="s"/>
      <c r="I2788" t="s"/>
      <c r="J2788" t="n">
        <v>0</v>
      </c>
      <c r="K2788" t="n">
        <v>0</v>
      </c>
      <c r="L2788" t="n">
        <v>1</v>
      </c>
      <c r="M2788" t="n">
        <v>0</v>
      </c>
    </row>
    <row r="2789" spans="1:13">
      <c r="A2789" s="1">
        <f>HYPERLINK("http://www.twitter.com/NathanBLawrence/status/976799875244478464", "976799875244478464")</f>
        <v/>
      </c>
      <c r="B2789" s="2" t="n">
        <v>43181.52560185185</v>
      </c>
      <c r="C2789" t="n">
        <v>1</v>
      </c>
      <c r="D2789" t="n">
        <v>0</v>
      </c>
      <c r="E2789" t="s">
        <v>2800</v>
      </c>
      <c r="F2789" t="s"/>
      <c r="G2789" t="s"/>
      <c r="H2789" t="s"/>
      <c r="I2789" t="s"/>
      <c r="J2789" t="n">
        <v>-0.4391</v>
      </c>
      <c r="K2789" t="n">
        <v>0.182</v>
      </c>
      <c r="L2789" t="n">
        <v>0.8179999999999999</v>
      </c>
      <c r="M2789" t="n">
        <v>0</v>
      </c>
    </row>
    <row r="2790" spans="1:13">
      <c r="A2790" s="1">
        <f>HYPERLINK("http://www.twitter.com/NathanBLawrence/status/976798144615927810", "976798144615927810")</f>
        <v/>
      </c>
      <c r="B2790" s="2" t="n">
        <v>43181.52083333334</v>
      </c>
      <c r="C2790" t="n">
        <v>3</v>
      </c>
      <c r="D2790" t="n">
        <v>0</v>
      </c>
      <c r="E2790" t="s">
        <v>2801</v>
      </c>
      <c r="F2790" t="s"/>
      <c r="G2790" t="s"/>
      <c r="H2790" t="s"/>
      <c r="I2790" t="s"/>
      <c r="J2790" t="n">
        <v>0</v>
      </c>
      <c r="K2790" t="n">
        <v>0</v>
      </c>
      <c r="L2790" t="n">
        <v>1</v>
      </c>
      <c r="M2790" t="n">
        <v>0</v>
      </c>
    </row>
    <row r="2791" spans="1:13">
      <c r="A2791" s="1">
        <f>HYPERLINK("http://www.twitter.com/NathanBLawrence/status/976795714499022848", "976795714499022848")</f>
        <v/>
      </c>
      <c r="B2791" s="2" t="n">
        <v>43181.51412037037</v>
      </c>
      <c r="C2791" t="n">
        <v>0</v>
      </c>
      <c r="D2791" t="n">
        <v>9</v>
      </c>
      <c r="E2791" t="s">
        <v>2802</v>
      </c>
      <c r="F2791" t="s"/>
      <c r="G2791" t="s"/>
      <c r="H2791" t="s"/>
      <c r="I2791" t="s"/>
      <c r="J2791" t="n">
        <v>0</v>
      </c>
      <c r="K2791" t="n">
        <v>0</v>
      </c>
      <c r="L2791" t="n">
        <v>1</v>
      </c>
      <c r="M2791" t="n">
        <v>0</v>
      </c>
    </row>
    <row r="2792" spans="1:13">
      <c r="A2792" s="1">
        <f>HYPERLINK("http://www.twitter.com/NathanBLawrence/status/976795584324620288", "976795584324620288")</f>
        <v/>
      </c>
      <c r="B2792" s="2" t="n">
        <v>43181.51376157408</v>
      </c>
      <c r="C2792" t="n">
        <v>0</v>
      </c>
      <c r="D2792" t="n">
        <v>0</v>
      </c>
      <c r="E2792" t="s">
        <v>2803</v>
      </c>
      <c r="F2792" t="s"/>
      <c r="G2792" t="s"/>
      <c r="H2792" t="s"/>
      <c r="I2792" t="s"/>
      <c r="J2792" t="n">
        <v>-0.3595</v>
      </c>
      <c r="K2792" t="n">
        <v>0.263</v>
      </c>
      <c r="L2792" t="n">
        <v>0.737</v>
      </c>
      <c r="M2792" t="n">
        <v>0</v>
      </c>
    </row>
    <row r="2793" spans="1:13">
      <c r="A2793" s="1">
        <f>HYPERLINK("http://www.twitter.com/NathanBLawrence/status/976610769151365120", "976610769151365120")</f>
        <v/>
      </c>
      <c r="B2793" s="2" t="n">
        <v>43181.00377314815</v>
      </c>
      <c r="C2793" t="n">
        <v>1</v>
      </c>
      <c r="D2793" t="n">
        <v>0</v>
      </c>
      <c r="E2793" t="s">
        <v>2804</v>
      </c>
      <c r="F2793" t="s"/>
      <c r="G2793" t="s"/>
      <c r="H2793" t="s"/>
      <c r="I2793" t="s"/>
      <c r="J2793" t="n">
        <v>0</v>
      </c>
      <c r="K2793" t="n">
        <v>0</v>
      </c>
      <c r="L2793" t="n">
        <v>1</v>
      </c>
      <c r="M2793" t="n">
        <v>0</v>
      </c>
    </row>
    <row r="2794" spans="1:13">
      <c r="A2794" s="1">
        <f>HYPERLINK("http://www.twitter.com/NathanBLawrence/status/976595184136966144", "976595184136966144")</f>
        <v/>
      </c>
      <c r="B2794" s="2" t="n">
        <v>43180.96076388889</v>
      </c>
      <c r="C2794" t="n">
        <v>1</v>
      </c>
      <c r="D2794" t="n">
        <v>0</v>
      </c>
      <c r="E2794" t="s">
        <v>2805</v>
      </c>
      <c r="F2794" t="s"/>
      <c r="G2794" t="s"/>
      <c r="H2794" t="s"/>
      <c r="I2794" t="s"/>
      <c r="J2794" t="n">
        <v>0.7978</v>
      </c>
      <c r="K2794" t="n">
        <v>0</v>
      </c>
      <c r="L2794" t="n">
        <v>0.735</v>
      </c>
      <c r="M2794" t="n">
        <v>0.265</v>
      </c>
    </row>
    <row r="2795" spans="1:13">
      <c r="A2795" s="1">
        <f>HYPERLINK("http://www.twitter.com/NathanBLawrence/status/976594857987858432", "976594857987858432")</f>
        <v/>
      </c>
      <c r="B2795" s="2" t="n">
        <v>43180.95987268518</v>
      </c>
      <c r="C2795" t="n">
        <v>0</v>
      </c>
      <c r="D2795" t="n">
        <v>1</v>
      </c>
      <c r="E2795" t="s">
        <v>2806</v>
      </c>
      <c r="F2795" t="s"/>
      <c r="G2795" t="s"/>
      <c r="H2795" t="s"/>
      <c r="I2795" t="s"/>
      <c r="J2795" t="n">
        <v>0</v>
      </c>
      <c r="K2795" t="n">
        <v>0</v>
      </c>
      <c r="L2795" t="n">
        <v>1</v>
      </c>
      <c r="M2795" t="n">
        <v>0</v>
      </c>
    </row>
    <row r="2796" spans="1:13">
      <c r="A2796" s="1">
        <f>HYPERLINK("http://www.twitter.com/NathanBLawrence/status/976594404487122945", "976594404487122945")</f>
        <v/>
      </c>
      <c r="B2796" s="2" t="n">
        <v>43180.95861111111</v>
      </c>
      <c r="C2796" t="n">
        <v>1</v>
      </c>
      <c r="D2796" t="n">
        <v>0</v>
      </c>
      <c r="E2796" t="s">
        <v>2807</v>
      </c>
      <c r="F2796" t="s"/>
      <c r="G2796" t="s"/>
      <c r="H2796" t="s"/>
      <c r="I2796" t="s"/>
      <c r="J2796" t="n">
        <v>0.7506</v>
      </c>
      <c r="K2796" t="n">
        <v>0.082</v>
      </c>
      <c r="L2796" t="n">
        <v>0.603</v>
      </c>
      <c r="M2796" t="n">
        <v>0.315</v>
      </c>
    </row>
    <row r="2797" spans="1:13">
      <c r="A2797" s="1">
        <f>HYPERLINK("http://www.twitter.com/NathanBLawrence/status/976550745746046976", "976550745746046976")</f>
        <v/>
      </c>
      <c r="B2797" s="2" t="n">
        <v>43180.83813657407</v>
      </c>
      <c r="C2797" t="n">
        <v>0</v>
      </c>
      <c r="D2797" t="n">
        <v>0</v>
      </c>
      <c r="E2797" t="s">
        <v>2808</v>
      </c>
      <c r="F2797" t="s"/>
      <c r="G2797" t="s"/>
      <c r="H2797" t="s"/>
      <c r="I2797" t="s"/>
      <c r="J2797" t="n">
        <v>-0.5255</v>
      </c>
      <c r="K2797" t="n">
        <v>0.361</v>
      </c>
      <c r="L2797" t="n">
        <v>0.639</v>
      </c>
      <c r="M2797" t="n">
        <v>0</v>
      </c>
    </row>
    <row r="2798" spans="1:13">
      <c r="A2798" s="1">
        <f>HYPERLINK("http://www.twitter.com/NathanBLawrence/status/976550581929218048", "976550581929218048")</f>
        <v/>
      </c>
      <c r="B2798" s="2" t="n">
        <v>43180.83768518519</v>
      </c>
      <c r="C2798" t="n">
        <v>1</v>
      </c>
      <c r="D2798" t="n">
        <v>1</v>
      </c>
      <c r="E2798" t="s">
        <v>2809</v>
      </c>
      <c r="F2798" t="s"/>
      <c r="G2798" t="s"/>
      <c r="H2798" t="s"/>
      <c r="I2798" t="s"/>
      <c r="J2798" t="n">
        <v>0.4767</v>
      </c>
      <c r="K2798" t="n">
        <v>0</v>
      </c>
      <c r="L2798" t="n">
        <v>0.631</v>
      </c>
      <c r="M2798" t="n">
        <v>0.369</v>
      </c>
    </row>
    <row r="2799" spans="1:13">
      <c r="A2799" s="1">
        <f>HYPERLINK("http://www.twitter.com/NathanBLawrence/status/976537069047762945", "976537069047762945")</f>
        <v/>
      </c>
      <c r="B2799" s="2" t="n">
        <v>43180.8004050926</v>
      </c>
      <c r="C2799" t="n">
        <v>1</v>
      </c>
      <c r="D2799" t="n">
        <v>0</v>
      </c>
      <c r="E2799" t="s">
        <v>2810</v>
      </c>
      <c r="F2799" t="s"/>
      <c r="G2799" t="s"/>
      <c r="H2799" t="s"/>
      <c r="I2799" t="s"/>
      <c r="J2799" t="n">
        <v>0</v>
      </c>
      <c r="K2799" t="n">
        <v>0</v>
      </c>
      <c r="L2799" t="n">
        <v>1</v>
      </c>
      <c r="M2799" t="n">
        <v>0</v>
      </c>
    </row>
    <row r="2800" spans="1:13">
      <c r="A2800" s="1">
        <f>HYPERLINK("http://www.twitter.com/NathanBLawrence/status/976536704919244800", "976536704919244800")</f>
        <v/>
      </c>
      <c r="B2800" s="2" t="n">
        <v>43180.79939814815</v>
      </c>
      <c r="C2800" t="n">
        <v>4</v>
      </c>
      <c r="D2800" t="n">
        <v>1</v>
      </c>
      <c r="E2800" t="s">
        <v>2811</v>
      </c>
      <c r="F2800" t="s"/>
      <c r="G2800" t="s"/>
      <c r="H2800" t="s"/>
      <c r="I2800" t="s"/>
      <c r="J2800" t="n">
        <v>0</v>
      </c>
      <c r="K2800" t="n">
        <v>0</v>
      </c>
      <c r="L2800" t="n">
        <v>1</v>
      </c>
      <c r="M2800" t="n">
        <v>0</v>
      </c>
    </row>
    <row r="2801" spans="1:13">
      <c r="A2801" s="1">
        <f>HYPERLINK("http://www.twitter.com/NathanBLawrence/status/976519617777733633", "976519617777733633")</f>
        <v/>
      </c>
      <c r="B2801" s="2" t="n">
        <v>43180.75224537037</v>
      </c>
      <c r="C2801" t="n">
        <v>0</v>
      </c>
      <c r="D2801" t="n">
        <v>0</v>
      </c>
      <c r="E2801" t="s">
        <v>2812</v>
      </c>
      <c r="F2801" t="s"/>
      <c r="G2801" t="s"/>
      <c r="H2801" t="s"/>
      <c r="I2801" t="s"/>
      <c r="J2801" t="n">
        <v>-0.8779</v>
      </c>
      <c r="K2801" t="n">
        <v>0.336</v>
      </c>
      <c r="L2801" t="n">
        <v>0.664</v>
      </c>
      <c r="M2801" t="n">
        <v>0</v>
      </c>
    </row>
    <row r="2802" spans="1:13">
      <c r="A2802" s="1">
        <f>HYPERLINK("http://www.twitter.com/NathanBLawrence/status/976500751752224770", "976500751752224770")</f>
        <v/>
      </c>
      <c r="B2802" s="2" t="n">
        <v>43180.70018518518</v>
      </c>
      <c r="C2802" t="n">
        <v>0</v>
      </c>
      <c r="D2802" t="n">
        <v>0</v>
      </c>
      <c r="E2802" t="s">
        <v>2813</v>
      </c>
      <c r="F2802" t="s"/>
      <c r="G2802" t="s"/>
      <c r="H2802" t="s"/>
      <c r="I2802" t="s"/>
      <c r="J2802" t="n">
        <v>0.296</v>
      </c>
      <c r="K2802" t="n">
        <v>0.122</v>
      </c>
      <c r="L2802" t="n">
        <v>0.748</v>
      </c>
      <c r="M2802" t="n">
        <v>0.13</v>
      </c>
    </row>
    <row r="2803" spans="1:13">
      <c r="A2803" s="1">
        <f>HYPERLINK("http://www.twitter.com/NathanBLawrence/status/976500278798311424", "976500278798311424")</f>
        <v/>
      </c>
      <c r="B2803" s="2" t="n">
        <v>43180.69887731481</v>
      </c>
      <c r="C2803" t="n">
        <v>2</v>
      </c>
      <c r="D2803" t="n">
        <v>1</v>
      </c>
      <c r="E2803" t="s">
        <v>2814</v>
      </c>
      <c r="F2803" t="s"/>
      <c r="G2803" t="s"/>
      <c r="H2803" t="s"/>
      <c r="I2803" t="s"/>
      <c r="J2803" t="n">
        <v>0.7351</v>
      </c>
      <c r="K2803" t="n">
        <v>0.053</v>
      </c>
      <c r="L2803" t="n">
        <v>0.694</v>
      </c>
      <c r="M2803" t="n">
        <v>0.253</v>
      </c>
    </row>
    <row r="2804" spans="1:13">
      <c r="A2804" s="1">
        <f>HYPERLINK("http://www.twitter.com/NathanBLawrence/status/976499440273035265", "976499440273035265")</f>
        <v/>
      </c>
      <c r="B2804" s="2" t="n">
        <v>43180.6965625</v>
      </c>
      <c r="C2804" t="n">
        <v>0</v>
      </c>
      <c r="D2804" t="n">
        <v>202</v>
      </c>
      <c r="E2804" t="s">
        <v>2815</v>
      </c>
      <c r="F2804" t="s"/>
      <c r="G2804" t="s"/>
      <c r="H2804" t="s"/>
      <c r="I2804" t="s"/>
      <c r="J2804" t="n">
        <v>-0.34</v>
      </c>
      <c r="K2804" t="n">
        <v>0.138</v>
      </c>
      <c r="L2804" t="n">
        <v>0.862</v>
      </c>
      <c r="M2804" t="n">
        <v>0</v>
      </c>
    </row>
    <row r="2805" spans="1:13">
      <c r="A2805" s="1">
        <f>HYPERLINK("http://www.twitter.com/NathanBLawrence/status/976499359658463232", "976499359658463232")</f>
        <v/>
      </c>
      <c r="B2805" s="2" t="n">
        <v>43180.69634259259</v>
      </c>
      <c r="C2805" t="n">
        <v>2</v>
      </c>
      <c r="D2805" t="n">
        <v>0</v>
      </c>
      <c r="E2805" t="s">
        <v>2816</v>
      </c>
      <c r="F2805" t="s"/>
      <c r="G2805" t="s"/>
      <c r="H2805" t="s"/>
      <c r="I2805" t="s"/>
      <c r="J2805" t="n">
        <v>-0.1803</v>
      </c>
      <c r="K2805" t="n">
        <v>0.104</v>
      </c>
      <c r="L2805" t="n">
        <v>0.831</v>
      </c>
      <c r="M2805" t="n">
        <v>0.065</v>
      </c>
    </row>
    <row r="2806" spans="1:13">
      <c r="A2806" s="1">
        <f>HYPERLINK("http://www.twitter.com/NathanBLawrence/status/976498669427089409", "976498669427089409")</f>
        <v/>
      </c>
      <c r="B2806" s="2" t="n">
        <v>43180.69443287037</v>
      </c>
      <c r="C2806" t="n">
        <v>1</v>
      </c>
      <c r="D2806" t="n">
        <v>0</v>
      </c>
      <c r="E2806" t="s">
        <v>2817</v>
      </c>
      <c r="F2806" t="s"/>
      <c r="G2806" t="s"/>
      <c r="H2806" t="s"/>
      <c r="I2806" t="s"/>
      <c r="J2806" t="n">
        <v>0.3612</v>
      </c>
      <c r="K2806" t="n">
        <v>0</v>
      </c>
      <c r="L2806" t="n">
        <v>0.444</v>
      </c>
      <c r="M2806" t="n">
        <v>0.556</v>
      </c>
    </row>
    <row r="2807" spans="1:13">
      <c r="A2807" s="1">
        <f>HYPERLINK("http://www.twitter.com/NathanBLawrence/status/976498548853395456", "976498548853395456")</f>
        <v/>
      </c>
      <c r="B2807" s="2" t="n">
        <v>43180.6941087963</v>
      </c>
      <c r="C2807" t="n">
        <v>1</v>
      </c>
      <c r="D2807" t="n">
        <v>0</v>
      </c>
      <c r="E2807" t="s">
        <v>2818</v>
      </c>
      <c r="F2807" t="s"/>
      <c r="G2807" t="s"/>
      <c r="H2807" t="s"/>
      <c r="I2807" t="s"/>
      <c r="J2807" t="n">
        <v>0</v>
      </c>
      <c r="K2807" t="n">
        <v>0</v>
      </c>
      <c r="L2807" t="n">
        <v>1</v>
      </c>
      <c r="M2807" t="n">
        <v>0</v>
      </c>
    </row>
    <row r="2808" spans="1:13">
      <c r="A2808" s="1">
        <f>HYPERLINK("http://www.twitter.com/NathanBLawrence/status/976498385585889281", "976498385585889281")</f>
        <v/>
      </c>
      <c r="B2808" s="2" t="n">
        <v>43180.69365740741</v>
      </c>
      <c r="C2808" t="n">
        <v>1</v>
      </c>
      <c r="D2808" t="n">
        <v>0</v>
      </c>
      <c r="E2808" t="s">
        <v>2819</v>
      </c>
      <c r="F2808" t="s"/>
      <c r="G2808" t="s"/>
      <c r="H2808" t="s"/>
      <c r="I2808" t="s"/>
      <c r="J2808" t="n">
        <v>-0.8321</v>
      </c>
      <c r="K2808" t="n">
        <v>0.439</v>
      </c>
      <c r="L2808" t="n">
        <v>0.5610000000000001</v>
      </c>
      <c r="M2808" t="n">
        <v>0</v>
      </c>
    </row>
    <row r="2809" spans="1:13">
      <c r="A2809" s="1">
        <f>HYPERLINK("http://www.twitter.com/NathanBLawrence/status/976469366295416832", "976469366295416832")</f>
        <v/>
      </c>
      <c r="B2809" s="2" t="n">
        <v>43180.61357638889</v>
      </c>
      <c r="C2809" t="n">
        <v>0</v>
      </c>
      <c r="D2809" t="n">
        <v>2</v>
      </c>
      <c r="E2809" t="s">
        <v>2820</v>
      </c>
      <c r="F2809" t="s"/>
      <c r="G2809" t="s"/>
      <c r="H2809" t="s"/>
      <c r="I2809" t="s"/>
      <c r="J2809" t="n">
        <v>0</v>
      </c>
      <c r="K2809" t="n">
        <v>0</v>
      </c>
      <c r="L2809" t="n">
        <v>1</v>
      </c>
      <c r="M2809" t="n">
        <v>0</v>
      </c>
    </row>
    <row r="2810" spans="1:13">
      <c r="A2810" s="1">
        <f>HYPERLINK("http://www.twitter.com/NathanBLawrence/status/976469192248627201", "976469192248627201")</f>
        <v/>
      </c>
      <c r="B2810" s="2" t="n">
        <v>43180.61310185185</v>
      </c>
      <c r="C2810" t="n">
        <v>0</v>
      </c>
      <c r="D2810" t="n">
        <v>0</v>
      </c>
      <c r="E2810" t="s">
        <v>2821</v>
      </c>
      <c r="F2810">
        <f>HYPERLINK("http://pbs.twimg.com/media/DY0djM-VQAAaoQ4.jpg", "http://pbs.twimg.com/media/DY0djM-VQAAaoQ4.jpg")</f>
        <v/>
      </c>
      <c r="G2810" t="s"/>
      <c r="H2810" t="s"/>
      <c r="I2810" t="s"/>
      <c r="J2810" t="n">
        <v>0</v>
      </c>
      <c r="K2810" t="n">
        <v>0</v>
      </c>
      <c r="L2810" t="n">
        <v>1</v>
      </c>
      <c r="M2810" t="n">
        <v>0</v>
      </c>
    </row>
    <row r="2811" spans="1:13">
      <c r="A2811" s="1">
        <f>HYPERLINK("http://www.twitter.com/NathanBLawrence/status/976465347866972160", "976465347866972160")</f>
        <v/>
      </c>
      <c r="B2811" s="2" t="n">
        <v>43180.60248842592</v>
      </c>
      <c r="C2811" t="n">
        <v>0</v>
      </c>
      <c r="D2811" t="n">
        <v>897</v>
      </c>
      <c r="E2811" t="s">
        <v>2822</v>
      </c>
      <c r="F2811" t="s"/>
      <c r="G2811" t="s"/>
      <c r="H2811" t="s"/>
      <c r="I2811" t="s"/>
      <c r="J2811" t="n">
        <v>-0.7579</v>
      </c>
      <c r="K2811" t="n">
        <v>0.305</v>
      </c>
      <c r="L2811" t="n">
        <v>0.539</v>
      </c>
      <c r="M2811" t="n">
        <v>0.156</v>
      </c>
    </row>
    <row r="2812" spans="1:13">
      <c r="A2812" s="1">
        <f>HYPERLINK("http://www.twitter.com/NathanBLawrence/status/976465285120176130", "976465285120176130")</f>
        <v/>
      </c>
      <c r="B2812" s="2" t="n">
        <v>43180.60231481482</v>
      </c>
      <c r="C2812" t="n">
        <v>1</v>
      </c>
      <c r="D2812" t="n">
        <v>0</v>
      </c>
      <c r="E2812" t="s">
        <v>2823</v>
      </c>
      <c r="F2812" t="s"/>
      <c r="G2812" t="s"/>
      <c r="H2812" t="s"/>
      <c r="I2812" t="s"/>
      <c r="J2812" t="n">
        <v>0</v>
      </c>
      <c r="K2812" t="n">
        <v>0</v>
      </c>
      <c r="L2812" t="n">
        <v>1</v>
      </c>
      <c r="M2812" t="n">
        <v>0</v>
      </c>
    </row>
    <row r="2813" spans="1:13">
      <c r="A2813" s="1">
        <f>HYPERLINK("http://www.twitter.com/NathanBLawrence/status/976465083382542336", "976465083382542336")</f>
        <v/>
      </c>
      <c r="B2813" s="2" t="n">
        <v>43180.60175925926</v>
      </c>
      <c r="C2813" t="n">
        <v>0</v>
      </c>
      <c r="D2813" t="n">
        <v>0</v>
      </c>
      <c r="E2813" t="s">
        <v>2824</v>
      </c>
      <c r="F2813" t="s"/>
      <c r="G2813" t="s"/>
      <c r="H2813" t="s"/>
      <c r="I2813" t="s"/>
      <c r="J2813" t="n">
        <v>-0.25</v>
      </c>
      <c r="K2813" t="n">
        <v>0.097</v>
      </c>
      <c r="L2813" t="n">
        <v>0.847</v>
      </c>
      <c r="M2813" t="n">
        <v>0.055</v>
      </c>
    </row>
    <row r="2814" spans="1:13">
      <c r="A2814" s="1">
        <f>HYPERLINK("http://www.twitter.com/NathanBLawrence/status/976458858108465152", "976458858108465152")</f>
        <v/>
      </c>
      <c r="B2814" s="2" t="n">
        <v>43180.58458333334</v>
      </c>
      <c r="C2814" t="n">
        <v>1</v>
      </c>
      <c r="D2814" t="n">
        <v>0</v>
      </c>
      <c r="E2814" t="s">
        <v>2825</v>
      </c>
      <c r="F2814" t="s"/>
      <c r="G2814" t="s"/>
      <c r="H2814" t="s"/>
      <c r="I2814" t="s"/>
      <c r="J2814" t="n">
        <v>0</v>
      </c>
      <c r="K2814" t="n">
        <v>0</v>
      </c>
      <c r="L2814" t="n">
        <v>1</v>
      </c>
      <c r="M2814" t="n">
        <v>0</v>
      </c>
    </row>
    <row r="2815" spans="1:13">
      <c r="A2815" s="1">
        <f>HYPERLINK("http://www.twitter.com/NathanBLawrence/status/976456171195379713", "976456171195379713")</f>
        <v/>
      </c>
      <c r="B2815" s="2" t="n">
        <v>43180.57716435185</v>
      </c>
      <c r="C2815" t="n">
        <v>0</v>
      </c>
      <c r="D2815" t="n">
        <v>1</v>
      </c>
      <c r="E2815" t="s">
        <v>2826</v>
      </c>
      <c r="F2815" t="s"/>
      <c r="G2815" t="s"/>
      <c r="H2815" t="s"/>
      <c r="I2815" t="s"/>
      <c r="J2815" t="n">
        <v>0.5319</v>
      </c>
      <c r="K2815" t="n">
        <v>0</v>
      </c>
      <c r="L2815" t="n">
        <v>0.724</v>
      </c>
      <c r="M2815" t="n">
        <v>0.276</v>
      </c>
    </row>
    <row r="2816" spans="1:13">
      <c r="A2816" s="1">
        <f>HYPERLINK("http://www.twitter.com/NathanBLawrence/status/976455980857937920", "976455980857937920")</f>
        <v/>
      </c>
      <c r="B2816" s="2" t="n">
        <v>43180.57664351852</v>
      </c>
      <c r="C2816" t="n">
        <v>1</v>
      </c>
      <c r="D2816" t="n">
        <v>0</v>
      </c>
      <c r="E2816" t="s">
        <v>2827</v>
      </c>
      <c r="F2816" t="s"/>
      <c r="G2816" t="s"/>
      <c r="H2816" t="s"/>
      <c r="I2816" t="s"/>
      <c r="J2816" t="n">
        <v>0.4404</v>
      </c>
      <c r="K2816" t="n">
        <v>0</v>
      </c>
      <c r="L2816" t="n">
        <v>0.734</v>
      </c>
      <c r="M2816" t="n">
        <v>0.266</v>
      </c>
    </row>
    <row r="2817" spans="1:13">
      <c r="A2817" s="1">
        <f>HYPERLINK("http://www.twitter.com/NathanBLawrence/status/976447274267049984", "976447274267049984")</f>
        <v/>
      </c>
      <c r="B2817" s="2" t="n">
        <v>43180.55261574074</v>
      </c>
      <c r="C2817" t="n">
        <v>0</v>
      </c>
      <c r="D2817" t="n">
        <v>0</v>
      </c>
      <c r="E2817" t="s">
        <v>2828</v>
      </c>
      <c r="F2817" t="s"/>
      <c r="G2817" t="s"/>
      <c r="H2817" t="s"/>
      <c r="I2817" t="s"/>
      <c r="J2817" t="n">
        <v>0</v>
      </c>
      <c r="K2817" t="n">
        <v>0</v>
      </c>
      <c r="L2817" t="n">
        <v>1</v>
      </c>
      <c r="M2817" t="n">
        <v>0</v>
      </c>
    </row>
    <row r="2818" spans="1:13">
      <c r="A2818" s="1">
        <f>HYPERLINK("http://www.twitter.com/NathanBLawrence/status/976438347244752896", "976438347244752896")</f>
        <v/>
      </c>
      <c r="B2818" s="2" t="n">
        <v>43180.52797453704</v>
      </c>
      <c r="C2818" t="n">
        <v>5</v>
      </c>
      <c r="D2818" t="n">
        <v>0</v>
      </c>
      <c r="E2818" t="s">
        <v>2829</v>
      </c>
      <c r="F2818" t="s"/>
      <c r="G2818" t="s"/>
      <c r="H2818" t="s"/>
      <c r="I2818" t="s"/>
      <c r="J2818" t="n">
        <v>-0.7351</v>
      </c>
      <c r="K2818" t="n">
        <v>0.22</v>
      </c>
      <c r="L2818" t="n">
        <v>0.78</v>
      </c>
      <c r="M2818" t="n">
        <v>0</v>
      </c>
    </row>
    <row r="2819" spans="1:13">
      <c r="A2819" s="1">
        <f>HYPERLINK("http://www.twitter.com/NathanBLawrence/status/976436069595013120", "976436069595013120")</f>
        <v/>
      </c>
      <c r="B2819" s="2" t="n">
        <v>43180.52168981481</v>
      </c>
      <c r="C2819" t="n">
        <v>0</v>
      </c>
      <c r="D2819" t="n">
        <v>10</v>
      </c>
      <c r="E2819" t="s">
        <v>2830</v>
      </c>
      <c r="F2819" t="s"/>
      <c r="G2819" t="s"/>
      <c r="H2819" t="s"/>
      <c r="I2819" t="s"/>
      <c r="J2819" t="n">
        <v>-0.5574</v>
      </c>
      <c r="K2819" t="n">
        <v>0.146</v>
      </c>
      <c r="L2819" t="n">
        <v>0.854</v>
      </c>
      <c r="M2819" t="n">
        <v>0</v>
      </c>
    </row>
    <row r="2820" spans="1:13">
      <c r="A2820" s="1">
        <f>HYPERLINK("http://www.twitter.com/NathanBLawrence/status/976425517523066880", "976425517523066880")</f>
        <v/>
      </c>
      <c r="B2820" s="2" t="n">
        <v>43180.49258101852</v>
      </c>
      <c r="C2820" t="n">
        <v>1</v>
      </c>
      <c r="D2820" t="n">
        <v>1</v>
      </c>
      <c r="E2820" t="s">
        <v>2831</v>
      </c>
      <c r="F2820" t="s"/>
      <c r="G2820" t="s"/>
      <c r="H2820" t="s"/>
      <c r="I2820" t="s"/>
      <c r="J2820" t="n">
        <v>0.5859</v>
      </c>
      <c r="K2820" t="n">
        <v>0</v>
      </c>
      <c r="L2820" t="n">
        <v>0.8169999999999999</v>
      </c>
      <c r="M2820" t="n">
        <v>0.183</v>
      </c>
    </row>
    <row r="2821" spans="1:13">
      <c r="A2821" s="1">
        <f>HYPERLINK("http://www.twitter.com/NathanBLawrence/status/976420095785349120", "976420095785349120")</f>
        <v/>
      </c>
      <c r="B2821" s="2" t="n">
        <v>43180.47761574074</v>
      </c>
      <c r="C2821" t="n">
        <v>1</v>
      </c>
      <c r="D2821" t="n">
        <v>0</v>
      </c>
      <c r="E2821" t="s">
        <v>2832</v>
      </c>
      <c r="F2821" t="s"/>
      <c r="G2821" t="s"/>
      <c r="H2821" t="s"/>
      <c r="I2821" t="s"/>
      <c r="J2821" t="n">
        <v>-0.5007</v>
      </c>
      <c r="K2821" t="n">
        <v>0.123</v>
      </c>
      <c r="L2821" t="n">
        <v>0.877</v>
      </c>
      <c r="M2821" t="n">
        <v>0</v>
      </c>
    </row>
    <row r="2822" spans="1:13">
      <c r="A2822" s="1">
        <f>HYPERLINK("http://www.twitter.com/NathanBLawrence/status/976288407855902721", "976288407855902721")</f>
        <v/>
      </c>
      <c r="B2822" s="2" t="n">
        <v>43180.11422453704</v>
      </c>
      <c r="C2822" t="n">
        <v>1</v>
      </c>
      <c r="D2822" t="n">
        <v>0</v>
      </c>
      <c r="E2822" t="s">
        <v>2833</v>
      </c>
      <c r="F2822" t="s"/>
      <c r="G2822" t="s"/>
      <c r="H2822" t="s"/>
      <c r="I2822" t="s"/>
      <c r="J2822" t="n">
        <v>-0.1585</v>
      </c>
      <c r="K2822" t="n">
        <v>0.08500000000000001</v>
      </c>
      <c r="L2822" t="n">
        <v>0.846</v>
      </c>
      <c r="M2822" t="n">
        <v>0.06900000000000001</v>
      </c>
    </row>
    <row r="2823" spans="1:13">
      <c r="A2823" s="1">
        <f>HYPERLINK("http://www.twitter.com/NathanBLawrence/status/976287446089416704", "976287446089416704")</f>
        <v/>
      </c>
      <c r="B2823" s="2" t="n">
        <v>43180.11157407407</v>
      </c>
      <c r="C2823" t="n">
        <v>0</v>
      </c>
      <c r="D2823" t="n">
        <v>716</v>
      </c>
      <c r="E2823" t="s">
        <v>2834</v>
      </c>
      <c r="F2823" t="s"/>
      <c r="G2823" t="s"/>
      <c r="H2823" t="s"/>
      <c r="I2823" t="s"/>
      <c r="J2823" t="n">
        <v>-0.3535</v>
      </c>
      <c r="K2823" t="n">
        <v>0.115</v>
      </c>
      <c r="L2823" t="n">
        <v>0.885</v>
      </c>
      <c r="M2823" t="n">
        <v>0</v>
      </c>
    </row>
    <row r="2824" spans="1:13">
      <c r="A2824" s="1">
        <f>HYPERLINK("http://www.twitter.com/NathanBLawrence/status/976287176865402880", "976287176865402880")</f>
        <v/>
      </c>
      <c r="B2824" s="2" t="n">
        <v>43180.11083333333</v>
      </c>
      <c r="C2824" t="n">
        <v>0</v>
      </c>
      <c r="D2824" t="n">
        <v>0</v>
      </c>
      <c r="E2824" t="s">
        <v>2835</v>
      </c>
      <c r="F2824" t="s"/>
      <c r="G2824" t="s"/>
      <c r="H2824" t="s"/>
      <c r="I2824" t="s"/>
      <c r="J2824" t="n">
        <v>0</v>
      </c>
      <c r="K2824" t="n">
        <v>0</v>
      </c>
      <c r="L2824" t="n">
        <v>1</v>
      </c>
      <c r="M2824" t="n">
        <v>0</v>
      </c>
    </row>
    <row r="2825" spans="1:13">
      <c r="A2825" s="1">
        <f>HYPERLINK("http://www.twitter.com/NathanBLawrence/status/976285015041392640", "976285015041392640")</f>
        <v/>
      </c>
      <c r="B2825" s="2" t="n">
        <v>43180.10486111111</v>
      </c>
      <c r="C2825" t="n">
        <v>0</v>
      </c>
      <c r="D2825" t="n">
        <v>0</v>
      </c>
      <c r="E2825" t="s">
        <v>2836</v>
      </c>
      <c r="F2825" t="s"/>
      <c r="G2825" t="s"/>
      <c r="H2825" t="s"/>
      <c r="I2825" t="s"/>
      <c r="J2825" t="n">
        <v>0</v>
      </c>
      <c r="K2825" t="n">
        <v>0</v>
      </c>
      <c r="L2825" t="n">
        <v>1</v>
      </c>
      <c r="M2825" t="n">
        <v>0</v>
      </c>
    </row>
    <row r="2826" spans="1:13">
      <c r="A2826" s="1">
        <f>HYPERLINK("http://www.twitter.com/NathanBLawrence/status/976282832132648961", "976282832132648961")</f>
        <v/>
      </c>
      <c r="B2826" s="2" t="n">
        <v>43180.09884259259</v>
      </c>
      <c r="C2826" t="n">
        <v>0</v>
      </c>
      <c r="D2826" t="n">
        <v>0</v>
      </c>
      <c r="E2826" t="s">
        <v>2837</v>
      </c>
      <c r="F2826" t="s"/>
      <c r="G2826" t="s"/>
      <c r="H2826" t="s"/>
      <c r="I2826" t="s"/>
      <c r="J2826" t="n">
        <v>0</v>
      </c>
      <c r="K2826" t="n">
        <v>0</v>
      </c>
      <c r="L2826" t="n">
        <v>1</v>
      </c>
      <c r="M2826" t="n">
        <v>0</v>
      </c>
    </row>
    <row r="2827" spans="1:13">
      <c r="A2827" s="1">
        <f>HYPERLINK("http://www.twitter.com/NathanBLawrence/status/976282214475251712", "976282214475251712")</f>
        <v/>
      </c>
      <c r="B2827" s="2" t="n">
        <v>43180.0971412037</v>
      </c>
      <c r="C2827" t="n">
        <v>1</v>
      </c>
      <c r="D2827" t="n">
        <v>0</v>
      </c>
      <c r="E2827" t="s">
        <v>2838</v>
      </c>
      <c r="F2827" t="s"/>
      <c r="G2827" t="s"/>
      <c r="H2827" t="s"/>
      <c r="I2827" t="s"/>
      <c r="J2827" t="n">
        <v>0</v>
      </c>
      <c r="K2827" t="n">
        <v>0</v>
      </c>
      <c r="L2827" t="n">
        <v>1</v>
      </c>
      <c r="M2827" t="n">
        <v>0</v>
      </c>
    </row>
    <row r="2828" spans="1:13">
      <c r="A2828" s="1">
        <f>HYPERLINK("http://www.twitter.com/NathanBLawrence/status/976281911889772544", "976281911889772544")</f>
        <v/>
      </c>
      <c r="B2828" s="2" t="n">
        <v>43180.09629629629</v>
      </c>
      <c r="C2828" t="n">
        <v>1</v>
      </c>
      <c r="D2828" t="n">
        <v>0</v>
      </c>
      <c r="E2828" t="s">
        <v>2839</v>
      </c>
      <c r="F2828" t="s"/>
      <c r="G2828" t="s"/>
      <c r="H2828" t="s"/>
      <c r="I2828" t="s"/>
      <c r="J2828" t="n">
        <v>0</v>
      </c>
      <c r="K2828" t="n">
        <v>0</v>
      </c>
      <c r="L2828" t="n">
        <v>1</v>
      </c>
      <c r="M2828" t="n">
        <v>0</v>
      </c>
    </row>
    <row r="2829" spans="1:13">
      <c r="A2829" s="1">
        <f>HYPERLINK("http://www.twitter.com/NathanBLawrence/status/976279306723778563", "976279306723778563")</f>
        <v/>
      </c>
      <c r="B2829" s="2" t="n">
        <v>43180.0891087963</v>
      </c>
      <c r="C2829" t="n">
        <v>0</v>
      </c>
      <c r="D2829" t="n">
        <v>2596</v>
      </c>
      <c r="E2829" t="s">
        <v>2840</v>
      </c>
      <c r="F2829">
        <f>HYPERLINK("http://pbs.twimg.com/media/DX8TVH-WAAA3hlo.jpg", "http://pbs.twimg.com/media/DX8TVH-WAAA3hlo.jpg")</f>
        <v/>
      </c>
      <c r="G2829" t="s"/>
      <c r="H2829" t="s"/>
      <c r="I2829" t="s"/>
      <c r="J2829" t="n">
        <v>0.5266999999999999</v>
      </c>
      <c r="K2829" t="n">
        <v>0</v>
      </c>
      <c r="L2829" t="n">
        <v>0.855</v>
      </c>
      <c r="M2829" t="n">
        <v>0.145</v>
      </c>
    </row>
    <row r="2830" spans="1:13">
      <c r="A2830" s="1">
        <f>HYPERLINK("http://www.twitter.com/NathanBLawrence/status/976272162876215296", "976272162876215296")</f>
        <v/>
      </c>
      <c r="B2830" s="2" t="n">
        <v>43180.06939814815</v>
      </c>
      <c r="C2830" t="n">
        <v>0</v>
      </c>
      <c r="D2830" t="n">
        <v>0</v>
      </c>
      <c r="E2830" t="s">
        <v>2841</v>
      </c>
      <c r="F2830" t="s"/>
      <c r="G2830" t="s"/>
      <c r="H2830" t="s"/>
      <c r="I2830" t="s"/>
      <c r="J2830" t="n">
        <v>0</v>
      </c>
      <c r="K2830" t="n">
        <v>0</v>
      </c>
      <c r="L2830" t="n">
        <v>1</v>
      </c>
      <c r="M2830" t="n">
        <v>0</v>
      </c>
    </row>
    <row r="2831" spans="1:13">
      <c r="A2831" s="1">
        <f>HYPERLINK("http://www.twitter.com/NathanBLawrence/status/976263805717147648", "976263805717147648")</f>
        <v/>
      </c>
      <c r="B2831" s="2" t="n">
        <v>43180.04634259259</v>
      </c>
      <c r="C2831" t="n">
        <v>1</v>
      </c>
      <c r="D2831" t="n">
        <v>1</v>
      </c>
      <c r="E2831" t="s">
        <v>2842</v>
      </c>
      <c r="F2831" t="s"/>
      <c r="G2831" t="s"/>
      <c r="H2831" t="s"/>
      <c r="I2831" t="s"/>
      <c r="J2831" t="n">
        <v>0.1002</v>
      </c>
      <c r="K2831" t="n">
        <v>0.155</v>
      </c>
      <c r="L2831" t="n">
        <v>0.661</v>
      </c>
      <c r="M2831" t="n">
        <v>0.184</v>
      </c>
    </row>
    <row r="2832" spans="1:13">
      <c r="A2832" s="1">
        <f>HYPERLINK("http://www.twitter.com/NathanBLawrence/status/976262921075482624", "976262921075482624")</f>
        <v/>
      </c>
      <c r="B2832" s="2" t="n">
        <v>43180.04390046297</v>
      </c>
      <c r="C2832" t="n">
        <v>0</v>
      </c>
      <c r="D2832" t="n">
        <v>0</v>
      </c>
      <c r="E2832" t="s">
        <v>2843</v>
      </c>
      <c r="F2832" t="s"/>
      <c r="G2832" t="s"/>
      <c r="H2832" t="s"/>
      <c r="I2832" t="s"/>
      <c r="J2832" t="n">
        <v>-0.25</v>
      </c>
      <c r="K2832" t="n">
        <v>0.185</v>
      </c>
      <c r="L2832" t="n">
        <v>0.721</v>
      </c>
      <c r="M2832" t="n">
        <v>0.095</v>
      </c>
    </row>
    <row r="2833" spans="1:13">
      <c r="A2833" s="1">
        <f>HYPERLINK("http://www.twitter.com/NathanBLawrence/status/976261770468872193", "976261770468872193")</f>
        <v/>
      </c>
      <c r="B2833" s="2" t="n">
        <v>43180.04071759259</v>
      </c>
      <c r="C2833" t="n">
        <v>0</v>
      </c>
      <c r="D2833" t="n">
        <v>0</v>
      </c>
      <c r="E2833" t="s">
        <v>2844</v>
      </c>
      <c r="F2833" t="s"/>
      <c r="G2833" t="s"/>
      <c r="H2833" t="s"/>
      <c r="I2833" t="s"/>
      <c r="J2833" t="n">
        <v>0</v>
      </c>
      <c r="K2833" t="n">
        <v>0</v>
      </c>
      <c r="L2833" t="n">
        <v>1</v>
      </c>
      <c r="M2833" t="n">
        <v>0</v>
      </c>
    </row>
    <row r="2834" spans="1:13">
      <c r="A2834" s="1">
        <f>HYPERLINK("http://www.twitter.com/NathanBLawrence/status/976261388799758336", "976261388799758336")</f>
        <v/>
      </c>
      <c r="B2834" s="2" t="n">
        <v>43180.03966435185</v>
      </c>
      <c r="C2834" t="n">
        <v>1</v>
      </c>
      <c r="D2834" t="n">
        <v>0</v>
      </c>
      <c r="E2834" t="s">
        <v>2845</v>
      </c>
      <c r="F2834" t="s"/>
      <c r="G2834" t="s"/>
      <c r="H2834" t="s"/>
      <c r="I2834" t="s"/>
      <c r="J2834" t="n">
        <v>0.4389</v>
      </c>
      <c r="K2834" t="n">
        <v>0</v>
      </c>
      <c r="L2834" t="n">
        <v>0.8179999999999999</v>
      </c>
      <c r="M2834" t="n">
        <v>0.182</v>
      </c>
    </row>
    <row r="2835" spans="1:13">
      <c r="A2835" s="1">
        <f>HYPERLINK("http://www.twitter.com/NathanBLawrence/status/976260612492808202", "976260612492808202")</f>
        <v/>
      </c>
      <c r="B2835" s="2" t="n">
        <v>43180.03752314814</v>
      </c>
      <c r="C2835" t="n">
        <v>0</v>
      </c>
      <c r="D2835" t="n">
        <v>0</v>
      </c>
      <c r="E2835" t="s">
        <v>2846</v>
      </c>
      <c r="F2835" t="s"/>
      <c r="G2835" t="s"/>
      <c r="H2835" t="s"/>
      <c r="I2835" t="s"/>
      <c r="J2835" t="n">
        <v>0</v>
      </c>
      <c r="K2835" t="n">
        <v>0</v>
      </c>
      <c r="L2835" t="n">
        <v>1</v>
      </c>
      <c r="M2835" t="n">
        <v>0</v>
      </c>
    </row>
    <row r="2836" spans="1:13">
      <c r="A2836" s="1">
        <f>HYPERLINK("http://www.twitter.com/NathanBLawrence/status/976259749250588672", "976259749250588672")</f>
        <v/>
      </c>
      <c r="B2836" s="2" t="n">
        <v>43180.03513888889</v>
      </c>
      <c r="C2836" t="n">
        <v>1</v>
      </c>
      <c r="D2836" t="n">
        <v>0</v>
      </c>
      <c r="E2836" t="s">
        <v>2847</v>
      </c>
      <c r="F2836" t="s"/>
      <c r="G2836" t="s"/>
      <c r="H2836" t="s"/>
      <c r="I2836" t="s"/>
      <c r="J2836" t="n">
        <v>-0.34</v>
      </c>
      <c r="K2836" t="n">
        <v>0.444</v>
      </c>
      <c r="L2836" t="n">
        <v>0.556</v>
      </c>
      <c r="M2836" t="n">
        <v>0</v>
      </c>
    </row>
    <row r="2837" spans="1:13">
      <c r="A2837" s="1">
        <f>HYPERLINK("http://www.twitter.com/NathanBLawrence/status/976259465061249024", "976259465061249024")</f>
        <v/>
      </c>
      <c r="B2837" s="2" t="n">
        <v>43180.03436342593</v>
      </c>
      <c r="C2837" t="n">
        <v>0</v>
      </c>
      <c r="D2837" t="n">
        <v>0</v>
      </c>
      <c r="E2837" t="s">
        <v>2848</v>
      </c>
      <c r="F2837" t="s"/>
      <c r="G2837" t="s"/>
      <c r="H2837" t="s"/>
      <c r="I2837" t="s"/>
      <c r="J2837" t="n">
        <v>-0.4754</v>
      </c>
      <c r="K2837" t="n">
        <v>0.236</v>
      </c>
      <c r="L2837" t="n">
        <v>0.764</v>
      </c>
      <c r="M2837" t="n">
        <v>0</v>
      </c>
    </row>
    <row r="2838" spans="1:13">
      <c r="A2838" s="1">
        <f>HYPERLINK("http://www.twitter.com/NathanBLawrence/status/976259144415088645", "976259144415088645")</f>
        <v/>
      </c>
      <c r="B2838" s="2" t="n">
        <v>43180.03347222223</v>
      </c>
      <c r="C2838" t="n">
        <v>0</v>
      </c>
      <c r="D2838" t="n">
        <v>0</v>
      </c>
      <c r="E2838" t="s">
        <v>2849</v>
      </c>
      <c r="F2838" t="s"/>
      <c r="G2838" t="s"/>
      <c r="H2838" t="s"/>
      <c r="I2838" t="s"/>
      <c r="J2838" t="n">
        <v>-0.4374</v>
      </c>
      <c r="K2838" t="n">
        <v>0.265</v>
      </c>
      <c r="L2838" t="n">
        <v>0.735</v>
      </c>
      <c r="M2838" t="n">
        <v>0</v>
      </c>
    </row>
    <row r="2839" spans="1:13">
      <c r="A2839" s="1">
        <f>HYPERLINK("http://www.twitter.com/NathanBLawrence/status/976258831847231489", "976258831847231489")</f>
        <v/>
      </c>
      <c r="B2839" s="2" t="n">
        <v>43180.03261574074</v>
      </c>
      <c r="C2839" t="n">
        <v>1</v>
      </c>
      <c r="D2839" t="n">
        <v>0</v>
      </c>
      <c r="E2839" t="s">
        <v>2850</v>
      </c>
      <c r="F2839" t="s"/>
      <c r="G2839" t="s"/>
      <c r="H2839" t="s"/>
      <c r="I2839" t="s"/>
      <c r="J2839" t="n">
        <v>0.5106000000000001</v>
      </c>
      <c r="K2839" t="n">
        <v>0.148</v>
      </c>
      <c r="L2839" t="n">
        <v>0.493</v>
      </c>
      <c r="M2839" t="n">
        <v>0.36</v>
      </c>
    </row>
    <row r="2840" spans="1:13">
      <c r="A2840" s="1">
        <f>HYPERLINK("http://www.twitter.com/NathanBLawrence/status/976257751340015617", "976257751340015617")</f>
        <v/>
      </c>
      <c r="B2840" s="2" t="n">
        <v>43180.02962962963</v>
      </c>
      <c r="C2840" t="n">
        <v>1</v>
      </c>
      <c r="D2840" t="n">
        <v>0</v>
      </c>
      <c r="E2840" t="s">
        <v>2851</v>
      </c>
      <c r="F2840" t="s"/>
      <c r="G2840" t="s"/>
      <c r="H2840" t="s"/>
      <c r="I2840" t="s"/>
      <c r="J2840" t="n">
        <v>-0.25</v>
      </c>
      <c r="K2840" t="n">
        <v>0.273</v>
      </c>
      <c r="L2840" t="n">
        <v>0.5</v>
      </c>
      <c r="M2840" t="n">
        <v>0.227</v>
      </c>
    </row>
    <row r="2841" spans="1:13">
      <c r="A2841" s="1">
        <f>HYPERLINK("http://www.twitter.com/NathanBLawrence/status/976255120894840838", "976255120894840838")</f>
        <v/>
      </c>
      <c r="B2841" s="2" t="n">
        <v>43180.02237268518</v>
      </c>
      <c r="C2841" t="n">
        <v>0</v>
      </c>
      <c r="D2841" t="n">
        <v>0</v>
      </c>
      <c r="E2841" t="s">
        <v>2852</v>
      </c>
      <c r="F2841" t="s"/>
      <c r="G2841" t="s"/>
      <c r="H2841" t="s"/>
      <c r="I2841" t="s"/>
      <c r="J2841" t="n">
        <v>-0.264</v>
      </c>
      <c r="K2841" t="n">
        <v>0.121</v>
      </c>
      <c r="L2841" t="n">
        <v>0.879</v>
      </c>
      <c r="M2841" t="n">
        <v>0</v>
      </c>
    </row>
    <row r="2842" spans="1:13">
      <c r="A2842" s="1">
        <f>HYPERLINK("http://www.twitter.com/NathanBLawrence/status/976254679280742402", "976254679280742402")</f>
        <v/>
      </c>
      <c r="B2842" s="2" t="n">
        <v>43180.02115740741</v>
      </c>
      <c r="C2842" t="n">
        <v>1</v>
      </c>
      <c r="D2842" t="n">
        <v>0</v>
      </c>
      <c r="E2842" t="s">
        <v>2853</v>
      </c>
      <c r="F2842" t="s"/>
      <c r="G2842" t="s"/>
      <c r="H2842" t="s"/>
      <c r="I2842" t="s"/>
      <c r="J2842" t="n">
        <v>0</v>
      </c>
      <c r="K2842" t="n">
        <v>0</v>
      </c>
      <c r="L2842" t="n">
        <v>1</v>
      </c>
      <c r="M2842" t="n">
        <v>0</v>
      </c>
    </row>
    <row r="2843" spans="1:13">
      <c r="A2843" s="1">
        <f>HYPERLINK("http://www.twitter.com/NathanBLawrence/status/976254413278011392", "976254413278011392")</f>
        <v/>
      </c>
      <c r="B2843" s="2" t="n">
        <v>43180.02041666667</v>
      </c>
      <c r="C2843" t="n">
        <v>0</v>
      </c>
      <c r="D2843" t="n">
        <v>0</v>
      </c>
      <c r="E2843" t="s">
        <v>2854</v>
      </c>
      <c r="F2843" t="s"/>
      <c r="G2843" t="s"/>
      <c r="H2843" t="s"/>
      <c r="I2843" t="s"/>
      <c r="J2843" t="n">
        <v>0.4404</v>
      </c>
      <c r="K2843" t="n">
        <v>0</v>
      </c>
      <c r="L2843" t="n">
        <v>0.873</v>
      </c>
      <c r="M2843" t="n">
        <v>0.127</v>
      </c>
    </row>
    <row r="2844" spans="1:13">
      <c r="A2844" s="1">
        <f>HYPERLINK("http://www.twitter.com/NathanBLawrence/status/976250545597042688", "976250545597042688")</f>
        <v/>
      </c>
      <c r="B2844" s="2" t="n">
        <v>43180.00974537037</v>
      </c>
      <c r="C2844" t="n">
        <v>0</v>
      </c>
      <c r="D2844" t="n">
        <v>0</v>
      </c>
      <c r="E2844" t="s">
        <v>2855</v>
      </c>
      <c r="F2844" t="s"/>
      <c r="G2844" t="s"/>
      <c r="H2844" t="s"/>
      <c r="I2844" t="s"/>
      <c r="J2844" t="n">
        <v>0.3612</v>
      </c>
      <c r="K2844" t="n">
        <v>0</v>
      </c>
      <c r="L2844" t="n">
        <v>0.857</v>
      </c>
      <c r="M2844" t="n">
        <v>0.143</v>
      </c>
    </row>
    <row r="2845" spans="1:13">
      <c r="A2845" s="1">
        <f>HYPERLINK("http://www.twitter.com/NathanBLawrence/status/976248779799228416", "976248779799228416")</f>
        <v/>
      </c>
      <c r="B2845" s="2" t="n">
        <v>43180.00487268518</v>
      </c>
      <c r="C2845" t="n">
        <v>0</v>
      </c>
      <c r="D2845" t="n">
        <v>0</v>
      </c>
      <c r="E2845" t="s">
        <v>2856</v>
      </c>
      <c r="F2845" t="s"/>
      <c r="G2845" t="s"/>
      <c r="H2845" t="s"/>
      <c r="I2845" t="s"/>
      <c r="J2845" t="n">
        <v>0</v>
      </c>
      <c r="K2845" t="n">
        <v>0</v>
      </c>
      <c r="L2845" t="n">
        <v>1</v>
      </c>
      <c r="M2845" t="n">
        <v>0</v>
      </c>
    </row>
    <row r="2846" spans="1:13">
      <c r="A2846" s="1">
        <f>HYPERLINK("http://www.twitter.com/NathanBLawrence/status/976248487779106816", "976248487779106816")</f>
        <v/>
      </c>
      <c r="B2846" s="2" t="n">
        <v>43180.0040625</v>
      </c>
      <c r="C2846" t="n">
        <v>2</v>
      </c>
      <c r="D2846" t="n">
        <v>0</v>
      </c>
      <c r="E2846" t="s">
        <v>2857</v>
      </c>
      <c r="F2846" t="s"/>
      <c r="G2846" t="s"/>
      <c r="H2846" t="s"/>
      <c r="I2846" t="s"/>
      <c r="J2846" t="n">
        <v>0.3442</v>
      </c>
      <c r="K2846" t="n">
        <v>0.121</v>
      </c>
      <c r="L2846" t="n">
        <v>0.745</v>
      </c>
      <c r="M2846" t="n">
        <v>0.134</v>
      </c>
    </row>
    <row r="2847" spans="1:13">
      <c r="A2847" s="1">
        <f>HYPERLINK("http://www.twitter.com/NathanBLawrence/status/976246753560350720", "976246753560350720")</f>
        <v/>
      </c>
      <c r="B2847" s="2" t="n">
        <v>43179.99928240741</v>
      </c>
      <c r="C2847" t="n">
        <v>0</v>
      </c>
      <c r="D2847" t="n">
        <v>0</v>
      </c>
      <c r="E2847" t="s">
        <v>2858</v>
      </c>
      <c r="F2847" t="s"/>
      <c r="G2847" t="s"/>
      <c r="H2847" t="s"/>
      <c r="I2847" t="s"/>
      <c r="J2847" t="n">
        <v>0.4215</v>
      </c>
      <c r="K2847" t="n">
        <v>0</v>
      </c>
      <c r="L2847" t="n">
        <v>0.417</v>
      </c>
      <c r="M2847" t="n">
        <v>0.583</v>
      </c>
    </row>
    <row r="2848" spans="1:13">
      <c r="A2848" s="1">
        <f>HYPERLINK("http://www.twitter.com/NathanBLawrence/status/976246554368626688", "976246554368626688")</f>
        <v/>
      </c>
      <c r="B2848" s="2" t="n">
        <v>43179.99873842593</v>
      </c>
      <c r="C2848" t="n">
        <v>0</v>
      </c>
      <c r="D2848" t="n">
        <v>118</v>
      </c>
      <c r="E2848" t="s">
        <v>2859</v>
      </c>
      <c r="F2848" t="s"/>
      <c r="G2848" t="s"/>
      <c r="H2848" t="s"/>
      <c r="I2848" t="s"/>
      <c r="J2848" t="n">
        <v>0.4158</v>
      </c>
      <c r="K2848" t="n">
        <v>0.176</v>
      </c>
      <c r="L2848" t="n">
        <v>0.556</v>
      </c>
      <c r="M2848" t="n">
        <v>0.267</v>
      </c>
    </row>
    <row r="2849" spans="1:13">
      <c r="A2849" s="1">
        <f>HYPERLINK("http://www.twitter.com/NathanBLawrence/status/976246446616965122", "976246446616965122")</f>
        <v/>
      </c>
      <c r="B2849" s="2" t="n">
        <v>43179.9984375</v>
      </c>
      <c r="C2849" t="n">
        <v>1</v>
      </c>
      <c r="D2849" t="n">
        <v>0</v>
      </c>
      <c r="E2849" t="s">
        <v>2860</v>
      </c>
      <c r="F2849" t="s"/>
      <c r="G2849" t="s"/>
      <c r="H2849" t="s"/>
      <c r="I2849" t="s"/>
      <c r="J2849" t="n">
        <v>-0.3412</v>
      </c>
      <c r="K2849" t="n">
        <v>0.156</v>
      </c>
      <c r="L2849" t="n">
        <v>0.844</v>
      </c>
      <c r="M2849" t="n">
        <v>0</v>
      </c>
    </row>
    <row r="2850" spans="1:13">
      <c r="A2850" s="1">
        <f>HYPERLINK("http://www.twitter.com/NathanBLawrence/status/976211995719499778", "976211995719499778")</f>
        <v/>
      </c>
      <c r="B2850" s="2" t="n">
        <v>43179.90336805556</v>
      </c>
      <c r="C2850" t="n">
        <v>0</v>
      </c>
      <c r="D2850" t="n">
        <v>0</v>
      </c>
      <c r="E2850" t="s">
        <v>2861</v>
      </c>
      <c r="F2850" t="s"/>
      <c r="G2850" t="s"/>
      <c r="H2850" t="s"/>
      <c r="I2850" t="s"/>
      <c r="J2850" t="n">
        <v>0.3818</v>
      </c>
      <c r="K2850" t="n">
        <v>0.171</v>
      </c>
      <c r="L2850" t="n">
        <v>0.594</v>
      </c>
      <c r="M2850" t="n">
        <v>0.235</v>
      </c>
    </row>
    <row r="2851" spans="1:13">
      <c r="A2851" s="1">
        <f>HYPERLINK("http://www.twitter.com/NathanBLawrence/status/976211598489636866", "976211598489636866")</f>
        <v/>
      </c>
      <c r="B2851" s="2" t="n">
        <v>43179.90226851852</v>
      </c>
      <c r="C2851" t="n">
        <v>0</v>
      </c>
      <c r="D2851" t="n">
        <v>0</v>
      </c>
      <c r="E2851" t="s">
        <v>2862</v>
      </c>
      <c r="F2851" t="s"/>
      <c r="G2851" t="s"/>
      <c r="H2851" t="s"/>
      <c r="I2851" t="s"/>
      <c r="J2851" t="n">
        <v>-0.8867</v>
      </c>
      <c r="K2851" t="n">
        <v>0.44</v>
      </c>
      <c r="L2851" t="n">
        <v>0.5600000000000001</v>
      </c>
      <c r="M2851" t="n">
        <v>0</v>
      </c>
    </row>
    <row r="2852" spans="1:13">
      <c r="A2852" s="1">
        <f>HYPERLINK("http://www.twitter.com/NathanBLawrence/status/976199974408114178", "976199974408114178")</f>
        <v/>
      </c>
      <c r="B2852" s="2" t="n">
        <v>43179.87019675926</v>
      </c>
      <c r="C2852" t="n">
        <v>1</v>
      </c>
      <c r="D2852" t="n">
        <v>0</v>
      </c>
      <c r="E2852" t="s">
        <v>2863</v>
      </c>
      <c r="F2852" t="s"/>
      <c r="G2852" t="s"/>
      <c r="H2852" t="s"/>
      <c r="I2852" t="s"/>
      <c r="J2852" t="n">
        <v>0</v>
      </c>
      <c r="K2852" t="n">
        <v>0</v>
      </c>
      <c r="L2852" t="n">
        <v>1</v>
      </c>
      <c r="M2852" t="n">
        <v>0</v>
      </c>
    </row>
    <row r="2853" spans="1:13">
      <c r="A2853" s="1">
        <f>HYPERLINK("http://www.twitter.com/NathanBLawrence/status/976199753330552832", "976199753330552832")</f>
        <v/>
      </c>
      <c r="B2853" s="2" t="n">
        <v>43179.86958333333</v>
      </c>
      <c r="C2853" t="n">
        <v>0</v>
      </c>
      <c r="D2853" t="n">
        <v>22</v>
      </c>
      <c r="E2853" t="s">
        <v>2864</v>
      </c>
      <c r="F2853">
        <f>HYPERLINK("http://pbs.twimg.com/media/DYwRo4fWAAE1F2J.jpg", "http://pbs.twimg.com/media/DYwRo4fWAAE1F2J.jpg")</f>
        <v/>
      </c>
      <c r="G2853" t="s"/>
      <c r="H2853" t="s"/>
      <c r="I2853" t="s"/>
      <c r="J2853" t="n">
        <v>0.4404</v>
      </c>
      <c r="K2853" t="n">
        <v>0</v>
      </c>
      <c r="L2853" t="n">
        <v>0.873</v>
      </c>
      <c r="M2853" t="n">
        <v>0.127</v>
      </c>
    </row>
    <row r="2854" spans="1:13">
      <c r="A2854" s="1">
        <f>HYPERLINK("http://www.twitter.com/NathanBLawrence/status/976199534304006144", "976199534304006144")</f>
        <v/>
      </c>
      <c r="B2854" s="2" t="n">
        <v>43179.86898148148</v>
      </c>
      <c r="C2854" t="n">
        <v>0</v>
      </c>
      <c r="D2854" t="n">
        <v>4590</v>
      </c>
      <c r="E2854" t="s">
        <v>2865</v>
      </c>
      <c r="F2854" t="s"/>
      <c r="G2854" t="s"/>
      <c r="H2854" t="s"/>
      <c r="I2854" t="s"/>
      <c r="J2854" t="n">
        <v>0.4824</v>
      </c>
      <c r="K2854" t="n">
        <v>0.09</v>
      </c>
      <c r="L2854" t="n">
        <v>0.698</v>
      </c>
      <c r="M2854" t="n">
        <v>0.212</v>
      </c>
    </row>
    <row r="2855" spans="1:13">
      <c r="A2855" s="1">
        <f>HYPERLINK("http://www.twitter.com/NathanBLawrence/status/976198914855587847", "976198914855587847")</f>
        <v/>
      </c>
      <c r="B2855" s="2" t="n">
        <v>43179.86726851852</v>
      </c>
      <c r="C2855" t="n">
        <v>0</v>
      </c>
      <c r="D2855" t="n">
        <v>8</v>
      </c>
      <c r="E2855" t="s">
        <v>2866</v>
      </c>
      <c r="F2855" t="s"/>
      <c r="G2855" t="s"/>
      <c r="H2855" t="s"/>
      <c r="I2855" t="s"/>
      <c r="J2855" t="n">
        <v>0</v>
      </c>
      <c r="K2855" t="n">
        <v>0</v>
      </c>
      <c r="L2855" t="n">
        <v>1</v>
      </c>
      <c r="M2855" t="n">
        <v>0</v>
      </c>
    </row>
    <row r="2856" spans="1:13">
      <c r="A2856" s="1">
        <f>HYPERLINK("http://www.twitter.com/NathanBLawrence/status/976198712417574912", "976198712417574912")</f>
        <v/>
      </c>
      <c r="B2856" s="2" t="n">
        <v>43179.86671296296</v>
      </c>
      <c r="C2856" t="n">
        <v>0</v>
      </c>
      <c r="D2856" t="n">
        <v>0</v>
      </c>
      <c r="E2856" t="s">
        <v>2867</v>
      </c>
      <c r="F2856" t="s"/>
      <c r="G2856" t="s"/>
      <c r="H2856" t="s"/>
      <c r="I2856" t="s"/>
      <c r="J2856" t="n">
        <v>-0.6369</v>
      </c>
      <c r="K2856" t="n">
        <v>0.259</v>
      </c>
      <c r="L2856" t="n">
        <v>0.741</v>
      </c>
      <c r="M2856" t="n">
        <v>0</v>
      </c>
    </row>
    <row r="2857" spans="1:13">
      <c r="A2857" s="1">
        <f>HYPERLINK("http://www.twitter.com/NathanBLawrence/status/976198035024818177", "976198035024818177")</f>
        <v/>
      </c>
      <c r="B2857" s="2" t="n">
        <v>43179.86484953704</v>
      </c>
      <c r="C2857" t="n">
        <v>1</v>
      </c>
      <c r="D2857" t="n">
        <v>0</v>
      </c>
      <c r="E2857" t="s">
        <v>2868</v>
      </c>
      <c r="F2857">
        <f>HYPERLINK("http://pbs.twimg.com/media/DYwm7qTVoAA-1EZ.jpg", "http://pbs.twimg.com/media/DYwm7qTVoAA-1EZ.jpg")</f>
        <v/>
      </c>
      <c r="G2857" t="s"/>
      <c r="H2857" t="s"/>
      <c r="I2857" t="s"/>
      <c r="J2857" t="n">
        <v>0.1779</v>
      </c>
      <c r="K2857" t="n">
        <v>0</v>
      </c>
      <c r="L2857" t="n">
        <v>0.925</v>
      </c>
      <c r="M2857" t="n">
        <v>0.075</v>
      </c>
    </row>
    <row r="2858" spans="1:13">
      <c r="A2858" s="1">
        <f>HYPERLINK("http://www.twitter.com/NathanBLawrence/status/976197915499692034", "976197915499692034")</f>
        <v/>
      </c>
      <c r="B2858" s="2" t="n">
        <v>43179.86451388889</v>
      </c>
      <c r="C2858" t="n">
        <v>0</v>
      </c>
      <c r="D2858" t="n">
        <v>0</v>
      </c>
      <c r="E2858" t="s">
        <v>2869</v>
      </c>
      <c r="F2858" t="s"/>
      <c r="G2858" t="s"/>
      <c r="H2858" t="s"/>
      <c r="I2858" t="s"/>
      <c r="J2858" t="n">
        <v>-0.3818</v>
      </c>
      <c r="K2858" t="n">
        <v>0.205</v>
      </c>
      <c r="L2858" t="n">
        <v>0.795</v>
      </c>
      <c r="M2858" t="n">
        <v>0</v>
      </c>
    </row>
    <row r="2859" spans="1:13">
      <c r="A2859" s="1">
        <f>HYPERLINK("http://www.twitter.com/NathanBLawrence/status/976197256729841664", "976197256729841664")</f>
        <v/>
      </c>
      <c r="B2859" s="2" t="n">
        <v>43179.86269675926</v>
      </c>
      <c r="C2859" t="n">
        <v>0</v>
      </c>
      <c r="D2859" t="n">
        <v>1</v>
      </c>
      <c r="E2859" t="s">
        <v>2870</v>
      </c>
      <c r="F2859" t="s"/>
      <c r="G2859" t="s"/>
      <c r="H2859" t="s"/>
      <c r="I2859" t="s"/>
      <c r="J2859" t="n">
        <v>-0.0315</v>
      </c>
      <c r="K2859" t="n">
        <v>0.152</v>
      </c>
      <c r="L2859" t="n">
        <v>0.739</v>
      </c>
      <c r="M2859" t="n">
        <v>0.109</v>
      </c>
    </row>
    <row r="2860" spans="1:13">
      <c r="A2860" s="1">
        <f>HYPERLINK("http://www.twitter.com/NathanBLawrence/status/976177864189063171", "976177864189063171")</f>
        <v/>
      </c>
      <c r="B2860" s="2" t="n">
        <v>43179.80917824074</v>
      </c>
      <c r="C2860" t="n">
        <v>0</v>
      </c>
      <c r="D2860" t="n">
        <v>6</v>
      </c>
      <c r="E2860" t="s">
        <v>2871</v>
      </c>
      <c r="F2860">
        <f>HYPERLINK("http://pbs.twimg.com/media/DYv_hDBX0AA-P2X.jpg", "http://pbs.twimg.com/media/DYv_hDBX0AA-P2X.jpg")</f>
        <v/>
      </c>
      <c r="G2860" t="s"/>
      <c r="H2860" t="s"/>
      <c r="I2860" t="s"/>
      <c r="J2860" t="n">
        <v>0</v>
      </c>
      <c r="K2860" t="n">
        <v>0</v>
      </c>
      <c r="L2860" t="n">
        <v>1</v>
      </c>
      <c r="M2860" t="n">
        <v>0</v>
      </c>
    </row>
    <row r="2861" spans="1:13">
      <c r="A2861" s="1">
        <f>HYPERLINK("http://www.twitter.com/NathanBLawrence/status/976177055493738496", "976177055493738496")</f>
        <v/>
      </c>
      <c r="B2861" s="2" t="n">
        <v>43179.80695601852</v>
      </c>
      <c r="C2861" t="n">
        <v>0</v>
      </c>
      <c r="D2861" t="n">
        <v>0</v>
      </c>
      <c r="E2861" t="s">
        <v>2872</v>
      </c>
      <c r="F2861" t="s"/>
      <c r="G2861" t="s"/>
      <c r="H2861" t="s"/>
      <c r="I2861" t="s"/>
      <c r="J2861" t="n">
        <v>-0.5984</v>
      </c>
      <c r="K2861" t="n">
        <v>0.273</v>
      </c>
      <c r="L2861" t="n">
        <v>0.727</v>
      </c>
      <c r="M2861" t="n">
        <v>0</v>
      </c>
    </row>
    <row r="2862" spans="1:13">
      <c r="A2862" s="1">
        <f>HYPERLINK("http://www.twitter.com/NathanBLawrence/status/976160880810446849", "976160880810446849")</f>
        <v/>
      </c>
      <c r="B2862" s="2" t="n">
        <v>43179.76231481481</v>
      </c>
      <c r="C2862" t="n">
        <v>0</v>
      </c>
      <c r="D2862" t="n">
        <v>0</v>
      </c>
      <c r="E2862" t="s">
        <v>2873</v>
      </c>
      <c r="F2862" t="s"/>
      <c r="G2862" t="s"/>
      <c r="H2862" t="s"/>
      <c r="I2862" t="s"/>
      <c r="J2862" t="n">
        <v>0</v>
      </c>
      <c r="K2862" t="n">
        <v>0</v>
      </c>
      <c r="L2862" t="n">
        <v>1</v>
      </c>
      <c r="M2862" t="n">
        <v>0</v>
      </c>
    </row>
    <row r="2863" spans="1:13">
      <c r="A2863" s="1">
        <f>HYPERLINK("http://www.twitter.com/NathanBLawrence/status/976160527096467458", "976160527096467458")</f>
        <v/>
      </c>
      <c r="B2863" s="2" t="n">
        <v>43179.7613425926</v>
      </c>
      <c r="C2863" t="n">
        <v>1</v>
      </c>
      <c r="D2863" t="n">
        <v>0</v>
      </c>
      <c r="E2863" t="s">
        <v>2874</v>
      </c>
      <c r="F2863" t="s"/>
      <c r="G2863" t="s"/>
      <c r="H2863" t="s"/>
      <c r="I2863" t="s"/>
      <c r="J2863" t="n">
        <v>0</v>
      </c>
      <c r="K2863" t="n">
        <v>0</v>
      </c>
      <c r="L2863" t="n">
        <v>1</v>
      </c>
      <c r="M2863" t="n">
        <v>0</v>
      </c>
    </row>
    <row r="2864" spans="1:13">
      <c r="A2864" s="1">
        <f>HYPERLINK("http://www.twitter.com/NathanBLawrence/status/976147744627838980", "976147744627838980")</f>
        <v/>
      </c>
      <c r="B2864" s="2" t="n">
        <v>43179.72606481481</v>
      </c>
      <c r="C2864" t="n">
        <v>0</v>
      </c>
      <c r="D2864" t="n">
        <v>516</v>
      </c>
      <c r="E2864" t="s">
        <v>2875</v>
      </c>
      <c r="F2864" t="s"/>
      <c r="G2864" t="s"/>
      <c r="H2864" t="s"/>
      <c r="I2864" t="s"/>
      <c r="J2864" t="n">
        <v>0</v>
      </c>
      <c r="K2864" t="n">
        <v>0.124</v>
      </c>
      <c r="L2864" t="n">
        <v>0.752</v>
      </c>
      <c r="M2864" t="n">
        <v>0.124</v>
      </c>
    </row>
    <row r="2865" spans="1:13">
      <c r="A2865" s="1">
        <f>HYPERLINK("http://www.twitter.com/NathanBLawrence/status/976100530199171074", "976100530199171074")</f>
        <v/>
      </c>
      <c r="B2865" s="2" t="n">
        <v>43179.59578703704</v>
      </c>
      <c r="C2865" t="n">
        <v>0</v>
      </c>
      <c r="D2865" t="n">
        <v>0</v>
      </c>
      <c r="E2865" t="s">
        <v>2876</v>
      </c>
      <c r="F2865" t="s"/>
      <c r="G2865" t="s"/>
      <c r="H2865" t="s"/>
      <c r="I2865" t="s"/>
      <c r="J2865" t="n">
        <v>-0.6486</v>
      </c>
      <c r="K2865" t="n">
        <v>0.381</v>
      </c>
      <c r="L2865" t="n">
        <v>0.619</v>
      </c>
      <c r="M2865" t="n">
        <v>0</v>
      </c>
    </row>
    <row r="2866" spans="1:13">
      <c r="A2866" s="1">
        <f>HYPERLINK("http://www.twitter.com/NathanBLawrence/status/976100309545123840", "976100309545123840")</f>
        <v/>
      </c>
      <c r="B2866" s="2" t="n">
        <v>43179.59517361111</v>
      </c>
      <c r="C2866" t="n">
        <v>0</v>
      </c>
      <c r="D2866" t="n">
        <v>0</v>
      </c>
      <c r="E2866" t="s">
        <v>2877</v>
      </c>
      <c r="F2866" t="s"/>
      <c r="G2866" t="s"/>
      <c r="H2866" t="s"/>
      <c r="I2866" t="s"/>
      <c r="J2866" t="n">
        <v>0</v>
      </c>
      <c r="K2866" t="n">
        <v>0</v>
      </c>
      <c r="L2866" t="n">
        <v>1</v>
      </c>
      <c r="M2866" t="n">
        <v>0</v>
      </c>
    </row>
    <row r="2867" spans="1:13">
      <c r="A2867" s="1">
        <f>HYPERLINK("http://www.twitter.com/NathanBLawrence/status/976093761636847616", "976093761636847616")</f>
        <v/>
      </c>
      <c r="B2867" s="2" t="n">
        <v>43179.57710648148</v>
      </c>
      <c r="C2867" t="n">
        <v>0</v>
      </c>
      <c r="D2867" t="n">
        <v>4</v>
      </c>
      <c r="E2867" t="s">
        <v>2878</v>
      </c>
      <c r="F2867" t="s"/>
      <c r="G2867" t="s"/>
      <c r="H2867" t="s"/>
      <c r="I2867" t="s"/>
      <c r="J2867" t="n">
        <v>0</v>
      </c>
      <c r="K2867" t="n">
        <v>0</v>
      </c>
      <c r="L2867" t="n">
        <v>1</v>
      </c>
      <c r="M2867" t="n">
        <v>0</v>
      </c>
    </row>
    <row r="2868" spans="1:13">
      <c r="A2868" s="1">
        <f>HYPERLINK("http://www.twitter.com/NathanBLawrence/status/976093731429453824", "976093731429453824")</f>
        <v/>
      </c>
      <c r="B2868" s="2" t="n">
        <v>43179.57702546296</v>
      </c>
      <c r="C2868" t="n">
        <v>1</v>
      </c>
      <c r="D2868" t="n">
        <v>0</v>
      </c>
      <c r="E2868" t="s">
        <v>2879</v>
      </c>
      <c r="F2868" t="s"/>
      <c r="G2868" t="s"/>
      <c r="H2868" t="s"/>
      <c r="I2868" t="s"/>
      <c r="J2868" t="n">
        <v>-0.3612</v>
      </c>
      <c r="K2868" t="n">
        <v>0.455</v>
      </c>
      <c r="L2868" t="n">
        <v>0.545</v>
      </c>
      <c r="M2868" t="n">
        <v>0</v>
      </c>
    </row>
    <row r="2869" spans="1:13">
      <c r="A2869" s="1">
        <f>HYPERLINK("http://www.twitter.com/NathanBLawrence/status/976090737572970496", "976090737572970496")</f>
        <v/>
      </c>
      <c r="B2869" s="2" t="n">
        <v>43179.56876157408</v>
      </c>
      <c r="C2869" t="n">
        <v>0</v>
      </c>
      <c r="D2869" t="n">
        <v>0</v>
      </c>
      <c r="E2869" t="s">
        <v>2880</v>
      </c>
      <c r="F2869" t="s"/>
      <c r="G2869" t="s"/>
      <c r="H2869" t="s"/>
      <c r="I2869" t="s"/>
      <c r="J2869" t="n">
        <v>-0.4939</v>
      </c>
      <c r="K2869" t="n">
        <v>0.122</v>
      </c>
      <c r="L2869" t="n">
        <v>0.878</v>
      </c>
      <c r="M2869" t="n">
        <v>0</v>
      </c>
    </row>
    <row r="2870" spans="1:13">
      <c r="A2870" s="1">
        <f>HYPERLINK("http://www.twitter.com/NathanBLawrence/status/976082433723588608", "976082433723588608")</f>
        <v/>
      </c>
      <c r="B2870" s="2" t="n">
        <v>43179.54584490741</v>
      </c>
      <c r="C2870" t="n">
        <v>3</v>
      </c>
      <c r="D2870" t="n">
        <v>1</v>
      </c>
      <c r="E2870" t="s">
        <v>2881</v>
      </c>
      <c r="F2870" t="s"/>
      <c r="G2870" t="s"/>
      <c r="H2870" t="s"/>
      <c r="I2870" t="s"/>
      <c r="J2870" t="n">
        <v>0.3612</v>
      </c>
      <c r="K2870" t="n">
        <v>0</v>
      </c>
      <c r="L2870" t="n">
        <v>0.667</v>
      </c>
      <c r="M2870" t="n">
        <v>0.333</v>
      </c>
    </row>
    <row r="2871" spans="1:13">
      <c r="A2871" s="1">
        <f>HYPERLINK("http://www.twitter.com/NathanBLawrence/status/976082275124367361", "976082275124367361")</f>
        <v/>
      </c>
      <c r="B2871" s="2" t="n">
        <v>43179.54540509259</v>
      </c>
      <c r="C2871" t="n">
        <v>1</v>
      </c>
      <c r="D2871" t="n">
        <v>0</v>
      </c>
      <c r="E2871" t="s">
        <v>2882</v>
      </c>
      <c r="F2871" t="s"/>
      <c r="G2871" t="s"/>
      <c r="H2871" t="s"/>
      <c r="I2871" t="s"/>
      <c r="J2871" t="n">
        <v>0</v>
      </c>
      <c r="K2871" t="n">
        <v>0</v>
      </c>
      <c r="L2871" t="n">
        <v>1</v>
      </c>
      <c r="M2871" t="n">
        <v>0</v>
      </c>
    </row>
    <row r="2872" spans="1:13">
      <c r="A2872" s="1">
        <f>HYPERLINK("http://www.twitter.com/NathanBLawrence/status/976081363777531905", "976081363777531905")</f>
        <v/>
      </c>
      <c r="B2872" s="2" t="n">
        <v>43179.54289351852</v>
      </c>
      <c r="C2872" t="n">
        <v>0</v>
      </c>
      <c r="D2872" t="n">
        <v>1534</v>
      </c>
      <c r="E2872" t="s">
        <v>2883</v>
      </c>
      <c r="F2872">
        <f>HYPERLINK("http://pbs.twimg.com/media/DYsQ_VDUQAANQ30.jpg", "http://pbs.twimg.com/media/DYsQ_VDUQAANQ30.jpg")</f>
        <v/>
      </c>
      <c r="G2872" t="s"/>
      <c r="H2872" t="s"/>
      <c r="I2872" t="s"/>
      <c r="J2872" t="n">
        <v>0.5859</v>
      </c>
      <c r="K2872" t="n">
        <v>0</v>
      </c>
      <c r="L2872" t="n">
        <v>0.853</v>
      </c>
      <c r="M2872" t="n">
        <v>0.147</v>
      </c>
    </row>
    <row r="2873" spans="1:13">
      <c r="A2873" s="1">
        <f>HYPERLINK("http://www.twitter.com/NathanBLawrence/status/976080813098971136", "976080813098971136")</f>
        <v/>
      </c>
      <c r="B2873" s="2" t="n">
        <v>43179.54137731482</v>
      </c>
      <c r="C2873" t="n">
        <v>0</v>
      </c>
      <c r="D2873" t="n">
        <v>7612</v>
      </c>
      <c r="E2873" t="s">
        <v>2884</v>
      </c>
      <c r="F2873" t="s"/>
      <c r="G2873" t="s"/>
      <c r="H2873" t="s"/>
      <c r="I2873" t="s"/>
      <c r="J2873" t="n">
        <v>-0.34</v>
      </c>
      <c r="K2873" t="n">
        <v>0.094</v>
      </c>
      <c r="L2873" t="n">
        <v>0.906</v>
      </c>
      <c r="M2873" t="n">
        <v>0</v>
      </c>
    </row>
    <row r="2874" spans="1:13">
      <c r="A2874" s="1">
        <f>HYPERLINK("http://www.twitter.com/NathanBLawrence/status/976080702033879040", "976080702033879040")</f>
        <v/>
      </c>
      <c r="B2874" s="2" t="n">
        <v>43179.54106481482</v>
      </c>
      <c r="C2874" t="n">
        <v>0</v>
      </c>
      <c r="D2874" t="n">
        <v>0</v>
      </c>
      <c r="E2874" t="s">
        <v>2885</v>
      </c>
      <c r="F2874" t="s"/>
      <c r="G2874" t="s"/>
      <c r="H2874" t="s"/>
      <c r="I2874" t="s"/>
      <c r="J2874" t="n">
        <v>-0.8779</v>
      </c>
      <c r="K2874" t="n">
        <v>0.669</v>
      </c>
      <c r="L2874" t="n">
        <v>0.331</v>
      </c>
      <c r="M2874" t="n">
        <v>0</v>
      </c>
    </row>
    <row r="2875" spans="1:13">
      <c r="A2875" s="1">
        <f>HYPERLINK("http://www.twitter.com/NathanBLawrence/status/976080562745217024", "976080562745217024")</f>
        <v/>
      </c>
      <c r="B2875" s="2" t="n">
        <v>43179.54068287037</v>
      </c>
      <c r="C2875" t="n">
        <v>0</v>
      </c>
      <c r="D2875" t="n">
        <v>19</v>
      </c>
      <c r="E2875" t="s">
        <v>2886</v>
      </c>
      <c r="F2875">
        <f>HYPERLINK("http://pbs.twimg.com/media/DYtMLlxV4AAOH1n.jpg", "http://pbs.twimg.com/media/DYtMLlxV4AAOH1n.jpg")</f>
        <v/>
      </c>
      <c r="G2875" t="s"/>
      <c r="H2875" t="s"/>
      <c r="I2875" t="s"/>
      <c r="J2875" t="n">
        <v>-0.1027</v>
      </c>
      <c r="K2875" t="n">
        <v>0.129</v>
      </c>
      <c r="L2875" t="n">
        <v>0.762</v>
      </c>
      <c r="M2875" t="n">
        <v>0.11</v>
      </c>
    </row>
    <row r="2876" spans="1:13">
      <c r="A2876" s="1">
        <f>HYPERLINK("http://www.twitter.com/NathanBLawrence/status/976080486685642752", "976080486685642752")</f>
        <v/>
      </c>
      <c r="B2876" s="2" t="n">
        <v>43179.54047453704</v>
      </c>
      <c r="C2876" t="n">
        <v>0</v>
      </c>
      <c r="D2876" t="n">
        <v>0</v>
      </c>
      <c r="E2876" t="s">
        <v>2887</v>
      </c>
      <c r="F2876" t="s"/>
      <c r="G2876" t="s"/>
      <c r="H2876" t="s"/>
      <c r="I2876" t="s"/>
      <c r="J2876" t="n">
        <v>0.1759</v>
      </c>
      <c r="K2876" t="n">
        <v>0.055</v>
      </c>
      <c r="L2876" t="n">
        <v>0.874</v>
      </c>
      <c r="M2876" t="n">
        <v>0.07099999999999999</v>
      </c>
    </row>
    <row r="2877" spans="1:13">
      <c r="A2877" s="1">
        <f>HYPERLINK("http://www.twitter.com/NathanBLawrence/status/976079348770930688", "976079348770930688")</f>
        <v/>
      </c>
      <c r="B2877" s="2" t="n">
        <v>43179.53733796296</v>
      </c>
      <c r="C2877" t="n">
        <v>0</v>
      </c>
      <c r="D2877" t="n">
        <v>0</v>
      </c>
      <c r="E2877" t="s">
        <v>2888</v>
      </c>
      <c r="F2877" t="s"/>
      <c r="G2877" t="s"/>
      <c r="H2877" t="s"/>
      <c r="I2877" t="s"/>
      <c r="J2877" t="n">
        <v>0</v>
      </c>
      <c r="K2877" t="n">
        <v>0</v>
      </c>
      <c r="L2877" t="n">
        <v>1</v>
      </c>
      <c r="M2877" t="n">
        <v>0</v>
      </c>
    </row>
    <row r="2878" spans="1:13">
      <c r="A2878" s="1">
        <f>HYPERLINK("http://www.twitter.com/NathanBLawrence/status/976078963750637570", "976078963750637570")</f>
        <v/>
      </c>
      <c r="B2878" s="2" t="n">
        <v>43179.53627314815</v>
      </c>
      <c r="C2878" t="n">
        <v>3</v>
      </c>
      <c r="D2878" t="n">
        <v>1</v>
      </c>
      <c r="E2878" t="s">
        <v>2889</v>
      </c>
      <c r="F2878" t="s"/>
      <c r="G2878" t="s"/>
      <c r="H2878" t="s"/>
      <c r="I2878" t="s"/>
      <c r="J2878" t="n">
        <v>-0.0857</v>
      </c>
      <c r="K2878" t="n">
        <v>0.111</v>
      </c>
      <c r="L2878" t="n">
        <v>0.789</v>
      </c>
      <c r="M2878" t="n">
        <v>0.1</v>
      </c>
    </row>
    <row r="2879" spans="1:13">
      <c r="A2879" s="1">
        <f>HYPERLINK("http://www.twitter.com/NathanBLawrence/status/976076473273643008", "976076473273643008")</f>
        <v/>
      </c>
      <c r="B2879" s="2" t="n">
        <v>43179.52939814814</v>
      </c>
      <c r="C2879" t="n">
        <v>1</v>
      </c>
      <c r="D2879" t="n">
        <v>0</v>
      </c>
      <c r="E2879" t="s">
        <v>2890</v>
      </c>
      <c r="F2879">
        <f>HYPERLINK("http://pbs.twimg.com/media/DYu4XuiU8AATUFs.jpg", "http://pbs.twimg.com/media/DYu4XuiU8AATUFs.jpg")</f>
        <v/>
      </c>
      <c r="G2879" t="s"/>
      <c r="H2879" t="s"/>
      <c r="I2879" t="s"/>
      <c r="J2879" t="n">
        <v>0.4902</v>
      </c>
      <c r="K2879" t="n">
        <v>0</v>
      </c>
      <c r="L2879" t="n">
        <v>0.6879999999999999</v>
      </c>
      <c r="M2879" t="n">
        <v>0.312</v>
      </c>
    </row>
    <row r="2880" spans="1:13">
      <c r="A2880" s="1">
        <f>HYPERLINK("http://www.twitter.com/NathanBLawrence/status/976075488551727104", "976075488551727104")</f>
        <v/>
      </c>
      <c r="B2880" s="2" t="n">
        <v>43179.52667824074</v>
      </c>
      <c r="C2880" t="n">
        <v>0</v>
      </c>
      <c r="D2880" t="n">
        <v>0</v>
      </c>
      <c r="E2880" t="s">
        <v>2891</v>
      </c>
      <c r="F2880">
        <f>HYPERLINK("http://pbs.twimg.com/media/DYu3Y3fU0AEVzvA.jpg", "http://pbs.twimg.com/media/DYu3Y3fU0AEVzvA.jpg")</f>
        <v/>
      </c>
      <c r="G2880" t="s"/>
      <c r="H2880" t="s"/>
      <c r="I2880" t="s"/>
      <c r="J2880" t="n">
        <v>0.4588</v>
      </c>
      <c r="K2880" t="n">
        <v>0</v>
      </c>
      <c r="L2880" t="n">
        <v>0.625</v>
      </c>
      <c r="M2880" t="n">
        <v>0.375</v>
      </c>
    </row>
    <row r="2881" spans="1:13">
      <c r="A2881" s="1">
        <f>HYPERLINK("http://www.twitter.com/NathanBLawrence/status/976074946425257984", "976074946425257984")</f>
        <v/>
      </c>
      <c r="B2881" s="2" t="n">
        <v>43179.52518518519</v>
      </c>
      <c r="C2881" t="n">
        <v>0</v>
      </c>
      <c r="D2881" t="n">
        <v>0</v>
      </c>
      <c r="E2881" t="s">
        <v>2892</v>
      </c>
      <c r="F2881">
        <f>HYPERLINK("http://pbs.twimg.com/media/DYu2-_2VMAM_24a.jpg", "http://pbs.twimg.com/media/DYu2-_2VMAM_24a.jpg")</f>
        <v/>
      </c>
      <c r="G2881" t="s"/>
      <c r="H2881" t="s"/>
      <c r="I2881" t="s"/>
      <c r="J2881" t="n">
        <v>0</v>
      </c>
      <c r="K2881" t="n">
        <v>0</v>
      </c>
      <c r="L2881" t="n">
        <v>1</v>
      </c>
      <c r="M2881" t="n">
        <v>0</v>
      </c>
    </row>
    <row r="2882" spans="1:13">
      <c r="A2882" s="1">
        <f>HYPERLINK("http://www.twitter.com/NathanBLawrence/status/976073096443629568", "976073096443629568")</f>
        <v/>
      </c>
      <c r="B2882" s="2" t="n">
        <v>43179.52008101852</v>
      </c>
      <c r="C2882" t="n">
        <v>0</v>
      </c>
      <c r="D2882" t="n">
        <v>0</v>
      </c>
      <c r="E2882" t="s">
        <v>2893</v>
      </c>
      <c r="F2882">
        <f>HYPERLINK("http://pbs.twimg.com/media/DYu1S4TU8AcG3nc.jpg", "http://pbs.twimg.com/media/DYu1S4TU8AcG3nc.jpg")</f>
        <v/>
      </c>
      <c r="G2882" t="s"/>
      <c r="H2882" t="s"/>
      <c r="I2882" t="s"/>
      <c r="J2882" t="n">
        <v>0.4144</v>
      </c>
      <c r="K2882" t="n">
        <v>0</v>
      </c>
      <c r="L2882" t="n">
        <v>0.644</v>
      </c>
      <c r="M2882" t="n">
        <v>0.356</v>
      </c>
    </row>
    <row r="2883" spans="1:13">
      <c r="A2883" s="1">
        <f>HYPERLINK("http://www.twitter.com/NathanBLawrence/status/976062893417484288", "976062893417484288")</f>
        <v/>
      </c>
      <c r="B2883" s="2" t="n">
        <v>43179.4919212963</v>
      </c>
      <c r="C2883" t="n">
        <v>0</v>
      </c>
      <c r="D2883" t="n">
        <v>0</v>
      </c>
      <c r="E2883" t="s">
        <v>2894</v>
      </c>
      <c r="F2883" t="s"/>
      <c r="G2883" t="s"/>
      <c r="H2883" t="s"/>
      <c r="I2883" t="s"/>
      <c r="J2883" t="n">
        <v>0.4941</v>
      </c>
      <c r="K2883" t="n">
        <v>0.275</v>
      </c>
      <c r="L2883" t="n">
        <v>0.375</v>
      </c>
      <c r="M2883" t="n">
        <v>0.35</v>
      </c>
    </row>
    <row r="2884" spans="1:13">
      <c r="A2884" s="1">
        <f>HYPERLINK("http://www.twitter.com/NathanBLawrence/status/976060816452616192", "976060816452616192")</f>
        <v/>
      </c>
      <c r="B2884" s="2" t="n">
        <v>43179.48619212963</v>
      </c>
      <c r="C2884" t="n">
        <v>3</v>
      </c>
      <c r="D2884" t="n">
        <v>2</v>
      </c>
      <c r="E2884" t="s">
        <v>2895</v>
      </c>
      <c r="F2884" t="s"/>
      <c r="G2884" t="s"/>
      <c r="H2884" t="s"/>
      <c r="I2884" t="s"/>
      <c r="J2884" t="n">
        <v>0</v>
      </c>
      <c r="K2884" t="n">
        <v>0</v>
      </c>
      <c r="L2884" t="n">
        <v>1</v>
      </c>
      <c r="M2884" t="n">
        <v>0</v>
      </c>
    </row>
    <row r="2885" spans="1:13">
      <c r="A2885" s="1">
        <f>HYPERLINK("http://www.twitter.com/NathanBLawrence/status/976059852861698048", "976059852861698048")</f>
        <v/>
      </c>
      <c r="B2885" s="2" t="n">
        <v>43179.48353009259</v>
      </c>
      <c r="C2885" t="n">
        <v>0</v>
      </c>
      <c r="D2885" t="n">
        <v>0</v>
      </c>
      <c r="E2885" t="s">
        <v>2896</v>
      </c>
      <c r="F2885" t="s"/>
      <c r="G2885" t="s"/>
      <c r="H2885" t="s"/>
      <c r="I2885" t="s"/>
      <c r="J2885" t="n">
        <v>0.6696</v>
      </c>
      <c r="K2885" t="n">
        <v>0</v>
      </c>
      <c r="L2885" t="n">
        <v>0.6899999999999999</v>
      </c>
      <c r="M2885" t="n">
        <v>0.31</v>
      </c>
    </row>
    <row r="2886" spans="1:13">
      <c r="A2886" s="1">
        <f>HYPERLINK("http://www.twitter.com/NathanBLawrence/status/976058859851800581", "976058859851800581")</f>
        <v/>
      </c>
      <c r="B2886" s="2" t="n">
        <v>43179.48079861111</v>
      </c>
      <c r="C2886" t="n">
        <v>0</v>
      </c>
      <c r="D2886" t="n">
        <v>284</v>
      </c>
      <c r="E2886" t="s">
        <v>2897</v>
      </c>
      <c r="F2886">
        <f>HYPERLINK("http://pbs.twimg.com/media/DYuZl4IVAAEAgTz.jpg", "http://pbs.twimg.com/media/DYuZl4IVAAEAgTz.jpg")</f>
        <v/>
      </c>
      <c r="G2886" t="s"/>
      <c r="H2886" t="s"/>
      <c r="I2886" t="s"/>
      <c r="J2886" t="n">
        <v>0.886</v>
      </c>
      <c r="K2886" t="n">
        <v>0.104</v>
      </c>
      <c r="L2886" t="n">
        <v>0.422</v>
      </c>
      <c r="M2886" t="n">
        <v>0.474</v>
      </c>
    </row>
    <row r="2887" spans="1:13">
      <c r="A2887" s="1">
        <f>HYPERLINK("http://www.twitter.com/NathanBLawrence/status/976058822556037121", "976058822556037121")</f>
        <v/>
      </c>
      <c r="B2887" s="2" t="n">
        <v>43179.48069444444</v>
      </c>
      <c r="C2887" t="n">
        <v>0</v>
      </c>
      <c r="D2887" t="n">
        <v>2590</v>
      </c>
      <c r="E2887" t="s">
        <v>2898</v>
      </c>
      <c r="F2887" t="s"/>
      <c r="G2887" t="s"/>
      <c r="H2887" t="s"/>
      <c r="I2887" t="s"/>
      <c r="J2887" t="n">
        <v>0.5994</v>
      </c>
      <c r="K2887" t="n">
        <v>0.183</v>
      </c>
      <c r="L2887" t="n">
        <v>0.493</v>
      </c>
      <c r="M2887" t="n">
        <v>0.325</v>
      </c>
    </row>
    <row r="2888" spans="1:13">
      <c r="A2888" s="1">
        <f>HYPERLINK("http://www.twitter.com/NathanBLawrence/status/976058623985102848", "976058623985102848")</f>
        <v/>
      </c>
      <c r="B2888" s="2" t="n">
        <v>43179.48013888889</v>
      </c>
      <c r="C2888" t="n">
        <v>0</v>
      </c>
      <c r="D2888" t="n">
        <v>1</v>
      </c>
      <c r="E2888" t="s">
        <v>2899</v>
      </c>
      <c r="F2888" t="s"/>
      <c r="G2888" t="s"/>
      <c r="H2888" t="s"/>
      <c r="I2888" t="s"/>
      <c r="J2888" t="n">
        <v>0.3818</v>
      </c>
      <c r="K2888" t="n">
        <v>0</v>
      </c>
      <c r="L2888" t="n">
        <v>0.755</v>
      </c>
      <c r="M2888" t="n">
        <v>0.245</v>
      </c>
    </row>
    <row r="2889" spans="1:13">
      <c r="A2889" s="1">
        <f>HYPERLINK("http://www.twitter.com/NathanBLawrence/status/976056909827661824", "976056909827661824")</f>
        <v/>
      </c>
      <c r="B2889" s="2" t="n">
        <v>43179.47541666667</v>
      </c>
      <c r="C2889" t="n">
        <v>0</v>
      </c>
      <c r="D2889" t="n">
        <v>136</v>
      </c>
      <c r="E2889" t="s">
        <v>2900</v>
      </c>
      <c r="F2889" t="s"/>
      <c r="G2889" t="s"/>
      <c r="H2889" t="s"/>
      <c r="I2889" t="s"/>
      <c r="J2889" t="n">
        <v>-0.5106000000000001</v>
      </c>
      <c r="K2889" t="n">
        <v>0.142</v>
      </c>
      <c r="L2889" t="n">
        <v>0.858</v>
      </c>
      <c r="M2889" t="n">
        <v>0</v>
      </c>
    </row>
    <row r="2890" spans="1:13">
      <c r="A2890" s="1">
        <f>HYPERLINK("http://www.twitter.com/NathanBLawrence/status/976056736078618624", "976056736078618624")</f>
        <v/>
      </c>
      <c r="B2890" s="2" t="n">
        <v>43179.47493055555</v>
      </c>
      <c r="C2890" t="n">
        <v>0</v>
      </c>
      <c r="D2890" t="n">
        <v>0</v>
      </c>
      <c r="E2890" t="s">
        <v>2901</v>
      </c>
      <c r="F2890" t="s"/>
      <c r="G2890" t="s"/>
      <c r="H2890" t="s"/>
      <c r="I2890" t="s"/>
      <c r="J2890" t="n">
        <v>0</v>
      </c>
      <c r="K2890" t="n">
        <v>0</v>
      </c>
      <c r="L2890" t="n">
        <v>1</v>
      </c>
      <c r="M2890" t="n">
        <v>0</v>
      </c>
    </row>
    <row r="2891" spans="1:13">
      <c r="A2891" s="1">
        <f>HYPERLINK("http://www.twitter.com/NathanBLawrence/status/976055283628863493", "976055283628863493")</f>
        <v/>
      </c>
      <c r="B2891" s="2" t="n">
        <v>43179.47092592593</v>
      </c>
      <c r="C2891" t="n">
        <v>6</v>
      </c>
      <c r="D2891" t="n">
        <v>1</v>
      </c>
      <c r="E2891" t="s">
        <v>2902</v>
      </c>
      <c r="F2891">
        <f>HYPERLINK("http://pbs.twimg.com/media/DYulGcrU8AAr44z.jpg", "http://pbs.twimg.com/media/DYulGcrU8AAr44z.jpg")</f>
        <v/>
      </c>
      <c r="G2891" t="s"/>
      <c r="H2891" t="s"/>
      <c r="I2891" t="s"/>
      <c r="J2891" t="n">
        <v>0</v>
      </c>
      <c r="K2891" t="n">
        <v>0</v>
      </c>
      <c r="L2891" t="n">
        <v>1</v>
      </c>
      <c r="M2891" t="n">
        <v>0</v>
      </c>
    </row>
    <row r="2892" spans="1:13">
      <c r="A2892" s="1">
        <f>HYPERLINK("http://www.twitter.com/NathanBLawrence/status/975935154979004418", "975935154979004418")</f>
        <v/>
      </c>
      <c r="B2892" s="2" t="n">
        <v>43179.13943287037</v>
      </c>
      <c r="C2892" t="n">
        <v>1</v>
      </c>
      <c r="D2892" t="n">
        <v>0</v>
      </c>
      <c r="E2892" t="s">
        <v>2903</v>
      </c>
      <c r="F2892" t="s"/>
      <c r="G2892" t="s"/>
      <c r="H2892" t="s"/>
      <c r="I2892" t="s"/>
      <c r="J2892" t="n">
        <v>0</v>
      </c>
      <c r="K2892" t="n">
        <v>0</v>
      </c>
      <c r="L2892" t="n">
        <v>1</v>
      </c>
      <c r="M2892" t="n">
        <v>0</v>
      </c>
    </row>
    <row r="2893" spans="1:13">
      <c r="A2893" s="1">
        <f>HYPERLINK("http://www.twitter.com/NathanBLawrence/status/975913637973053440", "975913637973053440")</f>
        <v/>
      </c>
      <c r="B2893" s="2" t="n">
        <v>43179.08005787037</v>
      </c>
      <c r="C2893" t="n">
        <v>1</v>
      </c>
      <c r="D2893" t="n">
        <v>0</v>
      </c>
      <c r="E2893" t="s">
        <v>2904</v>
      </c>
      <c r="F2893" t="s"/>
      <c r="G2893" t="s"/>
      <c r="H2893" t="s"/>
      <c r="I2893" t="s"/>
      <c r="J2893" t="n">
        <v>0.3182</v>
      </c>
      <c r="K2893" t="n">
        <v>0</v>
      </c>
      <c r="L2893" t="n">
        <v>0.635</v>
      </c>
      <c r="M2893" t="n">
        <v>0.365</v>
      </c>
    </row>
    <row r="2894" spans="1:13">
      <c r="A2894" s="1">
        <f>HYPERLINK("http://www.twitter.com/NathanBLawrence/status/975910555532910597", "975910555532910597")</f>
        <v/>
      </c>
      <c r="B2894" s="2" t="n">
        <v>43179.07155092592</v>
      </c>
      <c r="C2894" t="n">
        <v>0</v>
      </c>
      <c r="D2894" t="n">
        <v>3</v>
      </c>
      <c r="E2894" t="s">
        <v>2905</v>
      </c>
      <c r="F2894">
        <f>HYPERLINK("http://pbs.twimg.com/media/CmLIvWpWYAA1UsZ.jpg", "http://pbs.twimg.com/media/CmLIvWpWYAA1UsZ.jpg")</f>
        <v/>
      </c>
      <c r="G2894" t="s"/>
      <c r="H2894" t="s"/>
      <c r="I2894" t="s"/>
      <c r="J2894" t="n">
        <v>0</v>
      </c>
      <c r="K2894" t="n">
        <v>0</v>
      </c>
      <c r="L2894" t="n">
        <v>1</v>
      </c>
      <c r="M2894" t="n">
        <v>0</v>
      </c>
    </row>
    <row r="2895" spans="1:13">
      <c r="A2895" s="1">
        <f>HYPERLINK("http://www.twitter.com/NathanBLawrence/status/975910281737113600", "975910281737113600")</f>
        <v/>
      </c>
      <c r="B2895" s="2" t="n">
        <v>43179.07079861111</v>
      </c>
      <c r="C2895" t="n">
        <v>1</v>
      </c>
      <c r="D2895" t="n">
        <v>0</v>
      </c>
      <c r="E2895" t="s">
        <v>2906</v>
      </c>
      <c r="F2895" t="s"/>
      <c r="G2895" t="s"/>
      <c r="H2895" t="s"/>
      <c r="I2895" t="s"/>
      <c r="J2895" t="n">
        <v>0</v>
      </c>
      <c r="K2895" t="n">
        <v>0</v>
      </c>
      <c r="L2895" t="n">
        <v>1</v>
      </c>
      <c r="M2895" t="n">
        <v>0</v>
      </c>
    </row>
    <row r="2896" spans="1:13">
      <c r="A2896" s="1">
        <f>HYPERLINK("http://www.twitter.com/NathanBLawrence/status/975901240671571969", "975901240671571969")</f>
        <v/>
      </c>
      <c r="B2896" s="2" t="n">
        <v>43179.04584490741</v>
      </c>
      <c r="C2896" t="n">
        <v>1</v>
      </c>
      <c r="D2896" t="n">
        <v>0</v>
      </c>
      <c r="E2896" t="s">
        <v>2907</v>
      </c>
      <c r="F2896" t="s"/>
      <c r="G2896" t="s"/>
      <c r="H2896" t="s"/>
      <c r="I2896" t="s"/>
      <c r="J2896" t="n">
        <v>0</v>
      </c>
      <c r="K2896" t="n">
        <v>0</v>
      </c>
      <c r="L2896" t="n">
        <v>1</v>
      </c>
      <c r="M2896" t="n">
        <v>0</v>
      </c>
    </row>
    <row r="2897" spans="1:13">
      <c r="A2897" s="1">
        <f>HYPERLINK("http://www.twitter.com/NathanBLawrence/status/975825051084783616", "975825051084783616")</f>
        <v/>
      </c>
      <c r="B2897" s="2" t="n">
        <v>43178.83560185185</v>
      </c>
      <c r="C2897" t="n">
        <v>1</v>
      </c>
      <c r="D2897" t="n">
        <v>0</v>
      </c>
      <c r="E2897" t="s">
        <v>2908</v>
      </c>
      <c r="F2897" t="s"/>
      <c r="G2897" t="s"/>
      <c r="H2897" t="s"/>
      <c r="I2897" t="s"/>
      <c r="J2897" t="n">
        <v>0.7067</v>
      </c>
      <c r="K2897" t="n">
        <v>0</v>
      </c>
      <c r="L2897" t="n">
        <v>0.451</v>
      </c>
      <c r="M2897" t="n">
        <v>0.549</v>
      </c>
    </row>
    <row r="2898" spans="1:13">
      <c r="A2898" s="1">
        <f>HYPERLINK("http://www.twitter.com/NathanBLawrence/status/975824929772965888", "975824929772965888")</f>
        <v/>
      </c>
      <c r="B2898" s="2" t="n">
        <v>43178.83526620371</v>
      </c>
      <c r="C2898" t="n">
        <v>0</v>
      </c>
      <c r="D2898" t="n">
        <v>0</v>
      </c>
      <c r="E2898" t="s">
        <v>2909</v>
      </c>
      <c r="F2898" t="s"/>
      <c r="G2898" t="s"/>
      <c r="H2898" t="s"/>
      <c r="I2898" t="s"/>
      <c r="J2898" t="n">
        <v>-0.4767</v>
      </c>
      <c r="K2898" t="n">
        <v>0.205</v>
      </c>
      <c r="L2898" t="n">
        <v>0.795</v>
      </c>
      <c r="M2898" t="n">
        <v>0</v>
      </c>
    </row>
    <row r="2899" spans="1:13">
      <c r="A2899" s="1">
        <f>HYPERLINK("http://www.twitter.com/NathanBLawrence/status/975824919031418883", "975824919031418883")</f>
        <v/>
      </c>
      <c r="B2899" s="2" t="n">
        <v>43178.83524305555</v>
      </c>
      <c r="C2899" t="n">
        <v>0</v>
      </c>
      <c r="D2899" t="n">
        <v>0</v>
      </c>
      <c r="E2899" t="s">
        <v>2910</v>
      </c>
      <c r="F2899">
        <f>HYPERLINK("http://pbs.twimg.com/media/DYrTkfWU8AA5mVb.jpg", "http://pbs.twimg.com/media/DYrTkfWU8AA5mVb.jpg")</f>
        <v/>
      </c>
      <c r="G2899" t="s"/>
      <c r="H2899" t="s"/>
      <c r="I2899" t="s"/>
      <c r="J2899" t="n">
        <v>0.6513</v>
      </c>
      <c r="K2899" t="n">
        <v>0</v>
      </c>
      <c r="L2899" t="n">
        <v>0.909</v>
      </c>
      <c r="M2899" t="n">
        <v>0.091</v>
      </c>
    </row>
    <row r="2900" spans="1:13">
      <c r="A2900" s="1">
        <f>HYPERLINK("http://www.twitter.com/NathanBLawrence/status/975824089381208066", "975824089381208066")</f>
        <v/>
      </c>
      <c r="B2900" s="2" t="n">
        <v>43178.83295138889</v>
      </c>
      <c r="C2900" t="n">
        <v>0</v>
      </c>
      <c r="D2900" t="n">
        <v>0</v>
      </c>
      <c r="E2900" t="s">
        <v>2911</v>
      </c>
      <c r="F2900">
        <f>HYPERLINK("http://pbs.twimg.com/media/DYrS1FXU0AELPTZ.jpg", "http://pbs.twimg.com/media/DYrS1FXU0AELPTZ.jpg")</f>
        <v/>
      </c>
      <c r="G2900" t="s"/>
      <c r="H2900" t="s"/>
      <c r="I2900" t="s"/>
      <c r="J2900" t="n">
        <v>0</v>
      </c>
      <c r="K2900" t="n">
        <v>0</v>
      </c>
      <c r="L2900" t="n">
        <v>1</v>
      </c>
      <c r="M2900" t="n">
        <v>0</v>
      </c>
    </row>
    <row r="2901" spans="1:13">
      <c r="A2901" s="1">
        <f>HYPERLINK("http://www.twitter.com/NathanBLawrence/status/975823906690031616", "975823906690031616")</f>
        <v/>
      </c>
      <c r="B2901" s="2" t="n">
        <v>43178.83244212963</v>
      </c>
      <c r="C2901" t="n">
        <v>0</v>
      </c>
      <c r="D2901" t="n">
        <v>0</v>
      </c>
      <c r="E2901" t="s">
        <v>2912</v>
      </c>
      <c r="F2901">
        <f>HYPERLINK("http://pbs.twimg.com/media/DYrSqiCUMAAgdqd.jpg", "http://pbs.twimg.com/media/DYrSqiCUMAAgdqd.jpg")</f>
        <v/>
      </c>
      <c r="G2901" t="s"/>
      <c r="H2901" t="s"/>
      <c r="I2901" t="s"/>
      <c r="J2901" t="n">
        <v>0.25</v>
      </c>
      <c r="K2901" t="n">
        <v>0</v>
      </c>
      <c r="L2901" t="n">
        <v>0.867</v>
      </c>
      <c r="M2901" t="n">
        <v>0.133</v>
      </c>
    </row>
    <row r="2902" spans="1:13">
      <c r="A2902" s="1">
        <f>HYPERLINK("http://www.twitter.com/NathanBLawrence/status/975820246220189696", "975820246220189696")</f>
        <v/>
      </c>
      <c r="B2902" s="2" t="n">
        <v>43178.82234953704</v>
      </c>
      <c r="C2902" t="n">
        <v>0</v>
      </c>
      <c r="D2902" t="n">
        <v>0</v>
      </c>
      <c r="E2902" t="s">
        <v>2913</v>
      </c>
      <c r="F2902" t="s"/>
      <c r="G2902" t="s"/>
      <c r="H2902" t="s"/>
      <c r="I2902" t="s"/>
      <c r="J2902" t="n">
        <v>-0.0429</v>
      </c>
      <c r="K2902" t="n">
        <v>0.092</v>
      </c>
      <c r="L2902" t="n">
        <v>0.82</v>
      </c>
      <c r="M2902" t="n">
        <v>0.08799999999999999</v>
      </c>
    </row>
    <row r="2903" spans="1:13">
      <c r="A2903" s="1">
        <f>HYPERLINK("http://www.twitter.com/NathanBLawrence/status/975819630710226944", "975819630710226944")</f>
        <v/>
      </c>
      <c r="B2903" s="2" t="n">
        <v>43178.82064814815</v>
      </c>
      <c r="C2903" t="n">
        <v>2</v>
      </c>
      <c r="D2903" t="n">
        <v>0</v>
      </c>
      <c r="E2903" t="s">
        <v>2914</v>
      </c>
      <c r="F2903" t="s"/>
      <c r="G2903" t="s"/>
      <c r="H2903" t="s"/>
      <c r="I2903" t="s"/>
      <c r="J2903" t="n">
        <v>0.4648</v>
      </c>
      <c r="K2903" t="n">
        <v>0</v>
      </c>
      <c r="L2903" t="n">
        <v>0.748</v>
      </c>
      <c r="M2903" t="n">
        <v>0.252</v>
      </c>
    </row>
    <row r="2904" spans="1:13">
      <c r="A2904" s="1">
        <f>HYPERLINK("http://www.twitter.com/NathanBLawrence/status/975819364816564225", "975819364816564225")</f>
        <v/>
      </c>
      <c r="B2904" s="2" t="n">
        <v>43178.81991898148</v>
      </c>
      <c r="C2904" t="n">
        <v>0</v>
      </c>
      <c r="D2904" t="n">
        <v>41</v>
      </c>
      <c r="E2904" t="s">
        <v>2915</v>
      </c>
      <c r="F2904" t="s"/>
      <c r="G2904" t="s"/>
      <c r="H2904" t="s"/>
      <c r="I2904" t="s"/>
      <c r="J2904" t="n">
        <v>0</v>
      </c>
      <c r="K2904" t="n">
        <v>0</v>
      </c>
      <c r="L2904" t="n">
        <v>1</v>
      </c>
      <c r="M2904" t="n">
        <v>0</v>
      </c>
    </row>
    <row r="2905" spans="1:13">
      <c r="A2905" s="1">
        <f>HYPERLINK("http://www.twitter.com/NathanBLawrence/status/975819190534856706", "975819190534856706")</f>
        <v/>
      </c>
      <c r="B2905" s="2" t="n">
        <v>43178.81943287037</v>
      </c>
      <c r="C2905" t="n">
        <v>0</v>
      </c>
      <c r="D2905" t="n">
        <v>6684</v>
      </c>
      <c r="E2905" t="s">
        <v>2916</v>
      </c>
      <c r="F2905" t="s"/>
      <c r="G2905" t="s"/>
      <c r="H2905" t="s"/>
      <c r="I2905" t="s"/>
      <c r="J2905" t="n">
        <v>0.6486</v>
      </c>
      <c r="K2905" t="n">
        <v>0.083</v>
      </c>
      <c r="L2905" t="n">
        <v>0.6929999999999999</v>
      </c>
      <c r="M2905" t="n">
        <v>0.224</v>
      </c>
    </row>
    <row r="2906" spans="1:13">
      <c r="A2906" s="1">
        <f>HYPERLINK("http://www.twitter.com/NathanBLawrence/status/975797480817381376", "975797480817381376")</f>
        <v/>
      </c>
      <c r="B2906" s="2" t="n">
        <v>43178.75952546296</v>
      </c>
      <c r="C2906" t="n">
        <v>0</v>
      </c>
      <c r="D2906" t="n">
        <v>0</v>
      </c>
      <c r="E2906" t="s">
        <v>2917</v>
      </c>
      <c r="F2906" t="s"/>
      <c r="G2906" t="s"/>
      <c r="H2906" t="s"/>
      <c r="I2906" t="s"/>
      <c r="J2906" t="n">
        <v>0.6705</v>
      </c>
      <c r="K2906" t="n">
        <v>0</v>
      </c>
      <c r="L2906" t="n">
        <v>0.766</v>
      </c>
      <c r="M2906" t="n">
        <v>0.234</v>
      </c>
    </row>
    <row r="2907" spans="1:13">
      <c r="A2907" s="1">
        <f>HYPERLINK("http://www.twitter.com/NathanBLawrence/status/975796378403295234", "975796378403295234")</f>
        <v/>
      </c>
      <c r="B2907" s="2" t="n">
        <v>43178.75648148148</v>
      </c>
      <c r="C2907" t="n">
        <v>0</v>
      </c>
      <c r="D2907" t="n">
        <v>0</v>
      </c>
      <c r="E2907" t="s">
        <v>2918</v>
      </c>
      <c r="F2907" t="s"/>
      <c r="G2907" t="s"/>
      <c r="H2907" t="s"/>
      <c r="I2907" t="s"/>
      <c r="J2907" t="n">
        <v>-0.7901</v>
      </c>
      <c r="K2907" t="n">
        <v>0.241</v>
      </c>
      <c r="L2907" t="n">
        <v>0.759</v>
      </c>
      <c r="M2907" t="n">
        <v>0</v>
      </c>
    </row>
    <row r="2908" spans="1:13">
      <c r="A2908" s="1">
        <f>HYPERLINK("http://www.twitter.com/NathanBLawrence/status/975795504561913857", "975795504561913857")</f>
        <v/>
      </c>
      <c r="B2908" s="2" t="n">
        <v>43178.75407407407</v>
      </c>
      <c r="C2908" t="n">
        <v>0</v>
      </c>
      <c r="D2908" t="n">
        <v>1305</v>
      </c>
      <c r="E2908" t="s">
        <v>2919</v>
      </c>
      <c r="F2908" t="s"/>
      <c r="G2908" t="s"/>
      <c r="H2908" t="s"/>
      <c r="I2908" t="s"/>
      <c r="J2908" t="n">
        <v>-0.7579</v>
      </c>
      <c r="K2908" t="n">
        <v>0.283</v>
      </c>
      <c r="L2908" t="n">
        <v>0.717</v>
      </c>
      <c r="M2908" t="n">
        <v>0</v>
      </c>
    </row>
    <row r="2909" spans="1:13">
      <c r="A2909" s="1">
        <f>HYPERLINK("http://www.twitter.com/NathanBLawrence/status/975795446705737728", "975795446705737728")</f>
        <v/>
      </c>
      <c r="B2909" s="2" t="n">
        <v>43178.75391203703</v>
      </c>
      <c r="C2909" t="n">
        <v>0</v>
      </c>
      <c r="D2909" t="n">
        <v>17</v>
      </c>
      <c r="E2909" t="s">
        <v>2920</v>
      </c>
      <c r="F2909" t="s"/>
      <c r="G2909" t="s"/>
      <c r="H2909" t="s"/>
      <c r="I2909" t="s"/>
      <c r="J2909" t="n">
        <v>0</v>
      </c>
      <c r="K2909" t="n">
        <v>0</v>
      </c>
      <c r="L2909" t="n">
        <v>1</v>
      </c>
      <c r="M2909" t="n">
        <v>0</v>
      </c>
    </row>
    <row r="2910" spans="1:13">
      <c r="A2910" s="1">
        <f>HYPERLINK("http://www.twitter.com/NathanBLawrence/status/975795302924980224", "975795302924980224")</f>
        <v/>
      </c>
      <c r="B2910" s="2" t="n">
        <v>43178.75351851852</v>
      </c>
      <c r="C2910" t="n">
        <v>1</v>
      </c>
      <c r="D2910" t="n">
        <v>0</v>
      </c>
      <c r="E2910" t="s">
        <v>2921</v>
      </c>
      <c r="F2910" t="s"/>
      <c r="G2910" t="s"/>
      <c r="H2910" t="s"/>
      <c r="I2910" t="s"/>
      <c r="J2910" t="n">
        <v>-0.3182</v>
      </c>
      <c r="K2910" t="n">
        <v>0.08400000000000001</v>
      </c>
      <c r="L2910" t="n">
        <v>0.916</v>
      </c>
      <c r="M2910" t="n">
        <v>0</v>
      </c>
    </row>
    <row r="2911" spans="1:13">
      <c r="A2911" s="1">
        <f>HYPERLINK("http://www.twitter.com/NathanBLawrence/status/975748738307313664", "975748738307313664")</f>
        <v/>
      </c>
      <c r="B2911" s="2" t="n">
        <v>43178.62502314815</v>
      </c>
      <c r="C2911" t="n">
        <v>0</v>
      </c>
      <c r="D2911" t="n">
        <v>0</v>
      </c>
      <c r="E2911" t="s">
        <v>2922</v>
      </c>
      <c r="F2911" t="s"/>
      <c r="G2911" t="s"/>
      <c r="H2911" t="s"/>
      <c r="I2911" t="s"/>
      <c r="J2911" t="n">
        <v>0.34</v>
      </c>
      <c r="K2911" t="n">
        <v>0</v>
      </c>
      <c r="L2911" t="n">
        <v>0.789</v>
      </c>
      <c r="M2911" t="n">
        <v>0.211</v>
      </c>
    </row>
    <row r="2912" spans="1:13">
      <c r="A2912" s="1">
        <f>HYPERLINK("http://www.twitter.com/NathanBLawrence/status/975729046779723776", "975729046779723776")</f>
        <v/>
      </c>
      <c r="B2912" s="2" t="n">
        <v>43178.57068287037</v>
      </c>
      <c r="C2912" t="n">
        <v>1</v>
      </c>
      <c r="D2912" t="n">
        <v>0</v>
      </c>
      <c r="E2912" t="s">
        <v>2923</v>
      </c>
      <c r="F2912">
        <f>HYPERLINK("http://pbs.twimg.com/media/DYp8Y0RU0AEbtAI.jpg", "http://pbs.twimg.com/media/DYp8Y0RU0AEbtAI.jpg")</f>
        <v/>
      </c>
      <c r="G2912" t="s"/>
      <c r="H2912" t="s"/>
      <c r="I2912" t="s"/>
      <c r="J2912" t="n">
        <v>0.5983000000000001</v>
      </c>
      <c r="K2912" t="n">
        <v>0</v>
      </c>
      <c r="L2912" t="n">
        <v>0.878</v>
      </c>
      <c r="M2912" t="n">
        <v>0.122</v>
      </c>
    </row>
    <row r="2913" spans="1:13">
      <c r="A2913" s="1">
        <f>HYPERLINK("http://www.twitter.com/NathanBLawrence/status/975716493647319040", "975716493647319040")</f>
        <v/>
      </c>
      <c r="B2913" s="2" t="n">
        <v>43178.53604166667</v>
      </c>
      <c r="C2913" t="n">
        <v>1</v>
      </c>
      <c r="D2913" t="n">
        <v>0</v>
      </c>
      <c r="E2913" t="s">
        <v>2924</v>
      </c>
      <c r="F2913" t="s"/>
      <c r="G2913" t="s"/>
      <c r="H2913" t="s"/>
      <c r="I2913" t="s"/>
      <c r="J2913" t="n">
        <v>0</v>
      </c>
      <c r="K2913" t="n">
        <v>0</v>
      </c>
      <c r="L2913" t="n">
        <v>1</v>
      </c>
      <c r="M2913" t="n">
        <v>0</v>
      </c>
    </row>
    <row r="2914" spans="1:13">
      <c r="A2914" s="1">
        <f>HYPERLINK("http://www.twitter.com/NathanBLawrence/status/975712582345650176", "975712582345650176")</f>
        <v/>
      </c>
      <c r="B2914" s="2" t="n">
        <v>43178.52525462963</v>
      </c>
      <c r="C2914" t="n">
        <v>0</v>
      </c>
      <c r="D2914" t="n">
        <v>0</v>
      </c>
      <c r="E2914" t="s">
        <v>2925</v>
      </c>
      <c r="F2914" t="s"/>
      <c r="G2914" t="s"/>
      <c r="H2914" t="s"/>
      <c r="I2914" t="s"/>
      <c r="J2914" t="n">
        <v>0</v>
      </c>
      <c r="K2914" t="n">
        <v>0</v>
      </c>
      <c r="L2914" t="n">
        <v>1</v>
      </c>
      <c r="M2914" t="n">
        <v>0</v>
      </c>
    </row>
    <row r="2915" spans="1:13">
      <c r="A2915" s="1">
        <f>HYPERLINK("http://www.twitter.com/NathanBLawrence/status/975712357459611648", "975712357459611648")</f>
        <v/>
      </c>
      <c r="B2915" s="2" t="n">
        <v>43178.52462962963</v>
      </c>
      <c r="C2915" t="n">
        <v>0</v>
      </c>
      <c r="D2915" t="n">
        <v>24</v>
      </c>
      <c r="E2915" t="s">
        <v>2926</v>
      </c>
      <c r="F2915" t="s"/>
      <c r="G2915" t="s"/>
      <c r="H2915" t="s"/>
      <c r="I2915" t="s"/>
      <c r="J2915" t="n">
        <v>0</v>
      </c>
      <c r="K2915" t="n">
        <v>0</v>
      </c>
      <c r="L2915" t="n">
        <v>1</v>
      </c>
      <c r="M2915" t="n">
        <v>0</v>
      </c>
    </row>
    <row r="2916" spans="1:13">
      <c r="A2916" s="1">
        <f>HYPERLINK("http://www.twitter.com/NathanBLawrence/status/975696541863292928", "975696541863292928")</f>
        <v/>
      </c>
      <c r="B2916" s="2" t="n">
        <v>43178.4809837963</v>
      </c>
      <c r="C2916" t="n">
        <v>3</v>
      </c>
      <c r="D2916" t="n">
        <v>0</v>
      </c>
      <c r="E2916" t="s">
        <v>2927</v>
      </c>
      <c r="F2916" t="s"/>
      <c r="G2916" t="s"/>
      <c r="H2916" t="s"/>
      <c r="I2916" t="s"/>
      <c r="J2916" t="n">
        <v>0</v>
      </c>
      <c r="K2916" t="n">
        <v>0</v>
      </c>
      <c r="L2916" t="n">
        <v>1</v>
      </c>
      <c r="M2916" t="n">
        <v>0</v>
      </c>
    </row>
    <row r="2917" spans="1:13">
      <c r="A2917" s="1">
        <f>HYPERLINK("http://www.twitter.com/NathanBLawrence/status/975694378126729216", "975694378126729216")</f>
        <v/>
      </c>
      <c r="B2917" s="2" t="n">
        <v>43178.47501157408</v>
      </c>
      <c r="C2917" t="n">
        <v>2</v>
      </c>
      <c r="D2917" t="n">
        <v>0</v>
      </c>
      <c r="E2917" t="s">
        <v>2928</v>
      </c>
      <c r="F2917" t="s"/>
      <c r="G2917" t="s"/>
      <c r="H2917" t="s"/>
      <c r="I2917" t="s"/>
      <c r="J2917" t="n">
        <v>0.6633</v>
      </c>
      <c r="K2917" t="n">
        <v>0</v>
      </c>
      <c r="L2917" t="n">
        <v>0.772</v>
      </c>
      <c r="M2917" t="n">
        <v>0.228</v>
      </c>
    </row>
    <row r="2918" spans="1:13">
      <c r="A2918" s="1">
        <f>HYPERLINK("http://www.twitter.com/NathanBLawrence/status/975694138153799684", "975694138153799684")</f>
        <v/>
      </c>
      <c r="B2918" s="2" t="n">
        <v>43178.47435185185</v>
      </c>
      <c r="C2918" t="n">
        <v>4</v>
      </c>
      <c r="D2918" t="n">
        <v>1</v>
      </c>
      <c r="E2918" t="s">
        <v>2929</v>
      </c>
      <c r="F2918" t="s"/>
      <c r="G2918" t="s"/>
      <c r="H2918" t="s"/>
      <c r="I2918" t="s"/>
      <c r="J2918" t="n">
        <v>0</v>
      </c>
      <c r="K2918" t="n">
        <v>0</v>
      </c>
      <c r="L2918" t="n">
        <v>1</v>
      </c>
      <c r="M2918" t="n">
        <v>0</v>
      </c>
    </row>
    <row r="2919" spans="1:13">
      <c r="A2919" s="1">
        <f>HYPERLINK("http://www.twitter.com/NathanBLawrence/status/975574786905706496", "975574786905706496")</f>
        <v/>
      </c>
      <c r="B2919" s="2" t="n">
        <v>43178.14501157407</v>
      </c>
      <c r="C2919" t="n">
        <v>0</v>
      </c>
      <c r="D2919" t="n">
        <v>1</v>
      </c>
      <c r="E2919" t="s">
        <v>2930</v>
      </c>
      <c r="F2919" t="s"/>
      <c r="G2919" t="s"/>
      <c r="H2919" t="s"/>
      <c r="I2919" t="s"/>
      <c r="J2919" t="n">
        <v>-0.296</v>
      </c>
      <c r="K2919" t="n">
        <v>0.167</v>
      </c>
      <c r="L2919" t="n">
        <v>0.833</v>
      </c>
      <c r="M2919" t="n">
        <v>0</v>
      </c>
    </row>
    <row r="2920" spans="1:13">
      <c r="A2920" s="1">
        <f>HYPERLINK("http://www.twitter.com/NathanBLawrence/status/975567961183477760", "975567961183477760")</f>
        <v/>
      </c>
      <c r="B2920" s="2" t="n">
        <v>43178.12616898148</v>
      </c>
      <c r="C2920" t="n">
        <v>0</v>
      </c>
      <c r="D2920" t="n">
        <v>655</v>
      </c>
      <c r="E2920" t="s">
        <v>2931</v>
      </c>
      <c r="F2920" t="s"/>
      <c r="G2920" t="s"/>
      <c r="H2920" t="s"/>
      <c r="I2920" t="s"/>
      <c r="J2920" t="n">
        <v>-0.6956</v>
      </c>
      <c r="K2920" t="n">
        <v>0.232</v>
      </c>
      <c r="L2920" t="n">
        <v>0.768</v>
      </c>
      <c r="M2920" t="n">
        <v>0</v>
      </c>
    </row>
    <row r="2921" spans="1:13">
      <c r="A2921" s="1">
        <f>HYPERLINK("http://www.twitter.com/NathanBLawrence/status/975567803225923586", "975567803225923586")</f>
        <v/>
      </c>
      <c r="B2921" s="2" t="n">
        <v>43178.12574074074</v>
      </c>
      <c r="C2921" t="n">
        <v>3</v>
      </c>
      <c r="D2921" t="n">
        <v>0</v>
      </c>
      <c r="E2921" t="s">
        <v>2932</v>
      </c>
      <c r="F2921" t="s"/>
      <c r="G2921" t="s"/>
      <c r="H2921" t="s"/>
      <c r="I2921" t="s"/>
      <c r="J2921" t="n">
        <v>-0.5859</v>
      </c>
      <c r="K2921" t="n">
        <v>0.098</v>
      </c>
      <c r="L2921" t="n">
        <v>0.902</v>
      </c>
      <c r="M2921" t="n">
        <v>0</v>
      </c>
    </row>
    <row r="2922" spans="1:13">
      <c r="A2922" s="1">
        <f>HYPERLINK("http://www.twitter.com/NathanBLawrence/status/975566452358082561", "975566452358082561")</f>
        <v/>
      </c>
      <c r="B2922" s="2" t="n">
        <v>43178.12201388889</v>
      </c>
      <c r="C2922" t="n">
        <v>0</v>
      </c>
      <c r="D2922" t="n">
        <v>0</v>
      </c>
      <c r="E2922" t="s">
        <v>2933</v>
      </c>
      <c r="F2922" t="s"/>
      <c r="G2922" t="s"/>
      <c r="H2922" t="s"/>
      <c r="I2922" t="s"/>
      <c r="J2922" t="n">
        <v>0.4404</v>
      </c>
      <c r="K2922" t="n">
        <v>0</v>
      </c>
      <c r="L2922" t="n">
        <v>0.775</v>
      </c>
      <c r="M2922" t="n">
        <v>0.225</v>
      </c>
    </row>
    <row r="2923" spans="1:13">
      <c r="A2923" s="1">
        <f>HYPERLINK("http://www.twitter.com/NathanBLawrence/status/975562516439937024", "975562516439937024")</f>
        <v/>
      </c>
      <c r="B2923" s="2" t="n">
        <v>43178.11114583333</v>
      </c>
      <c r="C2923" t="n">
        <v>2</v>
      </c>
      <c r="D2923" t="n">
        <v>0</v>
      </c>
      <c r="E2923" t="s">
        <v>2934</v>
      </c>
      <c r="F2923" t="s"/>
      <c r="G2923" t="s"/>
      <c r="H2923" t="s"/>
      <c r="I2923" t="s"/>
      <c r="J2923" t="n">
        <v>0.3612</v>
      </c>
      <c r="K2923" t="n">
        <v>0</v>
      </c>
      <c r="L2923" t="n">
        <v>0.8</v>
      </c>
      <c r="M2923" t="n">
        <v>0.2</v>
      </c>
    </row>
    <row r="2924" spans="1:13">
      <c r="A2924" s="1">
        <f>HYPERLINK("http://www.twitter.com/NathanBLawrence/status/975562322298236929", "975562322298236929")</f>
        <v/>
      </c>
      <c r="B2924" s="2" t="n">
        <v>43178.11061342592</v>
      </c>
      <c r="C2924" t="n">
        <v>0</v>
      </c>
      <c r="D2924" t="n">
        <v>0</v>
      </c>
      <c r="E2924" t="s">
        <v>2935</v>
      </c>
      <c r="F2924" t="s"/>
      <c r="G2924" t="s"/>
      <c r="H2924" t="s"/>
      <c r="I2924" t="s"/>
      <c r="J2924" t="n">
        <v>-0.7563</v>
      </c>
      <c r="K2924" t="n">
        <v>0.846</v>
      </c>
      <c r="L2924" t="n">
        <v>0.154</v>
      </c>
      <c r="M2924" t="n">
        <v>0</v>
      </c>
    </row>
    <row r="2925" spans="1:13">
      <c r="A2925" s="1">
        <f>HYPERLINK("http://www.twitter.com/NathanBLawrence/status/975558653347495936", "975558653347495936")</f>
        <v/>
      </c>
      <c r="B2925" s="2" t="n">
        <v>43178.10048611111</v>
      </c>
      <c r="C2925" t="n">
        <v>1</v>
      </c>
      <c r="D2925" t="n">
        <v>0</v>
      </c>
      <c r="E2925" t="s">
        <v>2936</v>
      </c>
      <c r="F2925" t="s"/>
      <c r="G2925" t="s"/>
      <c r="H2925" t="s"/>
      <c r="I2925" t="s"/>
      <c r="J2925" t="n">
        <v>0</v>
      </c>
      <c r="K2925" t="n">
        <v>0</v>
      </c>
      <c r="L2925" t="n">
        <v>1</v>
      </c>
      <c r="M2925" t="n">
        <v>0</v>
      </c>
    </row>
    <row r="2926" spans="1:13">
      <c r="A2926" s="1">
        <f>HYPERLINK("http://www.twitter.com/NathanBLawrence/status/975558375957258240", "975558375957258240")</f>
        <v/>
      </c>
      <c r="B2926" s="2" t="n">
        <v>43178.09972222222</v>
      </c>
      <c r="C2926" t="n">
        <v>0</v>
      </c>
      <c r="D2926" t="n">
        <v>0</v>
      </c>
      <c r="E2926" t="s">
        <v>2937</v>
      </c>
      <c r="F2926" t="s"/>
      <c r="G2926" t="s"/>
      <c r="H2926" t="s"/>
      <c r="I2926" t="s"/>
      <c r="J2926" t="n">
        <v>0.1511</v>
      </c>
      <c r="K2926" t="n">
        <v>0</v>
      </c>
      <c r="L2926" t="n">
        <v>0.9350000000000001</v>
      </c>
      <c r="M2926" t="n">
        <v>0.065</v>
      </c>
    </row>
    <row r="2927" spans="1:13">
      <c r="A2927" s="1">
        <f>HYPERLINK("http://www.twitter.com/NathanBLawrence/status/975557698031947776", "975557698031947776")</f>
        <v/>
      </c>
      <c r="B2927" s="2" t="n">
        <v>43178.09784722222</v>
      </c>
      <c r="C2927" t="n">
        <v>0</v>
      </c>
      <c r="D2927" t="n">
        <v>2</v>
      </c>
      <c r="E2927" t="s">
        <v>2938</v>
      </c>
      <c r="F2927">
        <f>HYPERLINK("http://pbs.twimg.com/media/DYlbOrvV4AAjA48.jpg", "http://pbs.twimg.com/media/DYlbOrvV4AAjA48.jpg")</f>
        <v/>
      </c>
      <c r="G2927" t="s"/>
      <c r="H2927" t="s"/>
      <c r="I2927" t="s"/>
      <c r="J2927" t="n">
        <v>0</v>
      </c>
      <c r="K2927" t="n">
        <v>0</v>
      </c>
      <c r="L2927" t="n">
        <v>1</v>
      </c>
      <c r="M2927" t="n">
        <v>0</v>
      </c>
    </row>
    <row r="2928" spans="1:13">
      <c r="A2928" s="1">
        <f>HYPERLINK("http://www.twitter.com/NathanBLawrence/status/975555565471576066", "975555565471576066")</f>
        <v/>
      </c>
      <c r="B2928" s="2" t="n">
        <v>43178.09196759259</v>
      </c>
      <c r="C2928" t="n">
        <v>2</v>
      </c>
      <c r="D2928" t="n">
        <v>0</v>
      </c>
      <c r="E2928" t="s">
        <v>2939</v>
      </c>
      <c r="F2928" t="s"/>
      <c r="G2928" t="s"/>
      <c r="H2928" t="s"/>
      <c r="I2928" t="s"/>
      <c r="J2928" t="n">
        <v>0.4215</v>
      </c>
      <c r="K2928" t="n">
        <v>0</v>
      </c>
      <c r="L2928" t="n">
        <v>0.781</v>
      </c>
      <c r="M2928" t="n">
        <v>0.219</v>
      </c>
    </row>
    <row r="2929" spans="1:13">
      <c r="A2929" s="1">
        <f>HYPERLINK("http://www.twitter.com/NathanBLawrence/status/975551055512645632", "975551055512645632")</f>
        <v/>
      </c>
      <c r="B2929" s="2" t="n">
        <v>43178.07952546296</v>
      </c>
      <c r="C2929" t="n">
        <v>3</v>
      </c>
      <c r="D2929" t="n">
        <v>0</v>
      </c>
      <c r="E2929" t="s">
        <v>2940</v>
      </c>
      <c r="F2929" t="s"/>
      <c r="G2929" t="s"/>
      <c r="H2929" t="s"/>
      <c r="I2929" t="s"/>
      <c r="J2929" t="n">
        <v>0.0772</v>
      </c>
      <c r="K2929" t="n">
        <v>0</v>
      </c>
      <c r="L2929" t="n">
        <v>0.894</v>
      </c>
      <c r="M2929" t="n">
        <v>0.106</v>
      </c>
    </row>
    <row r="2930" spans="1:13">
      <c r="A2930" s="1">
        <f>HYPERLINK("http://www.twitter.com/NathanBLawrence/status/975543553752432652", "975543553752432652")</f>
        <v/>
      </c>
      <c r="B2930" s="2" t="n">
        <v>43178.05881944444</v>
      </c>
      <c r="C2930" t="n">
        <v>1</v>
      </c>
      <c r="D2930" t="n">
        <v>0</v>
      </c>
      <c r="E2930" t="s">
        <v>2941</v>
      </c>
      <c r="F2930" t="s"/>
      <c r="G2930" t="s"/>
      <c r="H2930" t="s"/>
      <c r="I2930" t="s"/>
      <c r="J2930" t="n">
        <v>0.34</v>
      </c>
      <c r="K2930" t="n">
        <v>0</v>
      </c>
      <c r="L2930" t="n">
        <v>0.901</v>
      </c>
      <c r="M2930" t="n">
        <v>0.099</v>
      </c>
    </row>
    <row r="2931" spans="1:13">
      <c r="A2931" s="1">
        <f>HYPERLINK("http://www.twitter.com/NathanBLawrence/status/975540266760310785", "975540266760310785")</f>
        <v/>
      </c>
      <c r="B2931" s="2" t="n">
        <v>43178.04974537037</v>
      </c>
      <c r="C2931" t="n">
        <v>0</v>
      </c>
      <c r="D2931" t="n">
        <v>0</v>
      </c>
      <c r="E2931" t="s">
        <v>2942</v>
      </c>
      <c r="F2931" t="s"/>
      <c r="G2931" t="s"/>
      <c r="H2931" t="s"/>
      <c r="I2931" t="s"/>
      <c r="J2931" t="n">
        <v>-0.128</v>
      </c>
      <c r="K2931" t="n">
        <v>0.078</v>
      </c>
      <c r="L2931" t="n">
        <v>0.859</v>
      </c>
      <c r="M2931" t="n">
        <v>0.064</v>
      </c>
    </row>
    <row r="2932" spans="1:13">
      <c r="A2932" s="1">
        <f>HYPERLINK("http://www.twitter.com/NathanBLawrence/status/975497310644965378", "975497310644965378")</f>
        <v/>
      </c>
      <c r="B2932" s="2" t="n">
        <v>43177.93121527778</v>
      </c>
      <c r="C2932" t="n">
        <v>0</v>
      </c>
      <c r="D2932" t="n">
        <v>0</v>
      </c>
      <c r="E2932" t="s">
        <v>2943</v>
      </c>
      <c r="F2932" t="s"/>
      <c r="G2932" t="s"/>
      <c r="H2932" t="s"/>
      <c r="I2932" t="s"/>
      <c r="J2932" t="n">
        <v>0.6739000000000001</v>
      </c>
      <c r="K2932" t="n">
        <v>0</v>
      </c>
      <c r="L2932" t="n">
        <v>0.57</v>
      </c>
      <c r="M2932" t="n">
        <v>0.43</v>
      </c>
    </row>
    <row r="2933" spans="1:13">
      <c r="A2933" s="1">
        <f>HYPERLINK("http://www.twitter.com/NathanBLawrence/status/975497161835274240", "975497161835274240")</f>
        <v/>
      </c>
      <c r="B2933" s="2" t="n">
        <v>43177.93079861111</v>
      </c>
      <c r="C2933" t="n">
        <v>1</v>
      </c>
      <c r="D2933" t="n">
        <v>0</v>
      </c>
      <c r="E2933" t="s">
        <v>2944</v>
      </c>
      <c r="F2933" t="s"/>
      <c r="G2933" t="s"/>
      <c r="H2933" t="s"/>
      <c r="I2933" t="s"/>
      <c r="J2933" t="n">
        <v>-0.2411</v>
      </c>
      <c r="K2933" t="n">
        <v>0.164</v>
      </c>
      <c r="L2933" t="n">
        <v>0.836</v>
      </c>
      <c r="M2933" t="n">
        <v>0</v>
      </c>
    </row>
    <row r="2934" spans="1:13">
      <c r="A2934" s="1">
        <f>HYPERLINK("http://www.twitter.com/NathanBLawrence/status/975496433548832769", "975496433548832769")</f>
        <v/>
      </c>
      <c r="B2934" s="2" t="n">
        <v>43177.9287962963</v>
      </c>
      <c r="C2934" t="n">
        <v>0</v>
      </c>
      <c r="D2934" t="n">
        <v>0</v>
      </c>
      <c r="E2934" t="s">
        <v>2945</v>
      </c>
      <c r="F2934" t="s"/>
      <c r="G2934" t="s"/>
      <c r="H2934" t="s"/>
      <c r="I2934" t="s"/>
      <c r="J2934" t="n">
        <v>-0.9665</v>
      </c>
      <c r="K2934" t="n">
        <v>0.571</v>
      </c>
      <c r="L2934" t="n">
        <v>0.354</v>
      </c>
      <c r="M2934" t="n">
        <v>0.076</v>
      </c>
    </row>
    <row r="2935" spans="1:13">
      <c r="A2935" s="1">
        <f>HYPERLINK("http://www.twitter.com/NathanBLawrence/status/975491180644438016", "975491180644438016")</f>
        <v/>
      </c>
      <c r="B2935" s="2" t="n">
        <v>43177.91429398148</v>
      </c>
      <c r="C2935" t="n">
        <v>1</v>
      </c>
      <c r="D2935" t="n">
        <v>1</v>
      </c>
      <c r="E2935" t="s">
        <v>2946</v>
      </c>
      <c r="F2935">
        <f>HYPERLINK("http://pbs.twimg.com/media/DYmkDTwVMAAXQFb.jpg", "http://pbs.twimg.com/media/DYmkDTwVMAAXQFb.jpg")</f>
        <v/>
      </c>
      <c r="G2935" t="s"/>
      <c r="H2935" t="s"/>
      <c r="I2935" t="s"/>
      <c r="J2935" t="n">
        <v>0.2023</v>
      </c>
      <c r="K2935" t="n">
        <v>0</v>
      </c>
      <c r="L2935" t="n">
        <v>0.917</v>
      </c>
      <c r="M2935" t="n">
        <v>0.083</v>
      </c>
    </row>
    <row r="2936" spans="1:13">
      <c r="A2936" s="1">
        <f>HYPERLINK("http://www.twitter.com/NathanBLawrence/status/975490384469135361", "975490384469135361")</f>
        <v/>
      </c>
      <c r="B2936" s="2" t="n">
        <v>43177.91210648148</v>
      </c>
      <c r="C2936" t="n">
        <v>1</v>
      </c>
      <c r="D2936" t="n">
        <v>1</v>
      </c>
      <c r="E2936" t="s">
        <v>2947</v>
      </c>
      <c r="F2936">
        <f>HYPERLINK("http://pbs.twimg.com/media/DYmjVDQVAAAWgC5.jpg", "http://pbs.twimg.com/media/DYmjVDQVAAAWgC5.jpg")</f>
        <v/>
      </c>
      <c r="G2936" t="s"/>
      <c r="H2936" t="s"/>
      <c r="I2936" t="s"/>
      <c r="J2936" t="n">
        <v>0</v>
      </c>
      <c r="K2936" t="n">
        <v>0</v>
      </c>
      <c r="L2936" t="n">
        <v>1</v>
      </c>
      <c r="M2936" t="n">
        <v>0</v>
      </c>
    </row>
    <row r="2937" spans="1:13">
      <c r="A2937" s="1">
        <f>HYPERLINK("http://www.twitter.com/NathanBLawrence/status/975467435888390144", "975467435888390144")</f>
        <v/>
      </c>
      <c r="B2937" s="2" t="n">
        <v>43177.84877314815</v>
      </c>
      <c r="C2937" t="n">
        <v>1</v>
      </c>
      <c r="D2937" t="n">
        <v>0</v>
      </c>
      <c r="E2937" t="s">
        <v>2948</v>
      </c>
      <c r="F2937" t="s"/>
      <c r="G2937" t="s"/>
      <c r="H2937" t="s"/>
      <c r="I2937" t="s"/>
      <c r="J2937" t="n">
        <v>-0.8348</v>
      </c>
      <c r="K2937" t="n">
        <v>0.234</v>
      </c>
      <c r="L2937" t="n">
        <v>0.766</v>
      </c>
      <c r="M2937" t="n">
        <v>0</v>
      </c>
    </row>
    <row r="2938" spans="1:13">
      <c r="A2938" s="1">
        <f>HYPERLINK("http://www.twitter.com/NathanBLawrence/status/975466935218524161", "975466935218524161")</f>
        <v/>
      </c>
      <c r="B2938" s="2" t="n">
        <v>43177.84739583333</v>
      </c>
      <c r="C2938" t="n">
        <v>0</v>
      </c>
      <c r="D2938" t="n">
        <v>0</v>
      </c>
      <c r="E2938" t="s">
        <v>2949</v>
      </c>
      <c r="F2938" t="s"/>
      <c r="G2938" t="s"/>
      <c r="H2938" t="s"/>
      <c r="I2938" t="s"/>
      <c r="J2938" t="n">
        <v>0</v>
      </c>
      <c r="K2938" t="n">
        <v>0</v>
      </c>
      <c r="L2938" t="n">
        <v>1</v>
      </c>
      <c r="M2938" t="n">
        <v>0</v>
      </c>
    </row>
    <row r="2939" spans="1:13">
      <c r="A2939" s="1">
        <f>HYPERLINK("http://www.twitter.com/NathanBLawrence/status/975462808711294977", "975462808711294977")</f>
        <v/>
      </c>
      <c r="B2939" s="2" t="n">
        <v>43177.83600694445</v>
      </c>
      <c r="C2939" t="n">
        <v>0</v>
      </c>
      <c r="D2939" t="n">
        <v>1</v>
      </c>
      <c r="E2939" t="s">
        <v>2950</v>
      </c>
      <c r="F2939" t="s"/>
      <c r="G2939" t="s"/>
      <c r="H2939" t="s"/>
      <c r="I2939" t="s"/>
      <c r="J2939" t="n">
        <v>-0.34</v>
      </c>
      <c r="K2939" t="n">
        <v>0.156</v>
      </c>
      <c r="L2939" t="n">
        <v>0.844</v>
      </c>
      <c r="M2939" t="n">
        <v>0</v>
      </c>
    </row>
    <row r="2940" spans="1:13">
      <c r="A2940" s="1">
        <f>HYPERLINK("http://www.twitter.com/NathanBLawrence/status/975462716822491137", "975462716822491137")</f>
        <v/>
      </c>
      <c r="B2940" s="2" t="n">
        <v>43177.83575231482</v>
      </c>
      <c r="C2940" t="n">
        <v>0</v>
      </c>
      <c r="D2940" t="n">
        <v>0</v>
      </c>
      <c r="E2940" t="s">
        <v>2951</v>
      </c>
      <c r="F2940" t="s"/>
      <c r="G2940" t="s"/>
      <c r="H2940" t="s"/>
      <c r="I2940" t="s"/>
      <c r="J2940" t="n">
        <v>0.6369</v>
      </c>
      <c r="K2940" t="n">
        <v>0</v>
      </c>
      <c r="L2940" t="n">
        <v>0.417</v>
      </c>
      <c r="M2940" t="n">
        <v>0.583</v>
      </c>
    </row>
    <row r="2941" spans="1:13">
      <c r="A2941" s="1">
        <f>HYPERLINK("http://www.twitter.com/NathanBLawrence/status/975459887386853377", "975459887386853377")</f>
        <v/>
      </c>
      <c r="B2941" s="2" t="n">
        <v>43177.82793981482</v>
      </c>
      <c r="C2941" t="n">
        <v>0</v>
      </c>
      <c r="D2941" t="n">
        <v>0</v>
      </c>
      <c r="E2941" t="s">
        <v>2952</v>
      </c>
      <c r="F2941" t="s"/>
      <c r="G2941" t="s"/>
      <c r="H2941" t="s"/>
      <c r="I2941" t="s"/>
      <c r="J2941" t="n">
        <v>-0.2212</v>
      </c>
      <c r="K2941" t="n">
        <v>0.117</v>
      </c>
      <c r="L2941" t="n">
        <v>0.796</v>
      </c>
      <c r="M2941" t="n">
        <v>0.08699999999999999</v>
      </c>
    </row>
    <row r="2942" spans="1:13">
      <c r="A2942" s="1">
        <f>HYPERLINK("http://www.twitter.com/NathanBLawrence/status/975458612104585216", "975458612104585216")</f>
        <v/>
      </c>
      <c r="B2942" s="2" t="n">
        <v>43177.8244212963</v>
      </c>
      <c r="C2942" t="n">
        <v>1</v>
      </c>
      <c r="D2942" t="n">
        <v>0</v>
      </c>
      <c r="E2942" t="s">
        <v>2953</v>
      </c>
      <c r="F2942" t="s"/>
      <c r="G2942" t="s"/>
      <c r="H2942" t="s"/>
      <c r="I2942" t="s"/>
      <c r="J2942" t="n">
        <v>-0.9094</v>
      </c>
      <c r="K2942" t="n">
        <v>0.302</v>
      </c>
      <c r="L2942" t="n">
        <v>0.629</v>
      </c>
      <c r="M2942" t="n">
        <v>0.06900000000000001</v>
      </c>
    </row>
    <row r="2943" spans="1:13">
      <c r="A2943" s="1">
        <f>HYPERLINK("http://www.twitter.com/NathanBLawrence/status/975451928204374023", "975451928204374023")</f>
        <v/>
      </c>
      <c r="B2943" s="2" t="n">
        <v>43177.80598379629</v>
      </c>
      <c r="C2943" t="n">
        <v>1</v>
      </c>
      <c r="D2943" t="n">
        <v>0</v>
      </c>
      <c r="E2943" t="s">
        <v>2954</v>
      </c>
      <c r="F2943" t="s"/>
      <c r="G2943" t="s"/>
      <c r="H2943" t="s"/>
      <c r="I2943" t="s"/>
      <c r="J2943" t="n">
        <v>-0.1531</v>
      </c>
      <c r="K2943" t="n">
        <v>0.051</v>
      </c>
      <c r="L2943" t="n">
        <v>0.949</v>
      </c>
      <c r="M2943" t="n">
        <v>0</v>
      </c>
    </row>
    <row r="2944" spans="1:13">
      <c r="A2944" s="1">
        <f>HYPERLINK("http://www.twitter.com/NathanBLawrence/status/975451211246854144", "975451211246854144")</f>
        <v/>
      </c>
      <c r="B2944" s="2" t="n">
        <v>43177.80400462963</v>
      </c>
      <c r="C2944" t="n">
        <v>4</v>
      </c>
      <c r="D2944" t="n">
        <v>0</v>
      </c>
      <c r="E2944" t="s">
        <v>2955</v>
      </c>
      <c r="F2944" t="s"/>
      <c r="G2944" t="s"/>
      <c r="H2944" t="s"/>
      <c r="I2944" t="s"/>
      <c r="J2944" t="n">
        <v>0.7901</v>
      </c>
      <c r="K2944" t="n">
        <v>0</v>
      </c>
      <c r="L2944" t="n">
        <v>0.709</v>
      </c>
      <c r="M2944" t="n">
        <v>0.291</v>
      </c>
    </row>
    <row r="2945" spans="1:13">
      <c r="A2945" s="1">
        <f>HYPERLINK("http://www.twitter.com/NathanBLawrence/status/975450968509820931", "975450968509820931")</f>
        <v/>
      </c>
      <c r="B2945" s="2" t="n">
        <v>43177.80333333334</v>
      </c>
      <c r="C2945" t="n">
        <v>0</v>
      </c>
      <c r="D2945" t="n">
        <v>5</v>
      </c>
      <c r="E2945" t="s">
        <v>2956</v>
      </c>
      <c r="F2945">
        <f>HYPERLINK("http://pbs.twimg.com/media/DYlq2FxU0AADuuF.jpg", "http://pbs.twimg.com/media/DYlq2FxU0AADuuF.jpg")</f>
        <v/>
      </c>
      <c r="G2945" t="s"/>
      <c r="H2945" t="s"/>
      <c r="I2945" t="s"/>
      <c r="J2945" t="n">
        <v>0.7088</v>
      </c>
      <c r="K2945" t="n">
        <v>0</v>
      </c>
      <c r="L2945" t="n">
        <v>0.629</v>
      </c>
      <c r="M2945" t="n">
        <v>0.371</v>
      </c>
    </row>
    <row r="2946" spans="1:13">
      <c r="A2946" s="1">
        <f>HYPERLINK("http://www.twitter.com/NathanBLawrence/status/975425246739263488", "975425246739263488")</f>
        <v/>
      </c>
      <c r="B2946" s="2" t="n">
        <v>43177.73236111111</v>
      </c>
      <c r="C2946" t="n">
        <v>0</v>
      </c>
      <c r="D2946" t="n">
        <v>0</v>
      </c>
      <c r="E2946" t="s">
        <v>2957</v>
      </c>
      <c r="F2946" t="s"/>
      <c r="G2946" t="s"/>
      <c r="H2946" t="s"/>
      <c r="I2946" t="s"/>
      <c r="J2946" t="n">
        <v>-0.7027</v>
      </c>
      <c r="K2946" t="n">
        <v>0.547</v>
      </c>
      <c r="L2946" t="n">
        <v>0.453</v>
      </c>
      <c r="M2946" t="n">
        <v>0</v>
      </c>
    </row>
    <row r="2947" spans="1:13">
      <c r="A2947" s="1">
        <f>HYPERLINK("http://www.twitter.com/NathanBLawrence/status/975424857822449664", "975424857822449664")</f>
        <v/>
      </c>
      <c r="B2947" s="2" t="n">
        <v>43177.73128472222</v>
      </c>
      <c r="C2947" t="n">
        <v>0</v>
      </c>
      <c r="D2947" t="n">
        <v>53</v>
      </c>
      <c r="E2947" t="s">
        <v>2958</v>
      </c>
      <c r="F2947">
        <f>HYPERLINK("http://pbs.twimg.com/media/DYlXMrXUMAAyxdw.jpg", "http://pbs.twimg.com/media/DYlXMrXUMAAyxdw.jpg")</f>
        <v/>
      </c>
      <c r="G2947" t="s"/>
      <c r="H2947" t="s"/>
      <c r="I2947" t="s"/>
      <c r="J2947" t="n">
        <v>0.3612</v>
      </c>
      <c r="K2947" t="n">
        <v>0</v>
      </c>
      <c r="L2947" t="n">
        <v>0.894</v>
      </c>
      <c r="M2947" t="n">
        <v>0.106</v>
      </c>
    </row>
    <row r="2948" spans="1:13">
      <c r="A2948" s="1">
        <f>HYPERLINK("http://www.twitter.com/NathanBLawrence/status/975417117540577280", "975417117540577280")</f>
        <v/>
      </c>
      <c r="B2948" s="2" t="n">
        <v>43177.70991898148</v>
      </c>
      <c r="C2948" t="n">
        <v>0</v>
      </c>
      <c r="D2948" t="n">
        <v>1990</v>
      </c>
      <c r="E2948" t="s">
        <v>2959</v>
      </c>
      <c r="F2948" t="s"/>
      <c r="G2948" t="s"/>
      <c r="H2948" t="s"/>
      <c r="I2948" t="s"/>
      <c r="J2948" t="n">
        <v>-0.2263</v>
      </c>
      <c r="K2948" t="n">
        <v>0.101</v>
      </c>
      <c r="L2948" t="n">
        <v>0.899</v>
      </c>
      <c r="M2948" t="n">
        <v>0</v>
      </c>
    </row>
    <row r="2949" spans="1:13">
      <c r="A2949" s="1">
        <f>HYPERLINK("http://www.twitter.com/NathanBLawrence/status/975417008593555456", "975417008593555456")</f>
        <v/>
      </c>
      <c r="B2949" s="2" t="n">
        <v>43177.70961805555</v>
      </c>
      <c r="C2949" t="n">
        <v>0</v>
      </c>
      <c r="D2949" t="n">
        <v>7</v>
      </c>
      <c r="E2949" t="s">
        <v>2960</v>
      </c>
      <c r="F2949" t="s"/>
      <c r="G2949" t="s"/>
      <c r="H2949" t="s"/>
      <c r="I2949" t="s"/>
      <c r="J2949" t="n">
        <v>-0.6817</v>
      </c>
      <c r="K2949" t="n">
        <v>0.211</v>
      </c>
      <c r="L2949" t="n">
        <v>0.789</v>
      </c>
      <c r="M2949" t="n">
        <v>0</v>
      </c>
    </row>
    <row r="2950" spans="1:13">
      <c r="A2950" s="1">
        <f>HYPERLINK("http://www.twitter.com/NathanBLawrence/status/975415920863711233", "975415920863711233")</f>
        <v/>
      </c>
      <c r="B2950" s="2" t="n">
        <v>43177.70662037037</v>
      </c>
      <c r="C2950" t="n">
        <v>0</v>
      </c>
      <c r="D2950" t="n">
        <v>0</v>
      </c>
      <c r="E2950" t="s">
        <v>2961</v>
      </c>
      <c r="F2950" t="s"/>
      <c r="G2950" t="s"/>
      <c r="H2950" t="s"/>
      <c r="I2950" t="s"/>
      <c r="J2950" t="n">
        <v>0</v>
      </c>
      <c r="K2950" t="n">
        <v>0</v>
      </c>
      <c r="L2950" t="n">
        <v>1</v>
      </c>
      <c r="M2950" t="n">
        <v>0</v>
      </c>
    </row>
    <row r="2951" spans="1:13">
      <c r="A2951" s="1">
        <f>HYPERLINK("http://www.twitter.com/NathanBLawrence/status/975415401889845249", "975415401889845249")</f>
        <v/>
      </c>
      <c r="B2951" s="2" t="n">
        <v>43177.70518518519</v>
      </c>
      <c r="C2951" t="n">
        <v>0</v>
      </c>
      <c r="D2951" t="n">
        <v>0</v>
      </c>
      <c r="E2951" t="s">
        <v>2962</v>
      </c>
      <c r="F2951" t="s"/>
      <c r="G2951" t="s"/>
      <c r="H2951" t="s"/>
      <c r="I2951" t="s"/>
      <c r="J2951" t="n">
        <v>-0.4767</v>
      </c>
      <c r="K2951" t="n">
        <v>0.307</v>
      </c>
      <c r="L2951" t="n">
        <v>0.6929999999999999</v>
      </c>
      <c r="M2951" t="n">
        <v>0</v>
      </c>
    </row>
    <row r="2952" spans="1:13">
      <c r="A2952" s="1">
        <f>HYPERLINK("http://www.twitter.com/NathanBLawrence/status/975413233422094336", "975413233422094336")</f>
        <v/>
      </c>
      <c r="B2952" s="2" t="n">
        <v>43177.69920138889</v>
      </c>
      <c r="C2952" t="n">
        <v>0</v>
      </c>
      <c r="D2952" t="n">
        <v>0</v>
      </c>
      <c r="E2952" t="s">
        <v>2963</v>
      </c>
      <c r="F2952" t="s"/>
      <c r="G2952" t="s"/>
      <c r="H2952" t="s"/>
      <c r="I2952" t="s"/>
      <c r="J2952" t="n">
        <v>0</v>
      </c>
      <c r="K2952" t="n">
        <v>0</v>
      </c>
      <c r="L2952" t="n">
        <v>1</v>
      </c>
      <c r="M2952" t="n">
        <v>0</v>
      </c>
    </row>
    <row r="2953" spans="1:13">
      <c r="A2953" s="1">
        <f>HYPERLINK("http://www.twitter.com/NathanBLawrence/status/975411919627673601", "975411919627673601")</f>
        <v/>
      </c>
      <c r="B2953" s="2" t="n">
        <v>43177.6955787037</v>
      </c>
      <c r="C2953" t="n">
        <v>1</v>
      </c>
      <c r="D2953" t="n">
        <v>0</v>
      </c>
      <c r="E2953" t="s">
        <v>2964</v>
      </c>
      <c r="F2953" t="s"/>
      <c r="G2953" t="s"/>
      <c r="H2953" t="s"/>
      <c r="I2953" t="s"/>
      <c r="J2953" t="n">
        <v>-0.2418</v>
      </c>
      <c r="K2953" t="n">
        <v>0.25</v>
      </c>
      <c r="L2953" t="n">
        <v>0.538</v>
      </c>
      <c r="M2953" t="n">
        <v>0.212</v>
      </c>
    </row>
    <row r="2954" spans="1:13">
      <c r="A2954" s="1">
        <f>HYPERLINK("http://www.twitter.com/NathanBLawrence/status/975411442378788866", "975411442378788866")</f>
        <v/>
      </c>
      <c r="B2954" s="2" t="n">
        <v>43177.69425925926</v>
      </c>
      <c r="C2954" t="n">
        <v>0</v>
      </c>
      <c r="D2954" t="n">
        <v>0</v>
      </c>
      <c r="E2954" t="s">
        <v>2965</v>
      </c>
      <c r="F2954" t="s"/>
      <c r="G2954" t="s"/>
      <c r="H2954" t="s"/>
      <c r="I2954" t="s"/>
      <c r="J2954" t="n">
        <v>0</v>
      </c>
      <c r="K2954" t="n">
        <v>0</v>
      </c>
      <c r="L2954" t="n">
        <v>1</v>
      </c>
      <c r="M2954" t="n">
        <v>0</v>
      </c>
    </row>
    <row r="2955" spans="1:13">
      <c r="A2955" s="1">
        <f>HYPERLINK("http://www.twitter.com/NathanBLawrence/status/975391005695410178", "975391005695410178")</f>
        <v/>
      </c>
      <c r="B2955" s="2" t="n">
        <v>43177.63787037037</v>
      </c>
      <c r="C2955" t="n">
        <v>0</v>
      </c>
      <c r="D2955" t="n">
        <v>1</v>
      </c>
      <c r="E2955" t="s">
        <v>2966</v>
      </c>
      <c r="F2955" t="s"/>
      <c r="G2955" t="s"/>
      <c r="H2955" t="s"/>
      <c r="I2955" t="s"/>
      <c r="J2955" t="n">
        <v>0</v>
      </c>
      <c r="K2955" t="n">
        <v>0</v>
      </c>
      <c r="L2955" t="n">
        <v>1</v>
      </c>
      <c r="M2955" t="n">
        <v>0</v>
      </c>
    </row>
    <row r="2956" spans="1:13">
      <c r="A2956" s="1">
        <f>HYPERLINK("http://www.twitter.com/NathanBLawrence/status/975387995930054657", "975387995930054657")</f>
        <v/>
      </c>
      <c r="B2956" s="2" t="n">
        <v>43177.62956018518</v>
      </c>
      <c r="C2956" t="n">
        <v>0</v>
      </c>
      <c r="D2956" t="n">
        <v>0</v>
      </c>
      <c r="E2956" t="s">
        <v>2967</v>
      </c>
      <c r="F2956" t="s"/>
      <c r="G2956" t="s"/>
      <c r="H2956" t="s"/>
      <c r="I2956" t="s"/>
      <c r="J2956" t="n">
        <v>-0.5719</v>
      </c>
      <c r="K2956" t="n">
        <v>0.402</v>
      </c>
      <c r="L2956" t="n">
        <v>0.598</v>
      </c>
      <c r="M2956" t="n">
        <v>0</v>
      </c>
    </row>
    <row r="2957" spans="1:13">
      <c r="A2957" s="1">
        <f>HYPERLINK("http://www.twitter.com/NathanBLawrence/status/975386998696562688", "975386998696562688")</f>
        <v/>
      </c>
      <c r="B2957" s="2" t="n">
        <v>43177.62680555556</v>
      </c>
      <c r="C2957" t="n">
        <v>0</v>
      </c>
      <c r="D2957" t="n">
        <v>0</v>
      </c>
      <c r="E2957" t="s">
        <v>2968</v>
      </c>
      <c r="F2957" t="s"/>
      <c r="G2957" t="s"/>
      <c r="H2957" t="s"/>
      <c r="I2957" t="s"/>
      <c r="J2957" t="n">
        <v>0.0772</v>
      </c>
      <c r="K2957" t="n">
        <v>0</v>
      </c>
      <c r="L2957" t="n">
        <v>0.949</v>
      </c>
      <c r="M2957" t="n">
        <v>0.051</v>
      </c>
    </row>
    <row r="2958" spans="1:13">
      <c r="A2958" s="1">
        <f>HYPERLINK("http://www.twitter.com/NathanBLawrence/status/975386215238299648", "975386215238299648")</f>
        <v/>
      </c>
      <c r="B2958" s="2" t="n">
        <v>43177.62465277778</v>
      </c>
      <c r="C2958" t="n">
        <v>1</v>
      </c>
      <c r="D2958" t="n">
        <v>0</v>
      </c>
      <c r="E2958" t="s">
        <v>2969</v>
      </c>
      <c r="F2958">
        <f>HYPERLINK("http://pbs.twimg.com/media/DYlElgxVQAACoLs.jpg", "http://pbs.twimg.com/media/DYlElgxVQAACoLs.jpg")</f>
        <v/>
      </c>
      <c r="G2958" t="s"/>
      <c r="H2958" t="s"/>
      <c r="I2958" t="s"/>
      <c r="J2958" t="n">
        <v>-0.296</v>
      </c>
      <c r="K2958" t="n">
        <v>0.064</v>
      </c>
      <c r="L2958" t="n">
        <v>0.9360000000000001</v>
      </c>
      <c r="M2958" t="n">
        <v>0</v>
      </c>
    </row>
    <row r="2959" spans="1:13">
      <c r="A2959" s="1">
        <f>HYPERLINK("http://www.twitter.com/NathanBLawrence/status/975384455832535045", "975384455832535045")</f>
        <v/>
      </c>
      <c r="B2959" s="2" t="n">
        <v>43177.61979166666</v>
      </c>
      <c r="C2959" t="n">
        <v>1</v>
      </c>
      <c r="D2959" t="n">
        <v>1</v>
      </c>
      <c r="E2959" t="s">
        <v>2970</v>
      </c>
      <c r="F2959" t="s"/>
      <c r="G2959" t="s"/>
      <c r="H2959" t="s"/>
      <c r="I2959" t="s"/>
      <c r="J2959" t="n">
        <v>0.1779</v>
      </c>
      <c r="K2959" t="n">
        <v>0.08500000000000001</v>
      </c>
      <c r="L2959" t="n">
        <v>0.794</v>
      </c>
      <c r="M2959" t="n">
        <v>0.122</v>
      </c>
    </row>
    <row r="2960" spans="1:13">
      <c r="A2960" s="1">
        <f>HYPERLINK("http://www.twitter.com/NathanBLawrence/status/975382769156141056", "975382769156141056")</f>
        <v/>
      </c>
      <c r="B2960" s="2" t="n">
        <v>43177.61513888889</v>
      </c>
      <c r="C2960" t="n">
        <v>0</v>
      </c>
      <c r="D2960" t="n">
        <v>0</v>
      </c>
      <c r="E2960" t="s">
        <v>2971</v>
      </c>
      <c r="F2960" t="s"/>
      <c r="G2960" t="s"/>
      <c r="H2960" t="s"/>
      <c r="I2960" t="s"/>
      <c r="J2960" t="n">
        <v>0</v>
      </c>
      <c r="K2960" t="n">
        <v>0</v>
      </c>
      <c r="L2960" t="n">
        <v>1</v>
      </c>
      <c r="M2960" t="n">
        <v>0</v>
      </c>
    </row>
    <row r="2961" spans="1:13">
      <c r="A2961" s="1">
        <f>HYPERLINK("http://www.twitter.com/NathanBLawrence/status/975380418756333568", "975380418756333568")</f>
        <v/>
      </c>
      <c r="B2961" s="2" t="n">
        <v>43177.60865740741</v>
      </c>
      <c r="C2961" t="n">
        <v>0</v>
      </c>
      <c r="D2961" t="n">
        <v>0</v>
      </c>
      <c r="E2961" t="s">
        <v>2972</v>
      </c>
      <c r="F2961" t="s"/>
      <c r="G2961" t="s"/>
      <c r="H2961" t="s"/>
      <c r="I2961" t="s"/>
      <c r="J2961" t="n">
        <v>-0.0772</v>
      </c>
      <c r="K2961" t="n">
        <v>0.12</v>
      </c>
      <c r="L2961" t="n">
        <v>0.73</v>
      </c>
      <c r="M2961" t="n">
        <v>0.15</v>
      </c>
    </row>
    <row r="2962" spans="1:13">
      <c r="A2962" s="1">
        <f>HYPERLINK("http://www.twitter.com/NathanBLawrence/status/975379505878650880", "975379505878650880")</f>
        <v/>
      </c>
      <c r="B2962" s="2" t="n">
        <v>43177.60613425926</v>
      </c>
      <c r="C2962" t="n">
        <v>0</v>
      </c>
      <c r="D2962" t="n">
        <v>3027</v>
      </c>
      <c r="E2962" t="s">
        <v>2973</v>
      </c>
      <c r="F2962" t="s"/>
      <c r="G2962" t="s"/>
      <c r="H2962" t="s"/>
      <c r="I2962" t="s"/>
      <c r="J2962" t="n">
        <v>-0.4404</v>
      </c>
      <c r="K2962" t="n">
        <v>0.108</v>
      </c>
      <c r="L2962" t="n">
        <v>0.892</v>
      </c>
      <c r="M2962" t="n">
        <v>0</v>
      </c>
    </row>
    <row r="2963" spans="1:13">
      <c r="A2963" s="1">
        <f>HYPERLINK("http://www.twitter.com/NathanBLawrence/status/975378920534106112", "975378920534106112")</f>
        <v/>
      </c>
      <c r="B2963" s="2" t="n">
        <v>43177.60451388889</v>
      </c>
      <c r="C2963" t="n">
        <v>0</v>
      </c>
      <c r="D2963" t="n">
        <v>0</v>
      </c>
      <c r="E2963" t="s">
        <v>2974</v>
      </c>
      <c r="F2963" t="s"/>
      <c r="G2963" t="s"/>
      <c r="H2963" t="s"/>
      <c r="I2963" t="s"/>
      <c r="J2963" t="n">
        <v>0</v>
      </c>
      <c r="K2963" t="n">
        <v>0</v>
      </c>
      <c r="L2963" t="n">
        <v>1</v>
      </c>
      <c r="M2963" t="n">
        <v>0</v>
      </c>
    </row>
    <row r="2964" spans="1:13">
      <c r="A2964" s="1">
        <f>HYPERLINK("http://www.twitter.com/NathanBLawrence/status/975378695375523840", "975378695375523840")</f>
        <v/>
      </c>
      <c r="B2964" s="2" t="n">
        <v>43177.60390046296</v>
      </c>
      <c r="C2964" t="n">
        <v>1</v>
      </c>
      <c r="D2964" t="n">
        <v>0</v>
      </c>
      <c r="E2964" t="s">
        <v>2975</v>
      </c>
      <c r="F2964" t="s"/>
      <c r="G2964" t="s"/>
      <c r="H2964" t="s"/>
      <c r="I2964" t="s"/>
      <c r="J2964" t="n">
        <v>0</v>
      </c>
      <c r="K2964" t="n">
        <v>0</v>
      </c>
      <c r="L2964" t="n">
        <v>1</v>
      </c>
      <c r="M2964" t="n">
        <v>0</v>
      </c>
    </row>
    <row r="2965" spans="1:13">
      <c r="A2965" s="1">
        <f>HYPERLINK("http://www.twitter.com/NathanBLawrence/status/975376886925856769", "975376886925856769")</f>
        <v/>
      </c>
      <c r="B2965" s="2" t="n">
        <v>43177.59891203704</v>
      </c>
      <c r="C2965" t="n">
        <v>2</v>
      </c>
      <c r="D2965" t="n">
        <v>0</v>
      </c>
      <c r="E2965" t="s">
        <v>2976</v>
      </c>
      <c r="F2965" t="s"/>
      <c r="G2965" t="s"/>
      <c r="H2965" t="s"/>
      <c r="I2965" t="s"/>
      <c r="J2965" t="n">
        <v>0.8807</v>
      </c>
      <c r="K2965" t="n">
        <v>0.054</v>
      </c>
      <c r="L2965" t="n">
        <v>0.654</v>
      </c>
      <c r="M2965" t="n">
        <v>0.292</v>
      </c>
    </row>
    <row r="2966" spans="1:13">
      <c r="A2966" s="1">
        <f>HYPERLINK("http://www.twitter.com/NathanBLawrence/status/975376358233792512", "975376358233792512")</f>
        <v/>
      </c>
      <c r="B2966" s="2" t="n">
        <v>43177.5974537037</v>
      </c>
      <c r="C2966" t="n">
        <v>2</v>
      </c>
      <c r="D2966" t="n">
        <v>0</v>
      </c>
      <c r="E2966" t="s">
        <v>2977</v>
      </c>
      <c r="F2966" t="s"/>
      <c r="G2966" t="s"/>
      <c r="H2966" t="s"/>
      <c r="I2966" t="s"/>
      <c r="J2966" t="n">
        <v>-0.3818</v>
      </c>
      <c r="K2966" t="n">
        <v>0.232</v>
      </c>
      <c r="L2966" t="n">
        <v>0.619</v>
      </c>
      <c r="M2966" t="n">
        <v>0.149</v>
      </c>
    </row>
    <row r="2967" spans="1:13">
      <c r="A2967" s="1">
        <f>HYPERLINK("http://www.twitter.com/NathanBLawrence/status/975375995250335744", "975375995250335744")</f>
        <v/>
      </c>
      <c r="B2967" s="2" t="n">
        <v>43177.59644675926</v>
      </c>
      <c r="C2967" t="n">
        <v>0</v>
      </c>
      <c r="D2967" t="n">
        <v>21</v>
      </c>
      <c r="E2967" t="s">
        <v>2978</v>
      </c>
      <c r="F2967" t="s"/>
      <c r="G2967" t="s"/>
      <c r="H2967" t="s"/>
      <c r="I2967" t="s"/>
      <c r="J2967" t="n">
        <v>-0.5994</v>
      </c>
      <c r="K2967" t="n">
        <v>0.308</v>
      </c>
      <c r="L2967" t="n">
        <v>0.6919999999999999</v>
      </c>
      <c r="M2967" t="n">
        <v>0</v>
      </c>
    </row>
    <row r="2968" spans="1:13">
      <c r="A2968" s="1">
        <f>HYPERLINK("http://www.twitter.com/NathanBLawrence/status/975251496269905920", "975251496269905920")</f>
        <v/>
      </c>
      <c r="B2968" s="2" t="n">
        <v>43177.25289351852</v>
      </c>
      <c r="C2968" t="n">
        <v>1</v>
      </c>
      <c r="D2968" t="n">
        <v>0</v>
      </c>
      <c r="E2968" t="s">
        <v>2979</v>
      </c>
      <c r="F2968" t="s"/>
      <c r="G2968" t="s"/>
      <c r="H2968" t="s"/>
      <c r="I2968" t="s"/>
      <c r="J2968" t="n">
        <v>0</v>
      </c>
      <c r="K2968" t="n">
        <v>0</v>
      </c>
      <c r="L2968" t="n">
        <v>1</v>
      </c>
      <c r="M2968" t="n">
        <v>0</v>
      </c>
    </row>
    <row r="2969" spans="1:13">
      <c r="A2969" s="1">
        <f>HYPERLINK("http://www.twitter.com/NathanBLawrence/status/975190856998309889", "975190856998309889")</f>
        <v/>
      </c>
      <c r="B2969" s="2" t="n">
        <v>43177.08556712963</v>
      </c>
      <c r="C2969" t="n">
        <v>0</v>
      </c>
      <c r="D2969" t="n">
        <v>0</v>
      </c>
      <c r="E2969" t="s">
        <v>2980</v>
      </c>
      <c r="F2969" t="s"/>
      <c r="G2969" t="s"/>
      <c r="H2969" t="s"/>
      <c r="I2969" t="s"/>
      <c r="J2969" t="n">
        <v>0.8401999999999999</v>
      </c>
      <c r="K2969" t="n">
        <v>0</v>
      </c>
      <c r="L2969" t="n">
        <v>0.471</v>
      </c>
      <c r="M2969" t="n">
        <v>0.529</v>
      </c>
    </row>
    <row r="2970" spans="1:13">
      <c r="A2970" s="1">
        <f>HYPERLINK("http://www.twitter.com/NathanBLawrence/status/975188254227038208", "975188254227038208")</f>
        <v/>
      </c>
      <c r="B2970" s="2" t="n">
        <v>43177.07837962963</v>
      </c>
      <c r="C2970" t="n">
        <v>0</v>
      </c>
      <c r="D2970" t="n">
        <v>27</v>
      </c>
      <c r="E2970" t="s">
        <v>2981</v>
      </c>
      <c r="F2970">
        <f>HYPERLINK("http://pbs.twimg.com/media/DYiAiLGVMAAQKCh.jpg", "http://pbs.twimg.com/media/DYiAiLGVMAAQKCh.jpg")</f>
        <v/>
      </c>
      <c r="G2970">
        <f>HYPERLINK("http://pbs.twimg.com/media/DYiAiLHV4AAqRkx.jpg", "http://pbs.twimg.com/media/DYiAiLHV4AAqRkx.jpg")</f>
        <v/>
      </c>
      <c r="H2970" t="s"/>
      <c r="I2970" t="s"/>
      <c r="J2970" t="n">
        <v>0</v>
      </c>
      <c r="K2970" t="n">
        <v>0</v>
      </c>
      <c r="L2970" t="n">
        <v>1</v>
      </c>
      <c r="M2970" t="n">
        <v>0</v>
      </c>
    </row>
    <row r="2971" spans="1:13">
      <c r="A2971" s="1">
        <f>HYPERLINK("http://www.twitter.com/NathanBLawrence/status/975187324194775041", "975187324194775041")</f>
        <v/>
      </c>
      <c r="B2971" s="2" t="n">
        <v>43177.07581018518</v>
      </c>
      <c r="C2971" t="n">
        <v>0</v>
      </c>
      <c r="D2971" t="n">
        <v>0</v>
      </c>
      <c r="E2971" t="s">
        <v>2982</v>
      </c>
      <c r="F2971" t="s"/>
      <c r="G2971" t="s"/>
      <c r="H2971" t="s"/>
      <c r="I2971" t="s"/>
      <c r="J2971" t="n">
        <v>-0.296</v>
      </c>
      <c r="K2971" t="n">
        <v>0.524</v>
      </c>
      <c r="L2971" t="n">
        <v>0.476</v>
      </c>
      <c r="M2971" t="n">
        <v>0</v>
      </c>
    </row>
    <row r="2972" spans="1:13">
      <c r="A2972" s="1">
        <f>HYPERLINK("http://www.twitter.com/NathanBLawrence/status/975186141287763968", "975186141287763968")</f>
        <v/>
      </c>
      <c r="B2972" s="2" t="n">
        <v>43177.07254629629</v>
      </c>
      <c r="C2972" t="n">
        <v>0</v>
      </c>
      <c r="D2972" t="n">
        <v>0</v>
      </c>
      <c r="E2972" t="s">
        <v>2983</v>
      </c>
      <c r="F2972" t="s"/>
      <c r="G2972" t="s"/>
      <c r="H2972" t="s"/>
      <c r="I2972" t="s"/>
      <c r="J2972" t="n">
        <v>-0.0258</v>
      </c>
      <c r="K2972" t="n">
        <v>0.129</v>
      </c>
      <c r="L2972" t="n">
        <v>0.747</v>
      </c>
      <c r="M2972" t="n">
        <v>0.124</v>
      </c>
    </row>
    <row r="2973" spans="1:13">
      <c r="A2973" s="1">
        <f>HYPERLINK("http://www.twitter.com/NathanBLawrence/status/975185644032004097", "975185644032004097")</f>
        <v/>
      </c>
      <c r="B2973" s="2" t="n">
        <v>43177.07118055555</v>
      </c>
      <c r="C2973" t="n">
        <v>5</v>
      </c>
      <c r="D2973" t="n">
        <v>1</v>
      </c>
      <c r="E2973" t="s">
        <v>2984</v>
      </c>
      <c r="F2973" t="s"/>
      <c r="G2973" t="s"/>
      <c r="H2973" t="s"/>
      <c r="I2973" t="s"/>
      <c r="J2973" t="n">
        <v>0.5983000000000001</v>
      </c>
      <c r="K2973" t="n">
        <v>0</v>
      </c>
      <c r="L2973" t="n">
        <v>0.837</v>
      </c>
      <c r="M2973" t="n">
        <v>0.163</v>
      </c>
    </row>
    <row r="2974" spans="1:13">
      <c r="A2974" s="1">
        <f>HYPERLINK("http://www.twitter.com/NathanBLawrence/status/975176234333298689", "975176234333298689")</f>
        <v/>
      </c>
      <c r="B2974" s="2" t="n">
        <v>43177.04520833334</v>
      </c>
      <c r="C2974" t="n">
        <v>2</v>
      </c>
      <c r="D2974" t="n">
        <v>0</v>
      </c>
      <c r="E2974" t="s">
        <v>2985</v>
      </c>
      <c r="F2974" t="s"/>
      <c r="G2974" t="s"/>
      <c r="H2974" t="s"/>
      <c r="I2974" t="s"/>
      <c r="J2974" t="n">
        <v>0.8156</v>
      </c>
      <c r="K2974" t="n">
        <v>0.06</v>
      </c>
      <c r="L2974" t="n">
        <v>0.641</v>
      </c>
      <c r="M2974" t="n">
        <v>0.299</v>
      </c>
    </row>
    <row r="2975" spans="1:13">
      <c r="A2975" s="1">
        <f>HYPERLINK("http://www.twitter.com/NathanBLawrence/status/975173025896288256", "975173025896288256")</f>
        <v/>
      </c>
      <c r="B2975" s="2" t="n">
        <v>43177.03635416667</v>
      </c>
      <c r="C2975" t="n">
        <v>2</v>
      </c>
      <c r="D2975" t="n">
        <v>0</v>
      </c>
      <c r="E2975" t="s">
        <v>2986</v>
      </c>
      <c r="F2975" t="s"/>
      <c r="G2975" t="s"/>
      <c r="H2975" t="s"/>
      <c r="I2975" t="s"/>
      <c r="J2975" t="n">
        <v>0</v>
      </c>
      <c r="K2975" t="n">
        <v>0</v>
      </c>
      <c r="L2975" t="n">
        <v>1</v>
      </c>
      <c r="M2975" t="n">
        <v>0</v>
      </c>
    </row>
    <row r="2976" spans="1:13">
      <c r="A2976" s="1">
        <f>HYPERLINK("http://www.twitter.com/NathanBLawrence/status/975165907143143424", "975165907143143424")</f>
        <v/>
      </c>
      <c r="B2976" s="2" t="n">
        <v>43177.01671296296</v>
      </c>
      <c r="C2976" t="n">
        <v>2</v>
      </c>
      <c r="D2976" t="n">
        <v>0</v>
      </c>
      <c r="E2976" t="s">
        <v>2987</v>
      </c>
      <c r="F2976" t="s"/>
      <c r="G2976" t="s"/>
      <c r="H2976" t="s"/>
      <c r="I2976" t="s"/>
      <c r="J2976" t="n">
        <v>0.3485</v>
      </c>
      <c r="K2976" t="n">
        <v>0</v>
      </c>
      <c r="L2976" t="n">
        <v>0.868</v>
      </c>
      <c r="M2976" t="n">
        <v>0.132</v>
      </c>
    </row>
    <row r="2977" spans="1:13">
      <c r="A2977" s="1">
        <f>HYPERLINK("http://www.twitter.com/NathanBLawrence/status/975165756123045888", "975165756123045888")</f>
        <v/>
      </c>
      <c r="B2977" s="2" t="n">
        <v>43177.01629629629</v>
      </c>
      <c r="C2977" t="n">
        <v>1</v>
      </c>
      <c r="D2977" t="n">
        <v>0</v>
      </c>
      <c r="E2977" t="s">
        <v>2988</v>
      </c>
      <c r="F2977" t="s"/>
      <c r="G2977" t="s"/>
      <c r="H2977" t="s"/>
      <c r="I2977" t="s"/>
      <c r="J2977" t="n">
        <v>-0.9311</v>
      </c>
      <c r="K2977" t="n">
        <v>0.378</v>
      </c>
      <c r="L2977" t="n">
        <v>0.584</v>
      </c>
      <c r="M2977" t="n">
        <v>0.038</v>
      </c>
    </row>
    <row r="2978" spans="1:13">
      <c r="A2978" s="1">
        <f>HYPERLINK("http://www.twitter.com/NathanBLawrence/status/975164940721033216", "975164940721033216")</f>
        <v/>
      </c>
      <c r="B2978" s="2" t="n">
        <v>43177.01405092593</v>
      </c>
      <c r="C2978" t="n">
        <v>0</v>
      </c>
      <c r="D2978" t="n">
        <v>0</v>
      </c>
      <c r="E2978" t="s">
        <v>2989</v>
      </c>
      <c r="F2978" t="s"/>
      <c r="G2978" t="s"/>
      <c r="H2978" t="s"/>
      <c r="I2978" t="s"/>
      <c r="J2978" t="n">
        <v>-0.5859</v>
      </c>
      <c r="K2978" t="n">
        <v>0.5590000000000001</v>
      </c>
      <c r="L2978" t="n">
        <v>0.441</v>
      </c>
      <c r="M2978" t="n">
        <v>0</v>
      </c>
    </row>
    <row r="2979" spans="1:13">
      <c r="A2979" s="1">
        <f>HYPERLINK("http://www.twitter.com/NathanBLawrence/status/975164853815046146", "975164853815046146")</f>
        <v/>
      </c>
      <c r="B2979" s="2" t="n">
        <v>43177.01380787037</v>
      </c>
      <c r="C2979" t="n">
        <v>0</v>
      </c>
      <c r="D2979" t="n">
        <v>0</v>
      </c>
      <c r="E2979" t="s">
        <v>2990</v>
      </c>
      <c r="F2979" t="s"/>
      <c r="G2979" t="s"/>
      <c r="H2979" t="s"/>
      <c r="I2979" t="s"/>
      <c r="J2979" t="n">
        <v>0.296</v>
      </c>
      <c r="K2979" t="n">
        <v>0.047</v>
      </c>
      <c r="L2979" t="n">
        <v>0.866</v>
      </c>
      <c r="M2979" t="n">
        <v>0.08699999999999999</v>
      </c>
    </row>
    <row r="2980" spans="1:13">
      <c r="A2980" s="1">
        <f>HYPERLINK("http://www.twitter.com/NathanBLawrence/status/975164045597855744", "975164045597855744")</f>
        <v/>
      </c>
      <c r="B2980" s="2" t="n">
        <v>43177.01157407407</v>
      </c>
      <c r="C2980" t="n">
        <v>0</v>
      </c>
      <c r="D2980" t="n">
        <v>0</v>
      </c>
      <c r="E2980" t="s">
        <v>2991</v>
      </c>
      <c r="F2980" t="s"/>
      <c r="G2980" t="s"/>
      <c r="H2980" t="s"/>
      <c r="I2980" t="s"/>
      <c r="J2980" t="n">
        <v>-0.9092</v>
      </c>
      <c r="K2980" t="n">
        <v>0.267</v>
      </c>
      <c r="L2980" t="n">
        <v>0.702</v>
      </c>
      <c r="M2980" t="n">
        <v>0.031</v>
      </c>
    </row>
    <row r="2981" spans="1:13">
      <c r="A2981" s="1">
        <f>HYPERLINK("http://www.twitter.com/NathanBLawrence/status/975163109181739009", "975163109181739009")</f>
        <v/>
      </c>
      <c r="B2981" s="2" t="n">
        <v>43177.00899305556</v>
      </c>
      <c r="C2981" t="n">
        <v>4</v>
      </c>
      <c r="D2981" t="n">
        <v>0</v>
      </c>
      <c r="E2981" t="s">
        <v>2992</v>
      </c>
      <c r="F2981" t="s"/>
      <c r="G2981" t="s"/>
      <c r="H2981" t="s"/>
      <c r="I2981" t="s"/>
      <c r="J2981" t="n">
        <v>0</v>
      </c>
      <c r="K2981" t="n">
        <v>0</v>
      </c>
      <c r="L2981" t="n">
        <v>1</v>
      </c>
      <c r="M2981" t="n">
        <v>0</v>
      </c>
    </row>
    <row r="2982" spans="1:13">
      <c r="A2982" s="1">
        <f>HYPERLINK("http://www.twitter.com/NathanBLawrence/status/975162491159351296", "975162491159351296")</f>
        <v/>
      </c>
      <c r="B2982" s="2" t="n">
        <v>43177.00729166667</v>
      </c>
      <c r="C2982" t="n">
        <v>0</v>
      </c>
      <c r="D2982" t="n">
        <v>33</v>
      </c>
      <c r="E2982" t="s">
        <v>2993</v>
      </c>
      <c r="F2982">
        <f>HYPERLINK("http://pbs.twimg.com/media/DYhDKe8VwAAbUTX.jpg", "http://pbs.twimg.com/media/DYhDKe8VwAAbUTX.jpg")</f>
        <v/>
      </c>
      <c r="G2982">
        <f>HYPERLINK("http://pbs.twimg.com/media/DYhDKe9VAAAt4tU.jpg", "http://pbs.twimg.com/media/DYhDKe9VAAAt4tU.jpg")</f>
        <v/>
      </c>
      <c r="H2982" t="s"/>
      <c r="I2982" t="s"/>
      <c r="J2982" t="n">
        <v>0.4389</v>
      </c>
      <c r="K2982" t="n">
        <v>0</v>
      </c>
      <c r="L2982" t="n">
        <v>0.806</v>
      </c>
      <c r="M2982" t="n">
        <v>0.194</v>
      </c>
    </row>
    <row r="2983" spans="1:13">
      <c r="A2983" s="1">
        <f>HYPERLINK("http://www.twitter.com/NathanBLawrence/status/975162304991031296", "975162304991031296")</f>
        <v/>
      </c>
      <c r="B2983" s="2" t="n">
        <v>43177.00677083333</v>
      </c>
      <c r="C2983" t="n">
        <v>3</v>
      </c>
      <c r="D2983" t="n">
        <v>0</v>
      </c>
      <c r="E2983" t="s">
        <v>2994</v>
      </c>
      <c r="F2983" t="s"/>
      <c r="G2983" t="s"/>
      <c r="H2983" t="s"/>
      <c r="I2983" t="s"/>
      <c r="J2983" t="n">
        <v>0</v>
      </c>
      <c r="K2983" t="n">
        <v>0</v>
      </c>
      <c r="L2983" t="n">
        <v>1</v>
      </c>
      <c r="M2983" t="n">
        <v>0</v>
      </c>
    </row>
    <row r="2984" spans="1:13">
      <c r="A2984" s="1">
        <f>HYPERLINK("http://www.twitter.com/NathanBLawrence/status/975159827881254912", "975159827881254912")</f>
        <v/>
      </c>
      <c r="B2984" s="2" t="n">
        <v>43176.99994212963</v>
      </c>
      <c r="C2984" t="n">
        <v>0</v>
      </c>
      <c r="D2984" t="n">
        <v>1151</v>
      </c>
      <c r="E2984" t="s">
        <v>2995</v>
      </c>
      <c r="F2984">
        <f>HYPERLINK("http://pbs.twimg.com/media/DYgi7-RW0AMVybu.jpg", "http://pbs.twimg.com/media/DYgi7-RW0AMVybu.jpg")</f>
        <v/>
      </c>
      <c r="G2984" t="s"/>
      <c r="H2984" t="s"/>
      <c r="I2984" t="s"/>
      <c r="J2984" t="n">
        <v>-0.5106000000000001</v>
      </c>
      <c r="K2984" t="n">
        <v>0.117</v>
      </c>
      <c r="L2984" t="n">
        <v>0.883</v>
      </c>
      <c r="M2984" t="n">
        <v>0</v>
      </c>
    </row>
    <row r="2985" spans="1:13">
      <c r="A2985" s="1">
        <f>HYPERLINK("http://www.twitter.com/NathanBLawrence/status/975156965138685952", "975156965138685952")</f>
        <v/>
      </c>
      <c r="B2985" s="2" t="n">
        <v>43176.99203703704</v>
      </c>
      <c r="C2985" t="n">
        <v>1</v>
      </c>
      <c r="D2985" t="n">
        <v>0</v>
      </c>
      <c r="E2985" t="s">
        <v>2996</v>
      </c>
      <c r="F2985" t="s"/>
      <c r="G2985" t="s"/>
      <c r="H2985" t="s"/>
      <c r="I2985" t="s"/>
      <c r="J2985" t="n">
        <v>0</v>
      </c>
      <c r="K2985" t="n">
        <v>0</v>
      </c>
      <c r="L2985" t="n">
        <v>1</v>
      </c>
      <c r="M2985" t="n">
        <v>0</v>
      </c>
    </row>
    <row r="2986" spans="1:13">
      <c r="A2986" s="1">
        <f>HYPERLINK("http://www.twitter.com/NathanBLawrence/status/975156804240986112", "975156804240986112")</f>
        <v/>
      </c>
      <c r="B2986" s="2" t="n">
        <v>43176.99159722222</v>
      </c>
      <c r="C2986" t="n">
        <v>2</v>
      </c>
      <c r="D2986" t="n">
        <v>0</v>
      </c>
      <c r="E2986" t="s">
        <v>2997</v>
      </c>
      <c r="F2986" t="s"/>
      <c r="G2986" t="s"/>
      <c r="H2986" t="s"/>
      <c r="I2986" t="s"/>
      <c r="J2986" t="n">
        <v>0</v>
      </c>
      <c r="K2986" t="n">
        <v>0</v>
      </c>
      <c r="L2986" t="n">
        <v>1</v>
      </c>
      <c r="M2986" t="n">
        <v>0</v>
      </c>
    </row>
    <row r="2987" spans="1:13">
      <c r="A2987" s="1">
        <f>HYPERLINK("http://www.twitter.com/NathanBLawrence/status/975156302287654913", "975156302287654913")</f>
        <v/>
      </c>
      <c r="B2987" s="2" t="n">
        <v>43176.99020833334</v>
      </c>
      <c r="C2987" t="n">
        <v>2</v>
      </c>
      <c r="D2987" t="n">
        <v>0</v>
      </c>
      <c r="E2987" t="s">
        <v>2998</v>
      </c>
      <c r="F2987" t="s"/>
      <c r="G2987" t="s"/>
      <c r="H2987" t="s"/>
      <c r="I2987" t="s"/>
      <c r="J2987" t="n">
        <v>-0.7127</v>
      </c>
      <c r="K2987" t="n">
        <v>0.35</v>
      </c>
      <c r="L2987" t="n">
        <v>0.65</v>
      </c>
      <c r="M2987" t="n">
        <v>0</v>
      </c>
    </row>
    <row r="2988" spans="1:13">
      <c r="A2988" s="1">
        <f>HYPERLINK("http://www.twitter.com/NathanBLawrence/status/975155581190311936", "975155581190311936")</f>
        <v/>
      </c>
      <c r="B2988" s="2" t="n">
        <v>43176.9882175926</v>
      </c>
      <c r="C2988" t="n">
        <v>0</v>
      </c>
      <c r="D2988" t="n">
        <v>0</v>
      </c>
      <c r="E2988" t="s">
        <v>2999</v>
      </c>
      <c r="F2988" t="s"/>
      <c r="G2988" t="s"/>
      <c r="H2988" t="s"/>
      <c r="I2988" t="s"/>
      <c r="J2988" t="n">
        <v>0</v>
      </c>
      <c r="K2988" t="n">
        <v>0</v>
      </c>
      <c r="L2988" t="n">
        <v>1</v>
      </c>
      <c r="M2988" t="n">
        <v>0</v>
      </c>
    </row>
    <row r="2989" spans="1:13">
      <c r="A2989" s="1">
        <f>HYPERLINK("http://www.twitter.com/NathanBLawrence/status/975154817281781761", "975154817281781761")</f>
        <v/>
      </c>
      <c r="B2989" s="2" t="n">
        <v>43176.98611111111</v>
      </c>
      <c r="C2989" t="n">
        <v>1</v>
      </c>
      <c r="D2989" t="n">
        <v>0</v>
      </c>
      <c r="E2989" t="s">
        <v>3000</v>
      </c>
      <c r="F2989" t="s"/>
      <c r="G2989" t="s"/>
      <c r="H2989" t="s"/>
      <c r="I2989" t="s"/>
      <c r="J2989" t="n">
        <v>-0.6808</v>
      </c>
      <c r="K2989" t="n">
        <v>0.605</v>
      </c>
      <c r="L2989" t="n">
        <v>0.395</v>
      </c>
      <c r="M2989" t="n">
        <v>0</v>
      </c>
    </row>
    <row r="2990" spans="1:13">
      <c r="A2990" s="1">
        <f>HYPERLINK("http://www.twitter.com/NathanBLawrence/status/975154651212460034", "975154651212460034")</f>
        <v/>
      </c>
      <c r="B2990" s="2" t="n">
        <v>43176.98565972222</v>
      </c>
      <c r="C2990" t="n">
        <v>0</v>
      </c>
      <c r="D2990" t="n">
        <v>3</v>
      </c>
      <c r="E2990" t="s">
        <v>3001</v>
      </c>
      <c r="F2990">
        <f>HYPERLINK("http://pbs.twimg.com/media/DYhf3drVoAEPtbO.jpg", "http://pbs.twimg.com/media/DYhf3drVoAEPtbO.jpg")</f>
        <v/>
      </c>
      <c r="G2990" t="s"/>
      <c r="H2990" t="s"/>
      <c r="I2990" t="s"/>
      <c r="J2990" t="n">
        <v>0</v>
      </c>
      <c r="K2990" t="n">
        <v>0</v>
      </c>
      <c r="L2990" t="n">
        <v>1</v>
      </c>
      <c r="M2990" t="n">
        <v>0</v>
      </c>
    </row>
    <row r="2991" spans="1:13">
      <c r="A2991" s="1">
        <f>HYPERLINK("http://www.twitter.com/NathanBLawrence/status/975151222104772608", "975151222104772608")</f>
        <v/>
      </c>
      <c r="B2991" s="2" t="n">
        <v>43176.97619212963</v>
      </c>
      <c r="C2991" t="n">
        <v>2</v>
      </c>
      <c r="D2991" t="n">
        <v>0</v>
      </c>
      <c r="E2991" t="s">
        <v>3002</v>
      </c>
      <c r="F2991">
        <f>HYPERLINK("http://pbs.twimg.com/media/DYhu26YV4AE0AA6.jpg", "http://pbs.twimg.com/media/DYhu26YV4AE0AA6.jpg")</f>
        <v/>
      </c>
      <c r="G2991" t="s"/>
      <c r="H2991" t="s"/>
      <c r="I2991" t="s"/>
      <c r="J2991" t="n">
        <v>0</v>
      </c>
      <c r="K2991" t="n">
        <v>0</v>
      </c>
      <c r="L2991" t="n">
        <v>1</v>
      </c>
      <c r="M2991" t="n">
        <v>0</v>
      </c>
    </row>
    <row r="2992" spans="1:13">
      <c r="A2992" s="1">
        <f>HYPERLINK("http://www.twitter.com/NathanBLawrence/status/975146008656179203", "975146008656179203")</f>
        <v/>
      </c>
      <c r="B2992" s="2" t="n">
        <v>43176.96180555555</v>
      </c>
      <c r="C2992" t="n">
        <v>0</v>
      </c>
      <c r="D2992" t="n">
        <v>2562</v>
      </c>
      <c r="E2992" t="s">
        <v>3003</v>
      </c>
      <c r="F2992" t="s"/>
      <c r="G2992" t="s"/>
      <c r="H2992" t="s"/>
      <c r="I2992" t="s"/>
      <c r="J2992" t="n">
        <v>-0.4753</v>
      </c>
      <c r="K2992" t="n">
        <v>0.128</v>
      </c>
      <c r="L2992" t="n">
        <v>0.872</v>
      </c>
      <c r="M2992" t="n">
        <v>0</v>
      </c>
    </row>
    <row r="2993" spans="1:13">
      <c r="A2993" s="1">
        <f>HYPERLINK("http://www.twitter.com/NathanBLawrence/status/975139899891486727", "975139899891486727")</f>
        <v/>
      </c>
      <c r="B2993" s="2" t="n">
        <v>43176.94495370371</v>
      </c>
      <c r="C2993" t="n">
        <v>0</v>
      </c>
      <c r="D2993" t="n">
        <v>2676</v>
      </c>
      <c r="E2993" t="s">
        <v>3004</v>
      </c>
      <c r="F2993" t="s"/>
      <c r="G2993" t="s"/>
      <c r="H2993" t="s"/>
      <c r="I2993" t="s"/>
      <c r="J2993" t="n">
        <v>-0.5859</v>
      </c>
      <c r="K2993" t="n">
        <v>0.186</v>
      </c>
      <c r="L2993" t="n">
        <v>0.8139999999999999</v>
      </c>
      <c r="M2993" t="n">
        <v>0</v>
      </c>
    </row>
    <row r="2994" spans="1:13">
      <c r="A2994" s="1">
        <f>HYPERLINK("http://www.twitter.com/NathanBLawrence/status/975138334992490497", "975138334992490497")</f>
        <v/>
      </c>
      <c r="B2994" s="2" t="n">
        <v>43176.940625</v>
      </c>
      <c r="C2994" t="n">
        <v>1</v>
      </c>
      <c r="D2994" t="n">
        <v>0</v>
      </c>
      <c r="E2994" t="s">
        <v>3005</v>
      </c>
      <c r="F2994" t="s"/>
      <c r="G2994" t="s"/>
      <c r="H2994" t="s"/>
      <c r="I2994" t="s"/>
      <c r="J2994" t="n">
        <v>0</v>
      </c>
      <c r="K2994" t="n">
        <v>0</v>
      </c>
      <c r="L2994" t="n">
        <v>1</v>
      </c>
      <c r="M2994" t="n">
        <v>0</v>
      </c>
    </row>
    <row r="2995" spans="1:13">
      <c r="A2995" s="1">
        <f>HYPERLINK("http://www.twitter.com/NathanBLawrence/status/975137865037467650", "975137865037467650")</f>
        <v/>
      </c>
      <c r="B2995" s="2" t="n">
        <v>43176.9393287037</v>
      </c>
      <c r="C2995" t="n">
        <v>0</v>
      </c>
      <c r="D2995" t="n">
        <v>2</v>
      </c>
      <c r="E2995" t="s">
        <v>3006</v>
      </c>
      <c r="F2995" t="s"/>
      <c r="G2995" t="s"/>
      <c r="H2995" t="s"/>
      <c r="I2995" t="s"/>
      <c r="J2995" t="n">
        <v>0</v>
      </c>
      <c r="K2995" t="n">
        <v>0</v>
      </c>
      <c r="L2995" t="n">
        <v>1</v>
      </c>
      <c r="M2995" t="n">
        <v>0</v>
      </c>
    </row>
    <row r="2996" spans="1:13">
      <c r="A2996" s="1">
        <f>HYPERLINK("http://www.twitter.com/NathanBLawrence/status/975127873844666369", "975127873844666369")</f>
        <v/>
      </c>
      <c r="B2996" s="2" t="n">
        <v>43176.91175925926</v>
      </c>
      <c r="C2996" t="n">
        <v>0</v>
      </c>
      <c r="D2996" t="n">
        <v>0</v>
      </c>
      <c r="E2996" t="s">
        <v>3007</v>
      </c>
      <c r="F2996" t="s"/>
      <c r="G2996" t="s"/>
      <c r="H2996" t="s"/>
      <c r="I2996" t="s"/>
      <c r="J2996" t="n">
        <v>-0.4466</v>
      </c>
      <c r="K2996" t="n">
        <v>0.595</v>
      </c>
      <c r="L2996" t="n">
        <v>0.405</v>
      </c>
      <c r="M2996" t="n">
        <v>0</v>
      </c>
    </row>
    <row r="2997" spans="1:13">
      <c r="A2997" s="1">
        <f>HYPERLINK("http://www.twitter.com/NathanBLawrence/status/975126416856625152", "975126416856625152")</f>
        <v/>
      </c>
      <c r="B2997" s="2" t="n">
        <v>43176.90774305556</v>
      </c>
      <c r="C2997" t="n">
        <v>1</v>
      </c>
      <c r="D2997" t="n">
        <v>0</v>
      </c>
      <c r="E2997" t="s">
        <v>3008</v>
      </c>
      <c r="F2997">
        <f>HYPERLINK("http://pbs.twimg.com/media/DYhYTJyVQAA2OXa.jpg", "http://pbs.twimg.com/media/DYhYTJyVQAA2OXa.jpg")</f>
        <v/>
      </c>
      <c r="G2997" t="s"/>
      <c r="H2997" t="s"/>
      <c r="I2997" t="s"/>
      <c r="J2997" t="n">
        <v>0.6176</v>
      </c>
      <c r="K2997" t="n">
        <v>0.126</v>
      </c>
      <c r="L2997" t="n">
        <v>0.603</v>
      </c>
      <c r="M2997" t="n">
        <v>0.271</v>
      </c>
    </row>
    <row r="2998" spans="1:13">
      <c r="A2998" s="1">
        <f>HYPERLINK("http://www.twitter.com/NathanBLawrence/status/975125690554216449", "975125690554216449")</f>
        <v/>
      </c>
      <c r="B2998" s="2" t="n">
        <v>43176.90574074074</v>
      </c>
      <c r="C2998" t="n">
        <v>0</v>
      </c>
      <c r="D2998" t="n">
        <v>9</v>
      </c>
      <c r="E2998" t="s">
        <v>3009</v>
      </c>
      <c r="F2998" t="s"/>
      <c r="G2998" t="s"/>
      <c r="H2998" t="s"/>
      <c r="I2998" t="s"/>
      <c r="J2998" t="n">
        <v>0</v>
      </c>
      <c r="K2998" t="n">
        <v>0</v>
      </c>
      <c r="L2998" t="n">
        <v>1</v>
      </c>
      <c r="M2998" t="n">
        <v>0</v>
      </c>
    </row>
    <row r="2999" spans="1:13">
      <c r="A2999" s="1">
        <f>HYPERLINK("http://www.twitter.com/NathanBLawrence/status/975124731916582912", "975124731916582912")</f>
        <v/>
      </c>
      <c r="B2999" s="2" t="n">
        <v>43176.90309027778</v>
      </c>
      <c r="C2999" t="n">
        <v>0</v>
      </c>
      <c r="D2999" t="n">
        <v>123</v>
      </c>
      <c r="E2999" t="s">
        <v>3010</v>
      </c>
      <c r="F2999">
        <f>HYPERLINK("http://pbs.twimg.com/media/DYhGe7xW4AAI5eP.jpg", "http://pbs.twimg.com/media/DYhGe7xW4AAI5eP.jpg")</f>
        <v/>
      </c>
      <c r="G2999" t="s"/>
      <c r="H2999" t="s"/>
      <c r="I2999" t="s"/>
      <c r="J2999" t="n">
        <v>0.5719</v>
      </c>
      <c r="K2999" t="n">
        <v>0</v>
      </c>
      <c r="L2999" t="n">
        <v>0.709</v>
      </c>
      <c r="M2999" t="n">
        <v>0.291</v>
      </c>
    </row>
    <row r="3000" spans="1:13">
      <c r="A3000" s="1">
        <f>HYPERLINK("http://www.twitter.com/NathanBLawrence/status/975124063466205187", "975124063466205187")</f>
        <v/>
      </c>
      <c r="B3000" s="2" t="n">
        <v>43176.90125</v>
      </c>
      <c r="C3000" t="n">
        <v>0</v>
      </c>
      <c r="D3000" t="n">
        <v>0</v>
      </c>
      <c r="E3000" t="s">
        <v>3011</v>
      </c>
      <c r="F3000" t="s"/>
      <c r="G3000" t="s"/>
      <c r="H3000" t="s"/>
      <c r="I3000" t="s"/>
      <c r="J3000" t="n">
        <v>-0.2023</v>
      </c>
      <c r="K3000" t="n">
        <v>0.478</v>
      </c>
      <c r="L3000" t="n">
        <v>0.217</v>
      </c>
      <c r="M3000" t="n">
        <v>0.304</v>
      </c>
    </row>
    <row r="3001" spans="1:13">
      <c r="A3001" s="1">
        <f>HYPERLINK("http://www.twitter.com/NathanBLawrence/status/975123811237552133", "975123811237552133")</f>
        <v/>
      </c>
      <c r="B3001" s="2" t="n">
        <v>43176.90055555556</v>
      </c>
      <c r="C3001" t="n">
        <v>0</v>
      </c>
      <c r="D3001" t="n">
        <v>29</v>
      </c>
      <c r="E3001" t="s">
        <v>3012</v>
      </c>
      <c r="F3001" t="s"/>
      <c r="G3001" t="s"/>
      <c r="H3001" t="s"/>
      <c r="I3001" t="s"/>
      <c r="J3001" t="n">
        <v>0.8877</v>
      </c>
      <c r="K3001" t="n">
        <v>0</v>
      </c>
      <c r="L3001" t="n">
        <v>0.572</v>
      </c>
      <c r="M3001" t="n">
        <v>0.428</v>
      </c>
    </row>
    <row r="3002" spans="1:13">
      <c r="A3002" s="1">
        <f>HYPERLINK("http://www.twitter.com/NathanBLawrence/status/975117728884428800", "975117728884428800")</f>
        <v/>
      </c>
      <c r="B3002" s="2" t="n">
        <v>43176.88377314815</v>
      </c>
      <c r="C3002" t="n">
        <v>0</v>
      </c>
      <c r="D3002" t="n">
        <v>0</v>
      </c>
      <c r="E3002" t="s">
        <v>3013</v>
      </c>
      <c r="F3002" t="s"/>
      <c r="G3002" t="s"/>
      <c r="H3002" t="s"/>
      <c r="I3002" t="s"/>
      <c r="J3002" t="n">
        <v>0</v>
      </c>
      <c r="K3002" t="n">
        <v>0</v>
      </c>
      <c r="L3002" t="n">
        <v>1</v>
      </c>
      <c r="M3002" t="n">
        <v>0</v>
      </c>
    </row>
    <row r="3003" spans="1:13">
      <c r="A3003" s="1">
        <f>HYPERLINK("http://www.twitter.com/NathanBLawrence/status/975116907249651712", "975116907249651712")</f>
        <v/>
      </c>
      <c r="B3003" s="2" t="n">
        <v>43176.88150462963</v>
      </c>
      <c r="C3003" t="n">
        <v>1</v>
      </c>
      <c r="D3003" t="n">
        <v>0</v>
      </c>
      <c r="E3003" t="s">
        <v>3014</v>
      </c>
      <c r="F3003">
        <f>HYPERLINK("http://pbs.twimg.com/media/DYhPpVoVMAA2bKc.jpg", "http://pbs.twimg.com/media/DYhPpVoVMAA2bKc.jpg")</f>
        <v/>
      </c>
      <c r="G3003" t="s"/>
      <c r="H3003" t="s"/>
      <c r="I3003" t="s"/>
      <c r="J3003" t="n">
        <v>-0.4184</v>
      </c>
      <c r="K3003" t="n">
        <v>0.108</v>
      </c>
      <c r="L3003" t="n">
        <v>0.892</v>
      </c>
      <c r="M3003" t="n">
        <v>0</v>
      </c>
    </row>
    <row r="3004" spans="1:13">
      <c r="A3004" s="1">
        <f>HYPERLINK("http://www.twitter.com/NathanBLawrence/status/975116633822957573", "975116633822957573")</f>
        <v/>
      </c>
      <c r="B3004" s="2" t="n">
        <v>43176.88074074074</v>
      </c>
      <c r="C3004" t="n">
        <v>4</v>
      </c>
      <c r="D3004" t="n">
        <v>0</v>
      </c>
      <c r="E3004" t="s">
        <v>3015</v>
      </c>
      <c r="F3004" t="s"/>
      <c r="G3004" t="s"/>
      <c r="H3004" t="s"/>
      <c r="I3004" t="s"/>
      <c r="J3004" t="n">
        <v>0</v>
      </c>
      <c r="K3004" t="n">
        <v>0</v>
      </c>
      <c r="L3004" t="n">
        <v>1</v>
      </c>
      <c r="M3004" t="n">
        <v>0</v>
      </c>
    </row>
    <row r="3005" spans="1:13">
      <c r="A3005" s="1">
        <f>HYPERLINK("http://www.twitter.com/NathanBLawrence/status/975116098218622977", "975116098218622977")</f>
        <v/>
      </c>
      <c r="B3005" s="2" t="n">
        <v>43176.87927083333</v>
      </c>
      <c r="C3005" t="n">
        <v>1</v>
      </c>
      <c r="D3005" t="n">
        <v>0</v>
      </c>
      <c r="E3005" t="s">
        <v>3016</v>
      </c>
      <c r="F3005" t="s"/>
      <c r="G3005" t="s"/>
      <c r="H3005" t="s"/>
      <c r="I3005" t="s"/>
      <c r="J3005" t="n">
        <v>0.3612</v>
      </c>
      <c r="K3005" t="n">
        <v>0.164</v>
      </c>
      <c r="L3005" t="n">
        <v>0.547</v>
      </c>
      <c r="M3005" t="n">
        <v>0.289</v>
      </c>
    </row>
    <row r="3006" spans="1:13">
      <c r="A3006" s="1">
        <f>HYPERLINK("http://www.twitter.com/NathanBLawrence/status/975115952013619202", "975115952013619202")</f>
        <v/>
      </c>
      <c r="B3006" s="2" t="n">
        <v>43176.87886574074</v>
      </c>
      <c r="C3006" t="n">
        <v>1</v>
      </c>
      <c r="D3006" t="n">
        <v>0</v>
      </c>
      <c r="E3006" t="s">
        <v>3017</v>
      </c>
      <c r="F3006" t="s"/>
      <c r="G3006" t="s"/>
      <c r="H3006" t="s"/>
      <c r="I3006" t="s"/>
      <c r="J3006" t="n">
        <v>0.1282</v>
      </c>
      <c r="K3006" t="n">
        <v>0.128</v>
      </c>
      <c r="L3006" t="n">
        <v>0.733</v>
      </c>
      <c r="M3006" t="n">
        <v>0.139</v>
      </c>
    </row>
    <row r="3007" spans="1:13">
      <c r="A3007" s="1">
        <f>HYPERLINK("http://www.twitter.com/NathanBLawrence/status/975115371412971521", "975115371412971521")</f>
        <v/>
      </c>
      <c r="B3007" s="2" t="n">
        <v>43176.87725694444</v>
      </c>
      <c r="C3007" t="n">
        <v>2</v>
      </c>
      <c r="D3007" t="n">
        <v>0</v>
      </c>
      <c r="E3007" t="s">
        <v>3018</v>
      </c>
      <c r="F3007">
        <f>HYPERLINK("http://pbs.twimg.com/media/DYhOQC6V4AAUDkZ.jpg", "http://pbs.twimg.com/media/DYhOQC6V4AAUDkZ.jpg")</f>
        <v/>
      </c>
      <c r="G3007" t="s"/>
      <c r="H3007" t="s"/>
      <c r="I3007" t="s"/>
      <c r="J3007" t="n">
        <v>0</v>
      </c>
      <c r="K3007" t="n">
        <v>0</v>
      </c>
      <c r="L3007" t="n">
        <v>1</v>
      </c>
      <c r="M3007" t="n">
        <v>0</v>
      </c>
    </row>
    <row r="3008" spans="1:13">
      <c r="A3008" s="1">
        <f>HYPERLINK("http://www.twitter.com/NathanBLawrence/status/975115058165493760", "975115058165493760")</f>
        <v/>
      </c>
      <c r="B3008" s="2" t="n">
        <v>43176.87640046296</v>
      </c>
      <c r="C3008" t="n">
        <v>2</v>
      </c>
      <c r="D3008" t="n">
        <v>0</v>
      </c>
      <c r="E3008" t="s">
        <v>3019</v>
      </c>
      <c r="F3008" t="s"/>
      <c r="G3008" t="s"/>
      <c r="H3008" t="s"/>
      <c r="I3008" t="s"/>
      <c r="J3008" t="n">
        <v>0</v>
      </c>
      <c r="K3008" t="n">
        <v>0</v>
      </c>
      <c r="L3008" t="n">
        <v>1</v>
      </c>
      <c r="M3008" t="n">
        <v>0</v>
      </c>
    </row>
    <row r="3009" spans="1:13">
      <c r="A3009" s="1">
        <f>HYPERLINK("http://www.twitter.com/NathanBLawrence/status/975114854582415360", "975114854582415360")</f>
        <v/>
      </c>
      <c r="B3009" s="2" t="n">
        <v>43176.87583333333</v>
      </c>
      <c r="C3009" t="n">
        <v>1</v>
      </c>
      <c r="D3009" t="n">
        <v>0</v>
      </c>
      <c r="E3009" t="s">
        <v>3020</v>
      </c>
      <c r="F3009" t="s"/>
      <c r="G3009" t="s"/>
      <c r="H3009" t="s"/>
      <c r="I3009" t="s"/>
      <c r="J3009" t="n">
        <v>0</v>
      </c>
      <c r="K3009" t="n">
        <v>0</v>
      </c>
      <c r="L3009" t="n">
        <v>1</v>
      </c>
      <c r="M3009" t="n">
        <v>0</v>
      </c>
    </row>
    <row r="3010" spans="1:13">
      <c r="A3010" s="1">
        <f>HYPERLINK("http://www.twitter.com/NathanBLawrence/status/975114719769038851", "975114719769038851")</f>
        <v/>
      </c>
      <c r="B3010" s="2" t="n">
        <v>43176.87546296296</v>
      </c>
      <c r="C3010" t="n">
        <v>1</v>
      </c>
      <c r="D3010" t="n">
        <v>0</v>
      </c>
      <c r="E3010" t="s">
        <v>3021</v>
      </c>
      <c r="F3010" t="s"/>
      <c r="G3010" t="s"/>
      <c r="H3010" t="s"/>
      <c r="I3010" t="s"/>
      <c r="J3010" t="n">
        <v>0</v>
      </c>
      <c r="K3010" t="n">
        <v>0</v>
      </c>
      <c r="L3010" t="n">
        <v>1</v>
      </c>
      <c r="M3010" t="n">
        <v>0</v>
      </c>
    </row>
    <row r="3011" spans="1:13">
      <c r="A3011" s="1">
        <f>HYPERLINK("http://www.twitter.com/NathanBLawrence/status/975114506111258624", "975114506111258624")</f>
        <v/>
      </c>
      <c r="B3011" s="2" t="n">
        <v>43176.87487268518</v>
      </c>
      <c r="C3011" t="n">
        <v>1</v>
      </c>
      <c r="D3011" t="n">
        <v>0</v>
      </c>
      <c r="E3011" t="s">
        <v>3022</v>
      </c>
      <c r="F3011">
        <f>HYPERLINK("http://pbs.twimg.com/media/DYhNdmuVoAAOfZ8.jpg", "http://pbs.twimg.com/media/DYhNdmuVoAAOfZ8.jpg")</f>
        <v/>
      </c>
      <c r="G3011" t="s"/>
      <c r="H3011" t="s"/>
      <c r="I3011" t="s"/>
      <c r="J3011" t="n">
        <v>0</v>
      </c>
      <c r="K3011" t="n">
        <v>0</v>
      </c>
      <c r="L3011" t="n">
        <v>1</v>
      </c>
      <c r="M3011" t="n">
        <v>0</v>
      </c>
    </row>
    <row r="3012" spans="1:13">
      <c r="A3012" s="1">
        <f>HYPERLINK("http://www.twitter.com/NathanBLawrence/status/975091579387088897", "975091579387088897")</f>
        <v/>
      </c>
      <c r="B3012" s="2" t="n">
        <v>43176.8116087963</v>
      </c>
      <c r="C3012" t="n">
        <v>2</v>
      </c>
      <c r="D3012" t="n">
        <v>0</v>
      </c>
      <c r="E3012" t="s">
        <v>3023</v>
      </c>
      <c r="F3012" t="s"/>
      <c r="G3012" t="s"/>
      <c r="H3012" t="s"/>
      <c r="I3012" t="s"/>
      <c r="J3012" t="n">
        <v>0</v>
      </c>
      <c r="K3012" t="n">
        <v>0</v>
      </c>
      <c r="L3012" t="n">
        <v>1</v>
      </c>
      <c r="M3012" t="n">
        <v>0</v>
      </c>
    </row>
    <row r="3013" spans="1:13">
      <c r="A3013" s="1">
        <f>HYPERLINK("http://www.twitter.com/NathanBLawrence/status/975091357290254336", "975091357290254336")</f>
        <v/>
      </c>
      <c r="B3013" s="2" t="n">
        <v>43176.81099537037</v>
      </c>
      <c r="C3013" t="n">
        <v>0</v>
      </c>
      <c r="D3013" t="n">
        <v>0</v>
      </c>
      <c r="E3013" t="s">
        <v>3024</v>
      </c>
      <c r="F3013" t="s"/>
      <c r="G3013" t="s"/>
      <c r="H3013" t="s"/>
      <c r="I3013" t="s"/>
      <c r="J3013" t="n">
        <v>0</v>
      </c>
      <c r="K3013" t="n">
        <v>0</v>
      </c>
      <c r="L3013" t="n">
        <v>1</v>
      </c>
      <c r="M3013" t="n">
        <v>0</v>
      </c>
    </row>
    <row r="3014" spans="1:13">
      <c r="A3014" s="1">
        <f>HYPERLINK("http://www.twitter.com/NathanBLawrence/status/975090259888431109", "975090259888431109")</f>
        <v/>
      </c>
      <c r="B3014" s="2" t="n">
        <v>43176.80796296296</v>
      </c>
      <c r="C3014" t="n">
        <v>2</v>
      </c>
      <c r="D3014" t="n">
        <v>0</v>
      </c>
      <c r="E3014" t="s">
        <v>3025</v>
      </c>
      <c r="F3014" t="s"/>
      <c r="G3014" t="s"/>
      <c r="H3014" t="s"/>
      <c r="I3014" t="s"/>
      <c r="J3014" t="n">
        <v>0.6892</v>
      </c>
      <c r="K3014" t="n">
        <v>0</v>
      </c>
      <c r="L3014" t="n">
        <v>0.631</v>
      </c>
      <c r="M3014" t="n">
        <v>0.369</v>
      </c>
    </row>
    <row r="3015" spans="1:13">
      <c r="A3015" s="1">
        <f>HYPERLINK("http://www.twitter.com/NathanBLawrence/status/975089736460263426", "975089736460263426")</f>
        <v/>
      </c>
      <c r="B3015" s="2" t="n">
        <v>43176.80652777778</v>
      </c>
      <c r="C3015" t="n">
        <v>1</v>
      </c>
      <c r="D3015" t="n">
        <v>0</v>
      </c>
      <c r="E3015" t="s">
        <v>3026</v>
      </c>
      <c r="F3015" t="s"/>
      <c r="G3015" t="s"/>
      <c r="H3015" t="s"/>
      <c r="I3015" t="s"/>
      <c r="J3015" t="n">
        <v>0</v>
      </c>
      <c r="K3015" t="n">
        <v>0</v>
      </c>
      <c r="L3015" t="n">
        <v>1</v>
      </c>
      <c r="M3015" t="n">
        <v>0</v>
      </c>
    </row>
    <row r="3016" spans="1:13">
      <c r="A3016" s="1">
        <f>HYPERLINK("http://www.twitter.com/NathanBLawrence/status/975089570101497858", "975089570101497858")</f>
        <v/>
      </c>
      <c r="B3016" s="2" t="n">
        <v>43176.80606481482</v>
      </c>
      <c r="C3016" t="n">
        <v>0</v>
      </c>
      <c r="D3016" t="n">
        <v>0</v>
      </c>
      <c r="E3016" t="s">
        <v>3027</v>
      </c>
      <c r="F3016">
        <f>HYPERLINK("http://pbs.twimg.com/media/DYg2yp4U0AEY_Ax.jpg", "http://pbs.twimg.com/media/DYg2yp4U0AEY_Ax.jpg")</f>
        <v/>
      </c>
      <c r="G3016" t="s"/>
      <c r="H3016" t="s"/>
      <c r="I3016" t="s"/>
      <c r="J3016" t="n">
        <v>0.4939</v>
      </c>
      <c r="K3016" t="n">
        <v>0</v>
      </c>
      <c r="L3016" t="n">
        <v>0.894</v>
      </c>
      <c r="M3016" t="n">
        <v>0.106</v>
      </c>
    </row>
    <row r="3017" spans="1:13">
      <c r="A3017" s="1">
        <f>HYPERLINK("http://www.twitter.com/NathanBLawrence/status/975088714354438144", "975088714354438144")</f>
        <v/>
      </c>
      <c r="B3017" s="2" t="n">
        <v>43176.80370370371</v>
      </c>
      <c r="C3017" t="n">
        <v>0</v>
      </c>
      <c r="D3017" t="n">
        <v>0</v>
      </c>
      <c r="E3017" t="s">
        <v>3028</v>
      </c>
      <c r="F3017" t="s"/>
      <c r="G3017" t="s"/>
      <c r="H3017" t="s"/>
      <c r="I3017" t="s"/>
      <c r="J3017" t="n">
        <v>0.1531</v>
      </c>
      <c r="K3017" t="n">
        <v>0.201</v>
      </c>
      <c r="L3017" t="n">
        <v>0.486</v>
      </c>
      <c r="M3017" t="n">
        <v>0.312</v>
      </c>
    </row>
    <row r="3018" spans="1:13">
      <c r="A3018" s="1">
        <f>HYPERLINK("http://www.twitter.com/NathanBLawrence/status/975085621634060289", "975085621634060289")</f>
        <v/>
      </c>
      <c r="B3018" s="2" t="n">
        <v>43176.79517361111</v>
      </c>
      <c r="C3018" t="n">
        <v>2</v>
      </c>
      <c r="D3018" t="n">
        <v>0</v>
      </c>
      <c r="E3018" t="s">
        <v>3029</v>
      </c>
      <c r="F3018" t="s"/>
      <c r="G3018" t="s"/>
      <c r="H3018" t="s"/>
      <c r="I3018" t="s"/>
      <c r="J3018" t="n">
        <v>0</v>
      </c>
      <c r="K3018" t="n">
        <v>0</v>
      </c>
      <c r="L3018" t="n">
        <v>1</v>
      </c>
      <c r="M3018" t="n">
        <v>0</v>
      </c>
    </row>
    <row r="3019" spans="1:13">
      <c r="A3019" s="1">
        <f>HYPERLINK("http://www.twitter.com/NathanBLawrence/status/975084755359330305", "975084755359330305")</f>
        <v/>
      </c>
      <c r="B3019" s="2" t="n">
        <v>43176.79277777778</v>
      </c>
      <c r="C3019" t="n">
        <v>0</v>
      </c>
      <c r="D3019" t="n">
        <v>0</v>
      </c>
      <c r="E3019" t="s">
        <v>3030</v>
      </c>
      <c r="F3019" t="s"/>
      <c r="G3019" t="s"/>
      <c r="H3019" t="s"/>
      <c r="I3019" t="s"/>
      <c r="J3019" t="n">
        <v>0</v>
      </c>
      <c r="K3019" t="n">
        <v>0</v>
      </c>
      <c r="L3019" t="n">
        <v>1</v>
      </c>
      <c r="M3019" t="n">
        <v>0</v>
      </c>
    </row>
    <row r="3020" spans="1:13">
      <c r="A3020" s="1">
        <f>HYPERLINK("http://www.twitter.com/NathanBLawrence/status/975084469274243072", "975084469274243072")</f>
        <v/>
      </c>
      <c r="B3020" s="2" t="n">
        <v>43176.79199074074</v>
      </c>
      <c r="C3020" t="n">
        <v>2</v>
      </c>
      <c r="D3020" t="n">
        <v>0</v>
      </c>
      <c r="E3020" t="s">
        <v>3031</v>
      </c>
      <c r="F3020" t="s"/>
      <c r="G3020" t="s"/>
      <c r="H3020" t="s"/>
      <c r="I3020" t="s"/>
      <c r="J3020" t="n">
        <v>0.4939</v>
      </c>
      <c r="K3020" t="n">
        <v>0</v>
      </c>
      <c r="L3020" t="n">
        <v>0.862</v>
      </c>
      <c r="M3020" t="n">
        <v>0.138</v>
      </c>
    </row>
    <row r="3021" spans="1:13">
      <c r="A3021" s="1">
        <f>HYPERLINK("http://www.twitter.com/NathanBLawrence/status/975084190331961344", "975084190331961344")</f>
        <v/>
      </c>
      <c r="B3021" s="2" t="n">
        <v>43176.79121527778</v>
      </c>
      <c r="C3021" t="n">
        <v>0</v>
      </c>
      <c r="D3021" t="n">
        <v>0</v>
      </c>
      <c r="E3021" t="s">
        <v>3032</v>
      </c>
      <c r="F3021">
        <f>HYPERLINK("http://pbs.twimg.com/media/DYgx4kAUMAAB5Qg.jpg", "http://pbs.twimg.com/media/DYgx4kAUMAAB5Qg.jpg")</f>
        <v/>
      </c>
      <c r="G3021" t="s"/>
      <c r="H3021" t="s"/>
      <c r="I3021" t="s"/>
      <c r="J3021" t="n">
        <v>0</v>
      </c>
      <c r="K3021" t="n">
        <v>0</v>
      </c>
      <c r="L3021" t="n">
        <v>1</v>
      </c>
      <c r="M3021" t="n">
        <v>0</v>
      </c>
    </row>
    <row r="3022" spans="1:13">
      <c r="A3022" s="1">
        <f>HYPERLINK("http://www.twitter.com/NathanBLawrence/status/975067330110730240", "975067330110730240")</f>
        <v/>
      </c>
      <c r="B3022" s="2" t="n">
        <v>43176.74469907407</v>
      </c>
      <c r="C3022" t="n">
        <v>2</v>
      </c>
      <c r="D3022" t="n">
        <v>0</v>
      </c>
      <c r="E3022" t="s">
        <v>3033</v>
      </c>
      <c r="F3022" t="s"/>
      <c r="G3022" t="s"/>
      <c r="H3022" t="s"/>
      <c r="I3022" t="s"/>
      <c r="J3022" t="n">
        <v>0.2263</v>
      </c>
      <c r="K3022" t="n">
        <v>0.112</v>
      </c>
      <c r="L3022" t="n">
        <v>0.732</v>
      </c>
      <c r="M3022" t="n">
        <v>0.156</v>
      </c>
    </row>
    <row r="3023" spans="1:13">
      <c r="A3023" s="1">
        <f>HYPERLINK("http://www.twitter.com/NathanBLawrence/status/975067060710658048", "975067060710658048")</f>
        <v/>
      </c>
      <c r="B3023" s="2" t="n">
        <v>43176.74394675926</v>
      </c>
      <c r="C3023" t="n">
        <v>1</v>
      </c>
      <c r="D3023" t="n">
        <v>0</v>
      </c>
      <c r="E3023" t="s">
        <v>3034</v>
      </c>
      <c r="F3023" t="s"/>
      <c r="G3023" t="s"/>
      <c r="H3023" t="s"/>
      <c r="I3023" t="s"/>
      <c r="J3023" t="n">
        <v>0.6369</v>
      </c>
      <c r="K3023" t="n">
        <v>0</v>
      </c>
      <c r="L3023" t="n">
        <v>0.769</v>
      </c>
      <c r="M3023" t="n">
        <v>0.231</v>
      </c>
    </row>
    <row r="3024" spans="1:13">
      <c r="A3024" s="1">
        <f>HYPERLINK("http://www.twitter.com/NathanBLawrence/status/975065885403701248", "975065885403701248")</f>
        <v/>
      </c>
      <c r="B3024" s="2" t="n">
        <v>43176.74070601852</v>
      </c>
      <c r="C3024" t="n">
        <v>0</v>
      </c>
      <c r="D3024" t="n">
        <v>0</v>
      </c>
      <c r="E3024" t="s">
        <v>3035</v>
      </c>
      <c r="F3024" t="s"/>
      <c r="G3024" t="s"/>
      <c r="H3024" t="s"/>
      <c r="I3024" t="s"/>
      <c r="J3024" t="n">
        <v>-0.09</v>
      </c>
      <c r="K3024" t="n">
        <v>0.155</v>
      </c>
      <c r="L3024" t="n">
        <v>0.717</v>
      </c>
      <c r="M3024" t="n">
        <v>0.127</v>
      </c>
    </row>
    <row r="3025" spans="1:13">
      <c r="A3025" s="1">
        <f>HYPERLINK("http://www.twitter.com/NathanBLawrence/status/975062405930717184", "975062405930717184")</f>
        <v/>
      </c>
      <c r="B3025" s="2" t="n">
        <v>43176.73111111111</v>
      </c>
      <c r="C3025" t="n">
        <v>3</v>
      </c>
      <c r="D3025" t="n">
        <v>0</v>
      </c>
      <c r="E3025" t="s">
        <v>3036</v>
      </c>
      <c r="F3025" t="s"/>
      <c r="G3025" t="s"/>
      <c r="H3025" t="s"/>
      <c r="I3025" t="s"/>
      <c r="J3025" t="n">
        <v>0.6908</v>
      </c>
      <c r="K3025" t="n">
        <v>0</v>
      </c>
      <c r="L3025" t="n">
        <v>0.637</v>
      </c>
      <c r="M3025" t="n">
        <v>0.363</v>
      </c>
    </row>
    <row r="3026" spans="1:13">
      <c r="A3026" s="1">
        <f>HYPERLINK("http://www.twitter.com/NathanBLawrence/status/975062215731576832", "975062215731576832")</f>
        <v/>
      </c>
      <c r="B3026" s="2" t="n">
        <v>43176.7305787037</v>
      </c>
      <c r="C3026" t="n">
        <v>2</v>
      </c>
      <c r="D3026" t="n">
        <v>0</v>
      </c>
      <c r="E3026" t="s">
        <v>3037</v>
      </c>
      <c r="F3026" t="s"/>
      <c r="G3026" t="s"/>
      <c r="H3026" t="s"/>
      <c r="I3026" t="s"/>
      <c r="J3026" t="n">
        <v>0</v>
      </c>
      <c r="K3026" t="n">
        <v>0</v>
      </c>
      <c r="L3026" t="n">
        <v>1</v>
      </c>
      <c r="M3026" t="n">
        <v>0</v>
      </c>
    </row>
    <row r="3027" spans="1:13">
      <c r="A3027" s="1">
        <f>HYPERLINK("http://www.twitter.com/NathanBLawrence/status/975061486522519552", "975061486522519552")</f>
        <v/>
      </c>
      <c r="B3027" s="2" t="n">
        <v>43176.72856481482</v>
      </c>
      <c r="C3027" t="n">
        <v>2</v>
      </c>
      <c r="D3027" t="n">
        <v>0</v>
      </c>
      <c r="E3027" t="s">
        <v>3038</v>
      </c>
      <c r="F3027" t="s"/>
      <c r="G3027" t="s"/>
      <c r="H3027" t="s"/>
      <c r="I3027" t="s"/>
      <c r="J3027" t="n">
        <v>0</v>
      </c>
      <c r="K3027" t="n">
        <v>0</v>
      </c>
      <c r="L3027" t="n">
        <v>1</v>
      </c>
      <c r="M3027" t="n">
        <v>0</v>
      </c>
    </row>
    <row r="3028" spans="1:13">
      <c r="A3028" s="1">
        <f>HYPERLINK("http://www.twitter.com/NathanBLawrence/status/975061125342613506", "975061125342613506")</f>
        <v/>
      </c>
      <c r="B3028" s="2" t="n">
        <v>43176.72756944445</v>
      </c>
      <c r="C3028" t="n">
        <v>0</v>
      </c>
      <c r="D3028" t="n">
        <v>0</v>
      </c>
      <c r="E3028" t="s">
        <v>3039</v>
      </c>
      <c r="F3028" t="s"/>
      <c r="G3028" t="s"/>
      <c r="H3028" t="s"/>
      <c r="I3028" t="s"/>
      <c r="J3028" t="n">
        <v>0.4809</v>
      </c>
      <c r="K3028" t="n">
        <v>0</v>
      </c>
      <c r="L3028" t="n">
        <v>0.66</v>
      </c>
      <c r="M3028" t="n">
        <v>0.34</v>
      </c>
    </row>
    <row r="3029" spans="1:13">
      <c r="A3029" s="1">
        <f>HYPERLINK("http://www.twitter.com/NathanBLawrence/status/975061006312460290", "975061006312460290")</f>
        <v/>
      </c>
      <c r="B3029" s="2" t="n">
        <v>43176.72724537037</v>
      </c>
      <c r="C3029" t="n">
        <v>0</v>
      </c>
      <c r="D3029" t="n">
        <v>0</v>
      </c>
      <c r="E3029" t="s">
        <v>3040</v>
      </c>
      <c r="F3029" t="s"/>
      <c r="G3029" t="s"/>
      <c r="H3029" t="s"/>
      <c r="I3029" t="s"/>
      <c r="J3029" t="n">
        <v>0</v>
      </c>
      <c r="K3029" t="n">
        <v>0</v>
      </c>
      <c r="L3029" t="n">
        <v>1</v>
      </c>
      <c r="M3029" t="n">
        <v>0</v>
      </c>
    </row>
    <row r="3030" spans="1:13">
      <c r="A3030" s="1">
        <f>HYPERLINK("http://www.twitter.com/NathanBLawrence/status/975060907947692033", "975060907947692033")</f>
        <v/>
      </c>
      <c r="B3030" s="2" t="n">
        <v>43176.72696759259</v>
      </c>
      <c r="C3030" t="n">
        <v>1</v>
      </c>
      <c r="D3030" t="n">
        <v>0</v>
      </c>
      <c r="E3030" t="s">
        <v>3041</v>
      </c>
      <c r="F3030" t="s"/>
      <c r="G3030" t="s"/>
      <c r="H3030" t="s"/>
      <c r="I3030" t="s"/>
      <c r="J3030" t="n">
        <v>0</v>
      </c>
      <c r="K3030" t="n">
        <v>0</v>
      </c>
      <c r="L3030" t="n">
        <v>1</v>
      </c>
      <c r="M3030" t="n">
        <v>0</v>
      </c>
    </row>
    <row r="3031" spans="1:13">
      <c r="A3031" s="1">
        <f>HYPERLINK("http://www.twitter.com/NathanBLawrence/status/975050335591989249", "975050335591989249")</f>
        <v/>
      </c>
      <c r="B3031" s="2" t="n">
        <v>43176.69780092593</v>
      </c>
      <c r="C3031" t="n">
        <v>3</v>
      </c>
      <c r="D3031" t="n">
        <v>0</v>
      </c>
      <c r="E3031" t="s">
        <v>3042</v>
      </c>
      <c r="F3031" t="s"/>
      <c r="G3031" t="s"/>
      <c r="H3031" t="s"/>
      <c r="I3031" t="s"/>
      <c r="J3031" t="n">
        <v>0.1877</v>
      </c>
      <c r="K3031" t="n">
        <v>0.068</v>
      </c>
      <c r="L3031" t="n">
        <v>0.84</v>
      </c>
      <c r="M3031" t="n">
        <v>0.092</v>
      </c>
    </row>
    <row r="3032" spans="1:13">
      <c r="A3032" s="1">
        <f>HYPERLINK("http://www.twitter.com/NathanBLawrence/status/975050027608477696", "975050027608477696")</f>
        <v/>
      </c>
      <c r="B3032" s="2" t="n">
        <v>43176.69694444445</v>
      </c>
      <c r="C3032" t="n">
        <v>1</v>
      </c>
      <c r="D3032" t="n">
        <v>0</v>
      </c>
      <c r="E3032" t="s">
        <v>3043</v>
      </c>
      <c r="F3032" t="s"/>
      <c r="G3032" t="s"/>
      <c r="H3032" t="s"/>
      <c r="I3032" t="s"/>
      <c r="J3032" t="n">
        <v>0</v>
      </c>
      <c r="K3032" t="n">
        <v>0</v>
      </c>
      <c r="L3032" t="n">
        <v>1</v>
      </c>
      <c r="M3032" t="n">
        <v>0</v>
      </c>
    </row>
    <row r="3033" spans="1:13">
      <c r="A3033" s="1">
        <f>HYPERLINK("http://www.twitter.com/NathanBLawrence/status/975049750742470656", "975049750742470656")</f>
        <v/>
      </c>
      <c r="B3033" s="2" t="n">
        <v>43176.69618055555</v>
      </c>
      <c r="C3033" t="n">
        <v>0</v>
      </c>
      <c r="D3033" t="n">
        <v>0</v>
      </c>
      <c r="E3033" t="s">
        <v>3044</v>
      </c>
      <c r="F3033" t="s"/>
      <c r="G3033" t="s"/>
      <c r="H3033" t="s"/>
      <c r="I3033" t="s"/>
      <c r="J3033" t="n">
        <v>0</v>
      </c>
      <c r="K3033" t="n">
        <v>0</v>
      </c>
      <c r="L3033" t="n">
        <v>1</v>
      </c>
      <c r="M3033" t="n">
        <v>0</v>
      </c>
    </row>
    <row r="3034" spans="1:13">
      <c r="A3034" s="1">
        <f>HYPERLINK("http://www.twitter.com/NathanBLawrence/status/975049603342008320", "975049603342008320")</f>
        <v/>
      </c>
      <c r="B3034" s="2" t="n">
        <v>43176.69577546296</v>
      </c>
      <c r="C3034" t="n">
        <v>0</v>
      </c>
      <c r="D3034" t="n">
        <v>5975</v>
      </c>
      <c r="E3034" t="s">
        <v>3045</v>
      </c>
      <c r="F3034" t="s"/>
      <c r="G3034" t="s"/>
      <c r="H3034" t="s"/>
      <c r="I3034" t="s"/>
      <c r="J3034" t="n">
        <v>0.6486</v>
      </c>
      <c r="K3034" t="n">
        <v>0.134</v>
      </c>
      <c r="L3034" t="n">
        <v>0.629</v>
      </c>
      <c r="M3034" t="n">
        <v>0.237</v>
      </c>
    </row>
    <row r="3035" spans="1:13">
      <c r="A3035" s="1">
        <f>HYPERLINK("http://www.twitter.com/NathanBLawrence/status/975037188630081536", "975037188630081536")</f>
        <v/>
      </c>
      <c r="B3035" s="2" t="n">
        <v>43176.66151620371</v>
      </c>
      <c r="C3035" t="n">
        <v>0</v>
      </c>
      <c r="D3035" t="n">
        <v>4377</v>
      </c>
      <c r="E3035" t="s">
        <v>3046</v>
      </c>
      <c r="F3035" t="s"/>
      <c r="G3035" t="s"/>
      <c r="H3035" t="s"/>
      <c r="I3035" t="s"/>
      <c r="J3035" t="n">
        <v>-0.4939</v>
      </c>
      <c r="K3035" t="n">
        <v>0.132</v>
      </c>
      <c r="L3035" t="n">
        <v>0.868</v>
      </c>
      <c r="M3035" t="n">
        <v>0</v>
      </c>
    </row>
    <row r="3036" spans="1:13">
      <c r="A3036" s="1">
        <f>HYPERLINK("http://www.twitter.com/NathanBLawrence/status/975035672603095040", "975035672603095040")</f>
        <v/>
      </c>
      <c r="B3036" s="2" t="n">
        <v>43176.65733796296</v>
      </c>
      <c r="C3036" t="n">
        <v>2</v>
      </c>
      <c r="D3036" t="n">
        <v>0</v>
      </c>
      <c r="E3036" t="s">
        <v>3047</v>
      </c>
      <c r="F3036" t="s"/>
      <c r="G3036" t="s"/>
      <c r="H3036" t="s"/>
      <c r="I3036" t="s"/>
      <c r="J3036" t="n">
        <v>-0.7088</v>
      </c>
      <c r="K3036" t="n">
        <v>0.182</v>
      </c>
      <c r="L3036" t="n">
        <v>0.8179999999999999</v>
      </c>
      <c r="M3036" t="n">
        <v>0</v>
      </c>
    </row>
    <row r="3037" spans="1:13">
      <c r="A3037" s="1">
        <f>HYPERLINK("http://www.twitter.com/NathanBLawrence/status/975033765394288642", "975033765394288642")</f>
        <v/>
      </c>
      <c r="B3037" s="2" t="n">
        <v>43176.65207175926</v>
      </c>
      <c r="C3037" t="n">
        <v>0</v>
      </c>
      <c r="D3037" t="n">
        <v>2667</v>
      </c>
      <c r="E3037" t="s">
        <v>3048</v>
      </c>
      <c r="F3037">
        <f>HYPERLINK("http://pbs.twimg.com/media/DYdXiCkX0AAWdZT.jpg", "http://pbs.twimg.com/media/DYdXiCkX0AAWdZT.jpg")</f>
        <v/>
      </c>
      <c r="G3037" t="s"/>
      <c r="H3037" t="s"/>
      <c r="I3037" t="s"/>
      <c r="J3037" t="n">
        <v>-0.3869</v>
      </c>
      <c r="K3037" t="n">
        <v>0.248</v>
      </c>
      <c r="L3037" t="n">
        <v>0.591</v>
      </c>
      <c r="M3037" t="n">
        <v>0.161</v>
      </c>
    </row>
    <row r="3038" spans="1:13">
      <c r="A3038" s="1">
        <f>HYPERLINK("http://www.twitter.com/NathanBLawrence/status/975033461584158721", "975033461584158721")</f>
        <v/>
      </c>
      <c r="B3038" s="2" t="n">
        <v>43176.65123842593</v>
      </c>
      <c r="C3038" t="n">
        <v>0</v>
      </c>
      <c r="D3038" t="n">
        <v>175</v>
      </c>
      <c r="E3038" t="s">
        <v>3049</v>
      </c>
      <c r="F3038">
        <f>HYPERLINK("http://pbs.twimg.com/media/DYfmlK0XcAAudlx.jpg", "http://pbs.twimg.com/media/DYfmlK0XcAAudlx.jpg")</f>
        <v/>
      </c>
      <c r="G3038" t="s"/>
      <c r="H3038" t="s"/>
      <c r="I3038" t="s"/>
      <c r="J3038" t="n">
        <v>0</v>
      </c>
      <c r="K3038" t="n">
        <v>0</v>
      </c>
      <c r="L3038" t="n">
        <v>1</v>
      </c>
      <c r="M3038" t="n">
        <v>0</v>
      </c>
    </row>
    <row r="3039" spans="1:13">
      <c r="A3039" s="1">
        <f>HYPERLINK("http://www.twitter.com/NathanBLawrence/status/975033336136654848", "975033336136654848")</f>
        <v/>
      </c>
      <c r="B3039" s="2" t="n">
        <v>43176.6508912037</v>
      </c>
      <c r="C3039" t="n">
        <v>1</v>
      </c>
      <c r="D3039" t="n">
        <v>0</v>
      </c>
      <c r="E3039" t="s">
        <v>3050</v>
      </c>
      <c r="F3039" t="s"/>
      <c r="G3039" t="s"/>
      <c r="H3039" t="s"/>
      <c r="I3039" t="s"/>
      <c r="J3039" t="n">
        <v>-0.3818</v>
      </c>
      <c r="K3039" t="n">
        <v>0.172</v>
      </c>
      <c r="L3039" t="n">
        <v>0.735</v>
      </c>
      <c r="M3039" t="n">
        <v>0.093</v>
      </c>
    </row>
    <row r="3040" spans="1:13">
      <c r="A3040" s="1">
        <f>HYPERLINK("http://www.twitter.com/NathanBLawrence/status/975032870845771776", "975032870845771776")</f>
        <v/>
      </c>
      <c r="B3040" s="2" t="n">
        <v>43176.64960648148</v>
      </c>
      <c r="C3040" t="n">
        <v>1</v>
      </c>
      <c r="D3040" t="n">
        <v>0</v>
      </c>
      <c r="E3040" t="s">
        <v>3051</v>
      </c>
      <c r="F3040" t="s"/>
      <c r="G3040" t="s"/>
      <c r="H3040" t="s"/>
      <c r="I3040" t="s"/>
      <c r="J3040" t="n">
        <v>-0.4588</v>
      </c>
      <c r="K3040" t="n">
        <v>0.199</v>
      </c>
      <c r="L3040" t="n">
        <v>0.714</v>
      </c>
      <c r="M3040" t="n">
        <v>0.08599999999999999</v>
      </c>
    </row>
    <row r="3041" spans="1:13">
      <c r="A3041" s="1">
        <f>HYPERLINK("http://www.twitter.com/NathanBLawrence/status/975032175249842176", "975032175249842176")</f>
        <v/>
      </c>
      <c r="B3041" s="2" t="n">
        <v>43176.64768518518</v>
      </c>
      <c r="C3041" t="n">
        <v>0</v>
      </c>
      <c r="D3041" t="n">
        <v>0</v>
      </c>
      <c r="E3041" t="s">
        <v>3052</v>
      </c>
      <c r="F3041">
        <f>HYPERLINK("http://pbs.twimg.com/media/DYgCmCkUQAE_s0M.jpg", "http://pbs.twimg.com/media/DYgCmCkUQAE_s0M.jpg")</f>
        <v/>
      </c>
      <c r="G3041" t="s"/>
      <c r="H3041" t="s"/>
      <c r="I3041" t="s"/>
      <c r="J3041" t="n">
        <v>0</v>
      </c>
      <c r="K3041" t="n">
        <v>0</v>
      </c>
      <c r="L3041" t="n">
        <v>1</v>
      </c>
      <c r="M3041" t="n">
        <v>0</v>
      </c>
    </row>
    <row r="3042" spans="1:13">
      <c r="A3042" s="1">
        <f>HYPERLINK("http://www.twitter.com/NathanBLawrence/status/975031365627506688", "975031365627506688")</f>
        <v/>
      </c>
      <c r="B3042" s="2" t="n">
        <v>43176.64545138889</v>
      </c>
      <c r="C3042" t="n">
        <v>0</v>
      </c>
      <c r="D3042" t="n">
        <v>10051</v>
      </c>
      <c r="E3042" t="s">
        <v>3053</v>
      </c>
      <c r="F3042" t="s"/>
      <c r="G3042" t="s"/>
      <c r="H3042" t="s"/>
      <c r="I3042" t="s"/>
      <c r="J3042" t="n">
        <v>0.0772</v>
      </c>
      <c r="K3042" t="n">
        <v>0.111</v>
      </c>
      <c r="L3042" t="n">
        <v>0.767</v>
      </c>
      <c r="M3042" t="n">
        <v>0.122</v>
      </c>
    </row>
    <row r="3043" spans="1:13">
      <c r="A3043" s="1">
        <f>HYPERLINK("http://www.twitter.com/NathanBLawrence/status/975030462711259138", "975030462711259138")</f>
        <v/>
      </c>
      <c r="B3043" s="2" t="n">
        <v>43176.64296296296</v>
      </c>
      <c r="C3043" t="n">
        <v>1</v>
      </c>
      <c r="D3043" t="n">
        <v>0</v>
      </c>
      <c r="E3043" t="s">
        <v>3054</v>
      </c>
      <c r="F3043" t="s"/>
      <c r="G3043" t="s"/>
      <c r="H3043" t="s"/>
      <c r="I3043" t="s"/>
      <c r="J3043" t="n">
        <v>-0.4404</v>
      </c>
      <c r="K3043" t="n">
        <v>0.162</v>
      </c>
      <c r="L3043" t="n">
        <v>0.838</v>
      </c>
      <c r="M3043" t="n">
        <v>0</v>
      </c>
    </row>
    <row r="3044" spans="1:13">
      <c r="A3044" s="1">
        <f>HYPERLINK("http://www.twitter.com/NathanBLawrence/status/975019821401346048", "975019821401346048")</f>
        <v/>
      </c>
      <c r="B3044" s="2" t="n">
        <v>43176.61359953704</v>
      </c>
      <c r="C3044" t="n">
        <v>0</v>
      </c>
      <c r="D3044" t="n">
        <v>0</v>
      </c>
      <c r="E3044" t="s">
        <v>3055</v>
      </c>
      <c r="F3044" t="s"/>
      <c r="G3044" t="s"/>
      <c r="H3044" t="s"/>
      <c r="I3044" t="s"/>
      <c r="J3044" t="n">
        <v>-0.5719</v>
      </c>
      <c r="K3044" t="n">
        <v>0.139</v>
      </c>
      <c r="L3044" t="n">
        <v>0.861</v>
      </c>
      <c r="M3044" t="n">
        <v>0</v>
      </c>
    </row>
    <row r="3045" spans="1:13">
      <c r="A3045" s="1">
        <f>HYPERLINK("http://www.twitter.com/NathanBLawrence/status/975010224179503104", "975010224179503104")</f>
        <v/>
      </c>
      <c r="B3045" s="2" t="n">
        <v>43176.58710648148</v>
      </c>
      <c r="C3045" t="n">
        <v>0</v>
      </c>
      <c r="D3045" t="n">
        <v>0</v>
      </c>
      <c r="E3045" t="s">
        <v>3056</v>
      </c>
      <c r="F3045">
        <f>HYPERLINK("http://pbs.twimg.com/media/DYfuoSaVMAAVCSD.jpg", "http://pbs.twimg.com/media/DYfuoSaVMAAVCSD.jpg")</f>
        <v/>
      </c>
      <c r="G3045" t="s"/>
      <c r="H3045" t="s"/>
      <c r="I3045" t="s"/>
      <c r="J3045" t="n">
        <v>0</v>
      </c>
      <c r="K3045" t="n">
        <v>0</v>
      </c>
      <c r="L3045" t="n">
        <v>1</v>
      </c>
      <c r="M3045" t="n">
        <v>0</v>
      </c>
    </row>
    <row r="3046" spans="1:13">
      <c r="A3046" s="1">
        <f>HYPERLINK("http://www.twitter.com/NathanBLawrence/status/975008793217118214", "975008793217118214")</f>
        <v/>
      </c>
      <c r="B3046" s="2" t="n">
        <v>43176.58315972222</v>
      </c>
      <c r="C3046" t="n">
        <v>3</v>
      </c>
      <c r="D3046" t="n">
        <v>0</v>
      </c>
      <c r="E3046" t="s">
        <v>3057</v>
      </c>
      <c r="F3046" t="s"/>
      <c r="G3046" t="s"/>
      <c r="H3046" t="s"/>
      <c r="I3046" t="s"/>
      <c r="J3046" t="n">
        <v>-0.6988</v>
      </c>
      <c r="K3046" t="n">
        <v>0.303</v>
      </c>
      <c r="L3046" t="n">
        <v>0.697</v>
      </c>
      <c r="M3046" t="n">
        <v>0</v>
      </c>
    </row>
    <row r="3047" spans="1:13">
      <c r="A3047" s="1">
        <f>HYPERLINK("http://www.twitter.com/NathanBLawrence/status/975007932789284864", "975007932789284864")</f>
        <v/>
      </c>
      <c r="B3047" s="2" t="n">
        <v>43176.58078703703</v>
      </c>
      <c r="C3047" t="n">
        <v>0</v>
      </c>
      <c r="D3047" t="n">
        <v>0</v>
      </c>
      <c r="E3047" t="s">
        <v>3058</v>
      </c>
      <c r="F3047">
        <f>HYPERLINK("http://pbs.twimg.com/media/DYfsipMUQAAxNmQ.jpg", "http://pbs.twimg.com/media/DYfsipMUQAAxNmQ.jpg")</f>
        <v/>
      </c>
      <c r="G3047" t="s"/>
      <c r="H3047" t="s"/>
      <c r="I3047" t="s"/>
      <c r="J3047" t="n">
        <v>0</v>
      </c>
      <c r="K3047" t="n">
        <v>0</v>
      </c>
      <c r="L3047" t="n">
        <v>1</v>
      </c>
      <c r="M3047" t="n">
        <v>0</v>
      </c>
    </row>
    <row r="3048" spans="1:13">
      <c r="A3048" s="1">
        <f>HYPERLINK("http://www.twitter.com/NathanBLawrence/status/974994961644097537", "974994961644097537")</f>
        <v/>
      </c>
      <c r="B3048" s="2" t="n">
        <v>43176.545</v>
      </c>
      <c r="C3048" t="n">
        <v>1</v>
      </c>
      <c r="D3048" t="n">
        <v>0</v>
      </c>
      <c r="E3048" t="s">
        <v>3059</v>
      </c>
      <c r="F3048">
        <f>HYPERLINK("http://pbs.twimg.com/media/DYfgvoZVoAEySAq.jpg", "http://pbs.twimg.com/media/DYfgvoZVoAEySAq.jpg")</f>
        <v/>
      </c>
      <c r="G3048" t="s"/>
      <c r="H3048" t="s"/>
      <c r="I3048" t="s"/>
      <c r="J3048" t="n">
        <v>0.5574</v>
      </c>
      <c r="K3048" t="n">
        <v>0</v>
      </c>
      <c r="L3048" t="n">
        <v>0.777</v>
      </c>
      <c r="M3048" t="n">
        <v>0.223</v>
      </c>
    </row>
    <row r="3049" spans="1:13">
      <c r="A3049" s="1">
        <f>HYPERLINK("http://www.twitter.com/NathanBLawrence/status/974994506159403009", "974994506159403009")</f>
        <v/>
      </c>
      <c r="B3049" s="2" t="n">
        <v>43176.54373842593</v>
      </c>
      <c r="C3049" t="n">
        <v>0</v>
      </c>
      <c r="D3049" t="n">
        <v>0</v>
      </c>
      <c r="E3049" t="s">
        <v>3060</v>
      </c>
      <c r="F3049" t="s"/>
      <c r="G3049" t="s"/>
      <c r="H3049" t="s"/>
      <c r="I3049" t="s"/>
      <c r="J3049" t="n">
        <v>-0.2732</v>
      </c>
      <c r="K3049" t="n">
        <v>0.122</v>
      </c>
      <c r="L3049" t="n">
        <v>0.798</v>
      </c>
      <c r="M3049" t="n">
        <v>0.08</v>
      </c>
    </row>
    <row r="3050" spans="1:13">
      <c r="A3050" s="1">
        <f>HYPERLINK("http://www.twitter.com/NathanBLawrence/status/974993516454666240", "974993516454666240")</f>
        <v/>
      </c>
      <c r="B3050" s="2" t="n">
        <v>43176.54100694445</v>
      </c>
      <c r="C3050" t="n">
        <v>0</v>
      </c>
      <c r="D3050" t="n">
        <v>0</v>
      </c>
      <c r="E3050" t="s">
        <v>3061</v>
      </c>
      <c r="F3050" t="s"/>
      <c r="G3050" t="s"/>
      <c r="H3050" t="s"/>
      <c r="I3050" t="s"/>
      <c r="J3050" t="n">
        <v>-0.2851</v>
      </c>
      <c r="K3050" t="n">
        <v>0.192</v>
      </c>
      <c r="L3050" t="n">
        <v>0.644</v>
      </c>
      <c r="M3050" t="n">
        <v>0.164</v>
      </c>
    </row>
    <row r="3051" spans="1:13">
      <c r="A3051" s="1">
        <f>HYPERLINK("http://www.twitter.com/NathanBLawrence/status/974992361876058113", "974992361876058113")</f>
        <v/>
      </c>
      <c r="B3051" s="2" t="n">
        <v>43176.53782407408</v>
      </c>
      <c r="C3051" t="n">
        <v>0</v>
      </c>
      <c r="D3051" t="n">
        <v>0</v>
      </c>
      <c r="E3051" t="s">
        <v>3062</v>
      </c>
      <c r="F3051" t="s"/>
      <c r="G3051" t="s"/>
      <c r="H3051" t="s"/>
      <c r="I3051" t="s"/>
      <c r="J3051" t="n">
        <v>0</v>
      </c>
      <c r="K3051" t="n">
        <v>0</v>
      </c>
      <c r="L3051" t="n">
        <v>1</v>
      </c>
      <c r="M3051" t="n">
        <v>0</v>
      </c>
    </row>
    <row r="3052" spans="1:13">
      <c r="A3052" s="1">
        <f>HYPERLINK("http://www.twitter.com/NathanBLawrence/status/974992137875087360", "974992137875087360")</f>
        <v/>
      </c>
      <c r="B3052" s="2" t="n">
        <v>43176.53719907408</v>
      </c>
      <c r="C3052" t="n">
        <v>0</v>
      </c>
      <c r="D3052" t="n">
        <v>0</v>
      </c>
      <c r="E3052" t="s">
        <v>3063</v>
      </c>
      <c r="F3052">
        <f>HYPERLINK("http://pbs.twimg.com/media/DYfeLkOU0AAY7Ud.jpg", "http://pbs.twimg.com/media/DYfeLkOU0AAY7Ud.jpg")</f>
        <v/>
      </c>
      <c r="G3052" t="s"/>
      <c r="H3052" t="s"/>
      <c r="I3052" t="s"/>
      <c r="J3052" t="n">
        <v>0</v>
      </c>
      <c r="K3052" t="n">
        <v>0</v>
      </c>
      <c r="L3052" t="n">
        <v>1</v>
      </c>
      <c r="M3052" t="n">
        <v>0</v>
      </c>
    </row>
    <row r="3053" spans="1:13">
      <c r="A3053" s="1">
        <f>HYPERLINK("http://www.twitter.com/NathanBLawrence/status/974991825940500480", "974991825940500480")</f>
        <v/>
      </c>
      <c r="B3053" s="2" t="n">
        <v>43176.53634259259</v>
      </c>
      <c r="C3053" t="n">
        <v>0</v>
      </c>
      <c r="D3053" t="n">
        <v>6532</v>
      </c>
      <c r="E3053" t="s">
        <v>3064</v>
      </c>
      <c r="F3053" t="s"/>
      <c r="G3053" t="s"/>
      <c r="H3053" t="s"/>
      <c r="I3053" t="s"/>
      <c r="J3053" t="n">
        <v>-0.3818</v>
      </c>
      <c r="K3053" t="n">
        <v>0.106</v>
      </c>
      <c r="L3053" t="n">
        <v>0.894</v>
      </c>
      <c r="M3053" t="n">
        <v>0</v>
      </c>
    </row>
    <row r="3054" spans="1:13">
      <c r="A3054" s="1">
        <f>HYPERLINK("http://www.twitter.com/NathanBLawrence/status/974987214768754691", "974987214768754691")</f>
        <v/>
      </c>
      <c r="B3054" s="2" t="n">
        <v>43176.52362268518</v>
      </c>
      <c r="C3054" t="n">
        <v>22</v>
      </c>
      <c r="D3054" t="n">
        <v>11</v>
      </c>
      <c r="E3054" t="s">
        <v>3065</v>
      </c>
      <c r="F3054" t="s"/>
      <c r="G3054" t="s"/>
      <c r="H3054" t="s"/>
      <c r="I3054" t="s"/>
      <c r="J3054" t="n">
        <v>0.4019</v>
      </c>
      <c r="K3054" t="n">
        <v>0</v>
      </c>
      <c r="L3054" t="n">
        <v>0.924</v>
      </c>
      <c r="M3054" t="n">
        <v>0.076</v>
      </c>
    </row>
    <row r="3055" spans="1:13">
      <c r="A3055" s="1">
        <f>HYPERLINK("http://www.twitter.com/NathanBLawrence/status/974986464894377984", "974986464894377984")</f>
        <v/>
      </c>
      <c r="B3055" s="2" t="n">
        <v>43176.52155092593</v>
      </c>
      <c r="C3055" t="n">
        <v>1</v>
      </c>
      <c r="D3055" t="n">
        <v>1</v>
      </c>
      <c r="E3055" t="s">
        <v>3066</v>
      </c>
      <c r="F3055" t="s"/>
      <c r="G3055" t="s"/>
      <c r="H3055" t="s"/>
      <c r="I3055" t="s"/>
      <c r="J3055" t="n">
        <v>-0.0772</v>
      </c>
      <c r="K3055" t="n">
        <v>0.106</v>
      </c>
      <c r="L3055" t="n">
        <v>0.894</v>
      </c>
      <c r="M3055" t="n">
        <v>0</v>
      </c>
    </row>
    <row r="3056" spans="1:13">
      <c r="A3056" s="1">
        <f>HYPERLINK("http://www.twitter.com/NathanBLawrence/status/974986131375878144", "974986131375878144")</f>
        <v/>
      </c>
      <c r="B3056" s="2" t="n">
        <v>43176.520625</v>
      </c>
      <c r="C3056" t="n">
        <v>0</v>
      </c>
      <c r="D3056" t="n">
        <v>7313</v>
      </c>
      <c r="E3056" t="s">
        <v>3067</v>
      </c>
      <c r="F3056" t="s"/>
      <c r="G3056" t="s"/>
      <c r="H3056" t="s"/>
      <c r="I3056" t="s"/>
      <c r="J3056" t="n">
        <v>0</v>
      </c>
      <c r="K3056" t="n">
        <v>0</v>
      </c>
      <c r="L3056" t="n">
        <v>1</v>
      </c>
      <c r="M3056" t="n">
        <v>0</v>
      </c>
    </row>
    <row r="3057" spans="1:13">
      <c r="A3057" s="1">
        <f>HYPERLINK("http://www.twitter.com/NathanBLawrence/status/974985862550310912", "974985862550310912")</f>
        <v/>
      </c>
      <c r="B3057" s="2" t="n">
        <v>43176.51988425926</v>
      </c>
      <c r="C3057" t="n">
        <v>0</v>
      </c>
      <c r="D3057" t="n">
        <v>0</v>
      </c>
      <c r="E3057" t="s">
        <v>3068</v>
      </c>
      <c r="F3057" t="s"/>
      <c r="G3057" t="s"/>
      <c r="H3057" t="s"/>
      <c r="I3057" t="s"/>
      <c r="J3057" t="n">
        <v>-0.4466</v>
      </c>
      <c r="K3057" t="n">
        <v>0.148</v>
      </c>
      <c r="L3057" t="n">
        <v>0.738</v>
      </c>
      <c r="M3057" t="n">
        <v>0.114</v>
      </c>
    </row>
    <row r="3058" spans="1:13">
      <c r="A3058" s="1">
        <f>HYPERLINK("http://www.twitter.com/NathanBLawrence/status/974985170230095872", "974985170230095872")</f>
        <v/>
      </c>
      <c r="B3058" s="2" t="n">
        <v>43176.51797453704</v>
      </c>
      <c r="C3058" t="n">
        <v>1</v>
      </c>
      <c r="D3058" t="n">
        <v>0</v>
      </c>
      <c r="E3058" t="s">
        <v>3069</v>
      </c>
      <c r="F3058" t="s"/>
      <c r="G3058" t="s"/>
      <c r="H3058" t="s"/>
      <c r="I3058" t="s"/>
      <c r="J3058" t="n">
        <v>0</v>
      </c>
      <c r="K3058" t="n">
        <v>0</v>
      </c>
      <c r="L3058" t="n">
        <v>1</v>
      </c>
      <c r="M3058" t="n">
        <v>0</v>
      </c>
    </row>
    <row r="3059" spans="1:13">
      <c r="A3059" s="1">
        <f>HYPERLINK("http://www.twitter.com/NathanBLawrence/status/974984655156989958", "974984655156989958")</f>
        <v/>
      </c>
      <c r="B3059" s="2" t="n">
        <v>43176.51655092592</v>
      </c>
      <c r="C3059" t="n">
        <v>0</v>
      </c>
      <c r="D3059" t="n">
        <v>0</v>
      </c>
      <c r="E3059" t="s">
        <v>3070</v>
      </c>
      <c r="F3059" t="s"/>
      <c r="G3059" t="s"/>
      <c r="H3059" t="s"/>
      <c r="I3059" t="s"/>
      <c r="J3059" t="n">
        <v>0.4939</v>
      </c>
      <c r="K3059" t="n">
        <v>0</v>
      </c>
      <c r="L3059" t="n">
        <v>0.802</v>
      </c>
      <c r="M3059" t="n">
        <v>0.198</v>
      </c>
    </row>
    <row r="3060" spans="1:13">
      <c r="A3060" s="1">
        <f>HYPERLINK("http://www.twitter.com/NathanBLawrence/status/974983698364944387", "974983698364944387")</f>
        <v/>
      </c>
      <c r="B3060" s="2" t="n">
        <v>43176.51391203704</v>
      </c>
      <c r="C3060" t="n">
        <v>0</v>
      </c>
      <c r="D3060" t="n">
        <v>0</v>
      </c>
      <c r="E3060" t="s">
        <v>3071</v>
      </c>
      <c r="F3060" t="s"/>
      <c r="G3060" t="s"/>
      <c r="H3060" t="s"/>
      <c r="I3060" t="s"/>
      <c r="J3060" t="n">
        <v>0.784</v>
      </c>
      <c r="K3060" t="n">
        <v>0</v>
      </c>
      <c r="L3060" t="n">
        <v>0.745</v>
      </c>
      <c r="M3060" t="n">
        <v>0.255</v>
      </c>
    </row>
    <row r="3061" spans="1:13">
      <c r="A3061" s="1">
        <f>HYPERLINK("http://www.twitter.com/NathanBLawrence/status/974983170151067648", "974983170151067648")</f>
        <v/>
      </c>
      <c r="B3061" s="2" t="n">
        <v>43176.5124537037</v>
      </c>
      <c r="C3061" t="n">
        <v>0</v>
      </c>
      <c r="D3061" t="n">
        <v>0</v>
      </c>
      <c r="E3061" t="s">
        <v>3072</v>
      </c>
      <c r="F3061" t="s"/>
      <c r="G3061" t="s"/>
      <c r="H3061" t="s"/>
      <c r="I3061" t="s"/>
      <c r="J3061" t="n">
        <v>0</v>
      </c>
      <c r="K3061" t="n">
        <v>0</v>
      </c>
      <c r="L3061" t="n">
        <v>1</v>
      </c>
      <c r="M3061" t="n">
        <v>0</v>
      </c>
    </row>
    <row r="3062" spans="1:13">
      <c r="A3062" s="1">
        <f>HYPERLINK("http://www.twitter.com/NathanBLawrence/status/974853026832887808", "974853026832887808")</f>
        <v/>
      </c>
      <c r="B3062" s="2" t="n">
        <v>43176.15333333334</v>
      </c>
      <c r="C3062" t="n">
        <v>0</v>
      </c>
      <c r="D3062" t="n">
        <v>0</v>
      </c>
      <c r="E3062" t="s">
        <v>3073</v>
      </c>
      <c r="F3062" t="s"/>
      <c r="G3062" t="s"/>
      <c r="H3062" t="s"/>
      <c r="I3062" t="s"/>
      <c r="J3062" t="n">
        <v>-0.7003</v>
      </c>
      <c r="K3062" t="n">
        <v>0.305</v>
      </c>
      <c r="L3062" t="n">
        <v>0.573</v>
      </c>
      <c r="M3062" t="n">
        <v>0.122</v>
      </c>
    </row>
    <row r="3063" spans="1:13">
      <c r="A3063" s="1">
        <f>HYPERLINK("http://www.twitter.com/NathanBLawrence/status/974851674207670272", "974851674207670272")</f>
        <v/>
      </c>
      <c r="B3063" s="2" t="n">
        <v>43176.14959490741</v>
      </c>
      <c r="C3063" t="n">
        <v>1</v>
      </c>
      <c r="D3063" t="n">
        <v>1</v>
      </c>
      <c r="E3063" t="s">
        <v>3074</v>
      </c>
      <c r="F3063" t="s"/>
      <c r="G3063" t="s"/>
      <c r="H3063" t="s"/>
      <c r="I3063" t="s"/>
      <c r="J3063" t="n">
        <v>-0.3612</v>
      </c>
      <c r="K3063" t="n">
        <v>0.537</v>
      </c>
      <c r="L3063" t="n">
        <v>0.149</v>
      </c>
      <c r="M3063" t="n">
        <v>0.313</v>
      </c>
    </row>
    <row r="3064" spans="1:13">
      <c r="A3064" s="1">
        <f>HYPERLINK("http://www.twitter.com/NathanBLawrence/status/974835002667143169", "974835002667143169")</f>
        <v/>
      </c>
      <c r="B3064" s="2" t="n">
        <v>43176.10358796296</v>
      </c>
      <c r="C3064" t="n">
        <v>0</v>
      </c>
      <c r="D3064" t="n">
        <v>0</v>
      </c>
      <c r="E3064" t="s">
        <v>3075</v>
      </c>
      <c r="F3064" t="s"/>
      <c r="G3064" t="s"/>
      <c r="H3064" t="s"/>
      <c r="I3064" t="s"/>
      <c r="J3064" t="n">
        <v>0</v>
      </c>
      <c r="K3064" t="n">
        <v>0</v>
      </c>
      <c r="L3064" t="n">
        <v>1</v>
      </c>
      <c r="M3064" t="n">
        <v>0</v>
      </c>
    </row>
    <row r="3065" spans="1:13">
      <c r="A3065" s="1">
        <f>HYPERLINK("http://www.twitter.com/NathanBLawrence/status/974815383470387200", "974815383470387200")</f>
        <v/>
      </c>
      <c r="B3065" s="2" t="n">
        <v>43176.04945601852</v>
      </c>
      <c r="C3065" t="n">
        <v>1</v>
      </c>
      <c r="D3065" t="n">
        <v>0</v>
      </c>
      <c r="E3065" t="s">
        <v>3076</v>
      </c>
      <c r="F3065">
        <f>HYPERLINK("http://pbs.twimg.com/media/DYc9a3RU0AESwob.jpg", "http://pbs.twimg.com/media/DYc9a3RU0AESwob.jpg")</f>
        <v/>
      </c>
      <c r="G3065" t="s"/>
      <c r="H3065" t="s"/>
      <c r="I3065" t="s"/>
      <c r="J3065" t="n">
        <v>0.4199</v>
      </c>
      <c r="K3065" t="n">
        <v>0</v>
      </c>
      <c r="L3065" t="n">
        <v>0.782</v>
      </c>
      <c r="M3065" t="n">
        <v>0.218</v>
      </c>
    </row>
    <row r="3066" spans="1:13">
      <c r="A3066" s="1">
        <f>HYPERLINK("http://www.twitter.com/NathanBLawrence/status/974757833924403200", "974757833924403200")</f>
        <v/>
      </c>
      <c r="B3066" s="2" t="n">
        <v>43175.89064814815</v>
      </c>
      <c r="C3066" t="n">
        <v>0</v>
      </c>
      <c r="D3066" t="n">
        <v>40</v>
      </c>
      <c r="E3066" t="s">
        <v>3077</v>
      </c>
      <c r="F3066">
        <f>HYPERLINK("http://pbs.twimg.com/media/DYbzc0MU8AElL24.png", "http://pbs.twimg.com/media/DYbzc0MU8AElL24.png")</f>
        <v/>
      </c>
      <c r="G3066" t="s"/>
      <c r="H3066" t="s"/>
      <c r="I3066" t="s"/>
      <c r="J3066" t="n">
        <v>0.5719</v>
      </c>
      <c r="K3066" t="n">
        <v>0</v>
      </c>
      <c r="L3066" t="n">
        <v>0.701</v>
      </c>
      <c r="M3066" t="n">
        <v>0.299</v>
      </c>
    </row>
    <row r="3067" spans="1:13">
      <c r="A3067" s="1">
        <f>HYPERLINK("http://www.twitter.com/NathanBLawrence/status/974755414310088705", "974755414310088705")</f>
        <v/>
      </c>
      <c r="B3067" s="2" t="n">
        <v>43175.88396990741</v>
      </c>
      <c r="C3067" t="n">
        <v>0</v>
      </c>
      <c r="D3067" t="n">
        <v>0</v>
      </c>
      <c r="E3067" t="s">
        <v>3078</v>
      </c>
      <c r="F3067">
        <f>HYPERLINK("http://pbs.twimg.com/media/DYcG4IlVoAAC4pY.jpg", "http://pbs.twimg.com/media/DYcG4IlVoAAC4pY.jpg")</f>
        <v/>
      </c>
      <c r="G3067" t="s"/>
      <c r="H3067" t="s"/>
      <c r="I3067" t="s"/>
      <c r="J3067" t="n">
        <v>0.2869</v>
      </c>
      <c r="K3067" t="n">
        <v>0</v>
      </c>
      <c r="L3067" t="n">
        <v>0.917</v>
      </c>
      <c r="M3067" t="n">
        <v>0.083</v>
      </c>
    </row>
    <row r="3068" spans="1:13">
      <c r="A3068" s="1">
        <f>HYPERLINK("http://www.twitter.com/NathanBLawrence/status/974752283140546560", "974752283140546560")</f>
        <v/>
      </c>
      <c r="B3068" s="2" t="n">
        <v>43175.87532407408</v>
      </c>
      <c r="C3068" t="n">
        <v>0</v>
      </c>
      <c r="D3068" t="n">
        <v>0</v>
      </c>
      <c r="E3068" t="s">
        <v>3079</v>
      </c>
      <c r="F3068" t="s"/>
      <c r="G3068" t="s"/>
      <c r="H3068" t="s"/>
      <c r="I3068" t="s"/>
      <c r="J3068" t="n">
        <v>-0.5632</v>
      </c>
      <c r="K3068" t="n">
        <v>0.137</v>
      </c>
      <c r="L3068" t="n">
        <v>0.863</v>
      </c>
      <c r="M3068" t="n">
        <v>0</v>
      </c>
    </row>
    <row r="3069" spans="1:13">
      <c r="A3069" s="1">
        <f>HYPERLINK("http://www.twitter.com/NathanBLawrence/status/974737464068837381", "974737464068837381")</f>
        <v/>
      </c>
      <c r="B3069" s="2" t="n">
        <v>43175.83443287037</v>
      </c>
      <c r="C3069" t="n">
        <v>0</v>
      </c>
      <c r="D3069" t="n">
        <v>4</v>
      </c>
      <c r="E3069" t="s">
        <v>3080</v>
      </c>
      <c r="F3069">
        <f>HYPERLINK("http://pbs.twimg.com/media/DYbShN0VwAAV9UI.png", "http://pbs.twimg.com/media/DYbShN0VwAAV9UI.png")</f>
        <v/>
      </c>
      <c r="G3069" t="s"/>
      <c r="H3069" t="s"/>
      <c r="I3069" t="s"/>
      <c r="J3069" t="n">
        <v>0.34</v>
      </c>
      <c r="K3069" t="n">
        <v>0</v>
      </c>
      <c r="L3069" t="n">
        <v>0.893</v>
      </c>
      <c r="M3069" t="n">
        <v>0.107</v>
      </c>
    </row>
    <row r="3070" spans="1:13">
      <c r="A3070" s="1">
        <f>HYPERLINK("http://www.twitter.com/NathanBLawrence/status/974737247223328768", "974737247223328768")</f>
        <v/>
      </c>
      <c r="B3070" s="2" t="n">
        <v>43175.83384259259</v>
      </c>
      <c r="C3070" t="n">
        <v>1</v>
      </c>
      <c r="D3070" t="n">
        <v>1</v>
      </c>
      <c r="E3070" t="s">
        <v>3081</v>
      </c>
      <c r="F3070" t="s"/>
      <c r="G3070" t="s"/>
      <c r="H3070" t="s"/>
      <c r="I3070" t="s"/>
      <c r="J3070" t="n">
        <v>-0.7579</v>
      </c>
      <c r="K3070" t="n">
        <v>0.297</v>
      </c>
      <c r="L3070" t="n">
        <v>0.534</v>
      </c>
      <c r="M3070" t="n">
        <v>0.169</v>
      </c>
    </row>
    <row r="3071" spans="1:13">
      <c r="A3071" s="1">
        <f>HYPERLINK("http://www.twitter.com/NathanBLawrence/status/974694218215186432", "974694218215186432")</f>
        <v/>
      </c>
      <c r="B3071" s="2" t="n">
        <v>43175.71510416667</v>
      </c>
      <c r="C3071" t="n">
        <v>0</v>
      </c>
      <c r="D3071" t="n">
        <v>0</v>
      </c>
      <c r="E3071" t="s">
        <v>3082</v>
      </c>
      <c r="F3071" t="s"/>
      <c r="G3071" t="s"/>
      <c r="H3071" t="s"/>
      <c r="I3071" t="s"/>
      <c r="J3071" t="n">
        <v>-0.596</v>
      </c>
      <c r="K3071" t="n">
        <v>0.326</v>
      </c>
      <c r="L3071" t="n">
        <v>0.674</v>
      </c>
      <c r="M3071" t="n">
        <v>0</v>
      </c>
    </row>
    <row r="3072" spans="1:13">
      <c r="A3072" s="1">
        <f>HYPERLINK("http://www.twitter.com/NathanBLawrence/status/974694045359501312", "974694045359501312")</f>
        <v/>
      </c>
      <c r="B3072" s="2" t="n">
        <v>43175.71462962963</v>
      </c>
      <c r="C3072" t="n">
        <v>0</v>
      </c>
      <c r="D3072" t="n">
        <v>0</v>
      </c>
      <c r="E3072" t="s">
        <v>3083</v>
      </c>
      <c r="F3072" t="s"/>
      <c r="G3072" t="s"/>
      <c r="H3072" t="s"/>
      <c r="I3072" t="s"/>
      <c r="J3072" t="n">
        <v>0.3076</v>
      </c>
      <c r="K3072" t="n">
        <v>0</v>
      </c>
      <c r="L3072" t="n">
        <v>0.917</v>
      </c>
      <c r="M3072" t="n">
        <v>0.083</v>
      </c>
    </row>
    <row r="3073" spans="1:13">
      <c r="A3073" s="1">
        <f>HYPERLINK("http://www.twitter.com/NathanBLawrence/status/974693715020304384", "974693715020304384")</f>
        <v/>
      </c>
      <c r="B3073" s="2" t="n">
        <v>43175.71371527778</v>
      </c>
      <c r="C3073" t="n">
        <v>1</v>
      </c>
      <c r="D3073" t="n">
        <v>0</v>
      </c>
      <c r="E3073" t="s">
        <v>3084</v>
      </c>
      <c r="F3073" t="s"/>
      <c r="G3073" t="s"/>
      <c r="H3073" t="s"/>
      <c r="I3073" t="s"/>
      <c r="J3073" t="n">
        <v>0.2023</v>
      </c>
      <c r="K3073" t="n">
        <v>0.216</v>
      </c>
      <c r="L3073" t="n">
        <v>0.49</v>
      </c>
      <c r="M3073" t="n">
        <v>0.294</v>
      </c>
    </row>
    <row r="3074" spans="1:13">
      <c r="A3074" s="1">
        <f>HYPERLINK("http://www.twitter.com/NathanBLawrence/status/974693488066547717", "974693488066547717")</f>
        <v/>
      </c>
      <c r="B3074" s="2" t="n">
        <v>43175.71309027778</v>
      </c>
      <c r="C3074" t="n">
        <v>1</v>
      </c>
      <c r="D3074" t="n">
        <v>0</v>
      </c>
      <c r="E3074" t="s">
        <v>3085</v>
      </c>
      <c r="F3074" t="s"/>
      <c r="G3074" t="s"/>
      <c r="H3074" t="s"/>
      <c r="I3074" t="s"/>
      <c r="J3074" t="n">
        <v>0.296</v>
      </c>
      <c r="K3074" t="n">
        <v>0</v>
      </c>
      <c r="L3074" t="n">
        <v>0.82</v>
      </c>
      <c r="M3074" t="n">
        <v>0.18</v>
      </c>
    </row>
    <row r="3075" spans="1:13">
      <c r="A3075" s="1">
        <f>HYPERLINK("http://www.twitter.com/NathanBLawrence/status/974693119072587776", "974693119072587776")</f>
        <v/>
      </c>
      <c r="B3075" s="2" t="n">
        <v>43175.71207175926</v>
      </c>
      <c r="C3075" t="n">
        <v>1</v>
      </c>
      <c r="D3075" t="n">
        <v>0</v>
      </c>
      <c r="E3075" t="s">
        <v>3086</v>
      </c>
      <c r="F3075" t="s"/>
      <c r="G3075" t="s"/>
      <c r="H3075" t="s"/>
      <c r="I3075" t="s"/>
      <c r="J3075" t="n">
        <v>0.4404</v>
      </c>
      <c r="K3075" t="n">
        <v>0</v>
      </c>
      <c r="L3075" t="n">
        <v>0.805</v>
      </c>
      <c r="M3075" t="n">
        <v>0.195</v>
      </c>
    </row>
    <row r="3076" spans="1:13">
      <c r="A3076" s="1">
        <f>HYPERLINK("http://www.twitter.com/NathanBLawrence/status/974692809222574080", "974692809222574080")</f>
        <v/>
      </c>
      <c r="B3076" s="2" t="n">
        <v>43175.71121527778</v>
      </c>
      <c r="C3076" t="n">
        <v>0</v>
      </c>
      <c r="D3076" t="n">
        <v>0</v>
      </c>
      <c r="E3076" t="s">
        <v>3087</v>
      </c>
      <c r="F3076" t="s"/>
      <c r="G3076" t="s"/>
      <c r="H3076" t="s"/>
      <c r="I3076" t="s"/>
      <c r="J3076" t="n">
        <v>0</v>
      </c>
      <c r="K3076" t="n">
        <v>0</v>
      </c>
      <c r="L3076" t="n">
        <v>1</v>
      </c>
      <c r="M3076" t="n">
        <v>0</v>
      </c>
    </row>
    <row r="3077" spans="1:13">
      <c r="A3077" s="1">
        <f>HYPERLINK("http://www.twitter.com/NathanBLawrence/status/974663914993717248", "974663914993717248")</f>
        <v/>
      </c>
      <c r="B3077" s="2" t="n">
        <v>43175.63148148148</v>
      </c>
      <c r="C3077" t="n">
        <v>0</v>
      </c>
      <c r="D3077" t="n">
        <v>0</v>
      </c>
      <c r="E3077" t="s">
        <v>3088</v>
      </c>
      <c r="F3077">
        <f>HYPERLINK("http://pbs.twimg.com/media/DYazp-nU0AED6Xh.jpg", "http://pbs.twimg.com/media/DYazp-nU0AED6Xh.jpg")</f>
        <v/>
      </c>
      <c r="G3077" t="s"/>
      <c r="H3077" t="s"/>
      <c r="I3077" t="s"/>
      <c r="J3077" t="n">
        <v>0</v>
      </c>
      <c r="K3077" t="n">
        <v>0</v>
      </c>
      <c r="L3077" t="n">
        <v>1</v>
      </c>
      <c r="M3077" t="n">
        <v>0</v>
      </c>
    </row>
    <row r="3078" spans="1:13">
      <c r="A3078" s="1">
        <f>HYPERLINK("http://www.twitter.com/NathanBLawrence/status/974662893865177089", "974662893865177089")</f>
        <v/>
      </c>
      <c r="B3078" s="2" t="n">
        <v>43175.6286574074</v>
      </c>
      <c r="C3078" t="n">
        <v>0</v>
      </c>
      <c r="D3078" t="n">
        <v>0</v>
      </c>
      <c r="E3078" t="s">
        <v>3089</v>
      </c>
      <c r="F3078" t="s"/>
      <c r="G3078" t="s"/>
      <c r="H3078" t="s"/>
      <c r="I3078" t="s"/>
      <c r="J3078" t="n">
        <v>0</v>
      </c>
      <c r="K3078" t="n">
        <v>0</v>
      </c>
      <c r="L3078" t="n">
        <v>1</v>
      </c>
      <c r="M3078" t="n">
        <v>0</v>
      </c>
    </row>
    <row r="3079" spans="1:13">
      <c r="A3079" s="1">
        <f>HYPERLINK("http://www.twitter.com/NathanBLawrence/status/974653488499253254", "974653488499253254")</f>
        <v/>
      </c>
      <c r="B3079" s="2" t="n">
        <v>43175.60270833333</v>
      </c>
      <c r="C3079" t="n">
        <v>0</v>
      </c>
      <c r="D3079" t="n">
        <v>0</v>
      </c>
      <c r="E3079" t="s">
        <v>3090</v>
      </c>
      <c r="F3079" t="s"/>
      <c r="G3079" t="s"/>
      <c r="H3079" t="s"/>
      <c r="I3079" t="s"/>
      <c r="J3079" t="n">
        <v>0.2263</v>
      </c>
      <c r="K3079" t="n">
        <v>0</v>
      </c>
      <c r="L3079" t="n">
        <v>0.725</v>
      </c>
      <c r="M3079" t="n">
        <v>0.275</v>
      </c>
    </row>
    <row r="3080" spans="1:13">
      <c r="A3080" s="1">
        <f>HYPERLINK("http://www.twitter.com/NathanBLawrence/status/974639703721902081", "974639703721902081")</f>
        <v/>
      </c>
      <c r="B3080" s="2" t="n">
        <v>43175.56466435185</v>
      </c>
      <c r="C3080" t="n">
        <v>6</v>
      </c>
      <c r="D3080" t="n">
        <v>2</v>
      </c>
      <c r="E3080" t="s">
        <v>3091</v>
      </c>
      <c r="F3080" t="s"/>
      <c r="G3080" t="s"/>
      <c r="H3080" t="s"/>
      <c r="I3080" t="s"/>
      <c r="J3080" t="n">
        <v>-0.1007</v>
      </c>
      <c r="K3080" t="n">
        <v>0.07199999999999999</v>
      </c>
      <c r="L3080" t="n">
        <v>0.867</v>
      </c>
      <c r="M3080" t="n">
        <v>0.061</v>
      </c>
    </row>
    <row r="3081" spans="1:13">
      <c r="A3081" s="1">
        <f>HYPERLINK("http://www.twitter.com/NathanBLawrence/status/974638496328581120", "974638496328581120")</f>
        <v/>
      </c>
      <c r="B3081" s="2" t="n">
        <v>43175.56134259259</v>
      </c>
      <c r="C3081" t="n">
        <v>0</v>
      </c>
      <c r="D3081" t="n">
        <v>0</v>
      </c>
      <c r="E3081" t="s">
        <v>3092</v>
      </c>
      <c r="F3081" t="s"/>
      <c r="G3081" t="s"/>
      <c r="H3081" t="s"/>
      <c r="I3081" t="s"/>
      <c r="J3081" t="n">
        <v>0</v>
      </c>
      <c r="K3081" t="n">
        <v>0</v>
      </c>
      <c r="L3081" t="n">
        <v>1</v>
      </c>
      <c r="M3081" t="n">
        <v>0</v>
      </c>
    </row>
    <row r="3082" spans="1:13">
      <c r="A3082" s="1">
        <f>HYPERLINK("http://www.twitter.com/NathanBLawrence/status/974638196293292034", "974638196293292034")</f>
        <v/>
      </c>
      <c r="B3082" s="2" t="n">
        <v>43175.56050925926</v>
      </c>
      <c r="C3082" t="n">
        <v>0</v>
      </c>
      <c r="D3082" t="n">
        <v>1</v>
      </c>
      <c r="E3082" t="s">
        <v>3093</v>
      </c>
      <c r="F3082" t="s"/>
      <c r="G3082" t="s"/>
      <c r="H3082" t="s"/>
      <c r="I3082" t="s"/>
      <c r="J3082" t="n">
        <v>0.4753</v>
      </c>
      <c r="K3082" t="n">
        <v>0</v>
      </c>
      <c r="L3082" t="n">
        <v>0.866</v>
      </c>
      <c r="M3082" t="n">
        <v>0.134</v>
      </c>
    </row>
    <row r="3083" spans="1:13">
      <c r="A3083" s="1">
        <f>HYPERLINK("http://www.twitter.com/NathanBLawrence/status/974637148019314688", "974637148019314688")</f>
        <v/>
      </c>
      <c r="B3083" s="2" t="n">
        <v>43175.55761574074</v>
      </c>
      <c r="C3083" t="n">
        <v>3</v>
      </c>
      <c r="D3083" t="n">
        <v>3</v>
      </c>
      <c r="E3083" t="s">
        <v>3094</v>
      </c>
      <c r="F3083" t="s"/>
      <c r="G3083" t="s"/>
      <c r="H3083" t="s"/>
      <c r="I3083" t="s"/>
      <c r="J3083" t="n">
        <v>0.9184</v>
      </c>
      <c r="K3083" t="n">
        <v>0</v>
      </c>
      <c r="L3083" t="n">
        <v>0.755</v>
      </c>
      <c r="M3083" t="n">
        <v>0.245</v>
      </c>
    </row>
    <row r="3084" spans="1:13">
      <c r="A3084" s="1">
        <f>HYPERLINK("http://www.twitter.com/NathanBLawrence/status/974635845708926976", "974635845708926976")</f>
        <v/>
      </c>
      <c r="B3084" s="2" t="n">
        <v>43175.55402777778</v>
      </c>
      <c r="C3084" t="n">
        <v>0</v>
      </c>
      <c r="D3084" t="n">
        <v>1</v>
      </c>
      <c r="E3084" t="s">
        <v>3095</v>
      </c>
      <c r="F3084" t="s"/>
      <c r="G3084" t="s"/>
      <c r="H3084" t="s"/>
      <c r="I3084" t="s"/>
      <c r="J3084" t="n">
        <v>-0.4767</v>
      </c>
      <c r="K3084" t="n">
        <v>0.369</v>
      </c>
      <c r="L3084" t="n">
        <v>0.631</v>
      </c>
      <c r="M3084" t="n">
        <v>0</v>
      </c>
    </row>
    <row r="3085" spans="1:13">
      <c r="A3085" s="1">
        <f>HYPERLINK("http://www.twitter.com/NathanBLawrence/status/974634638491766784", "974634638491766784")</f>
        <v/>
      </c>
      <c r="B3085" s="2" t="n">
        <v>43175.55069444444</v>
      </c>
      <c r="C3085" t="n">
        <v>2</v>
      </c>
      <c r="D3085" t="n">
        <v>0</v>
      </c>
      <c r="E3085" t="s">
        <v>3096</v>
      </c>
      <c r="F3085" t="s"/>
      <c r="G3085" t="s"/>
      <c r="H3085" t="s"/>
      <c r="I3085" t="s"/>
      <c r="J3085" t="n">
        <v>0</v>
      </c>
      <c r="K3085" t="n">
        <v>0</v>
      </c>
      <c r="L3085" t="n">
        <v>1</v>
      </c>
      <c r="M3085" t="n">
        <v>0</v>
      </c>
    </row>
    <row r="3086" spans="1:13">
      <c r="A3086" s="1">
        <f>HYPERLINK("http://www.twitter.com/NathanBLawrence/status/974634236744486912", "974634236744486912")</f>
        <v/>
      </c>
      <c r="B3086" s="2" t="n">
        <v>43175.54958333333</v>
      </c>
      <c r="C3086" t="n">
        <v>2</v>
      </c>
      <c r="D3086" t="n">
        <v>0</v>
      </c>
      <c r="E3086" t="s">
        <v>3097</v>
      </c>
      <c r="F3086" t="s"/>
      <c r="G3086" t="s"/>
      <c r="H3086" t="s"/>
      <c r="I3086" t="s"/>
      <c r="J3086" t="n">
        <v>0.7027</v>
      </c>
      <c r="K3086" t="n">
        <v>0</v>
      </c>
      <c r="L3086" t="n">
        <v>0.592</v>
      </c>
      <c r="M3086" t="n">
        <v>0.408</v>
      </c>
    </row>
    <row r="3087" spans="1:13">
      <c r="A3087" s="1">
        <f>HYPERLINK("http://www.twitter.com/NathanBLawrence/status/974631786515959808", "974631786515959808")</f>
        <v/>
      </c>
      <c r="B3087" s="2" t="n">
        <v>43175.54282407407</v>
      </c>
      <c r="C3087" t="n">
        <v>0</v>
      </c>
      <c r="D3087" t="n">
        <v>3</v>
      </c>
      <c r="E3087" t="s">
        <v>3098</v>
      </c>
      <c r="F3087">
        <f>HYPERLINK("http://pbs.twimg.com/media/DYaN2VQWkAAawpR.jpg", "http://pbs.twimg.com/media/DYaN2VQWkAAawpR.jpg")</f>
        <v/>
      </c>
      <c r="G3087" t="s"/>
      <c r="H3087" t="s"/>
      <c r="I3087" t="s"/>
      <c r="J3087" t="n">
        <v>-0.6597</v>
      </c>
      <c r="K3087" t="n">
        <v>0.355</v>
      </c>
      <c r="L3087" t="n">
        <v>0.645</v>
      </c>
      <c r="M3087" t="n">
        <v>0</v>
      </c>
    </row>
    <row r="3088" spans="1:13">
      <c r="A3088" s="1">
        <f>HYPERLINK("http://www.twitter.com/NathanBLawrence/status/974623075605065728", "974623075605065728")</f>
        <v/>
      </c>
      <c r="B3088" s="2" t="n">
        <v>43175.51878472222</v>
      </c>
      <c r="C3088" t="n">
        <v>3</v>
      </c>
      <c r="D3088" t="n">
        <v>1</v>
      </c>
      <c r="E3088" t="s">
        <v>3099</v>
      </c>
      <c r="F3088" t="s"/>
      <c r="G3088" t="s"/>
      <c r="H3088" t="s"/>
      <c r="I3088" t="s"/>
      <c r="J3088" t="n">
        <v>0</v>
      </c>
      <c r="K3088" t="n">
        <v>0</v>
      </c>
      <c r="L3088" t="n">
        <v>1</v>
      </c>
      <c r="M3088" t="n">
        <v>0</v>
      </c>
    </row>
    <row r="3089" spans="1:13">
      <c r="A3089" s="1">
        <f>HYPERLINK("http://www.twitter.com/NathanBLawrence/status/974619991709536256", "974619991709536256")</f>
        <v/>
      </c>
      <c r="B3089" s="2" t="n">
        <v>43175.51027777778</v>
      </c>
      <c r="C3089" t="n">
        <v>0</v>
      </c>
      <c r="D3089" t="n">
        <v>1218</v>
      </c>
      <c r="E3089" t="s">
        <v>3100</v>
      </c>
      <c r="F3089" t="s"/>
      <c r="G3089" t="s"/>
      <c r="H3089" t="s"/>
      <c r="I3089" t="s"/>
      <c r="J3089" t="n">
        <v>-0.891</v>
      </c>
      <c r="K3089" t="n">
        <v>0.414</v>
      </c>
      <c r="L3089" t="n">
        <v>0.586</v>
      </c>
      <c r="M3089" t="n">
        <v>0</v>
      </c>
    </row>
    <row r="3090" spans="1:13">
      <c r="A3090" s="1">
        <f>HYPERLINK("http://www.twitter.com/NathanBLawrence/status/974615246710235136", "974615246710235136")</f>
        <v/>
      </c>
      <c r="B3090" s="2" t="n">
        <v>43175.49717592593</v>
      </c>
      <c r="C3090" t="n">
        <v>2</v>
      </c>
      <c r="D3090" t="n">
        <v>1</v>
      </c>
      <c r="E3090" t="s">
        <v>3101</v>
      </c>
      <c r="F3090" t="s"/>
      <c r="G3090" t="s"/>
      <c r="H3090" t="s"/>
      <c r="I3090" t="s"/>
      <c r="J3090" t="n">
        <v>0.8591</v>
      </c>
      <c r="K3090" t="n">
        <v>0</v>
      </c>
      <c r="L3090" t="n">
        <v>0.596</v>
      </c>
      <c r="M3090" t="n">
        <v>0.404</v>
      </c>
    </row>
    <row r="3091" spans="1:13">
      <c r="A3091" s="1">
        <f>HYPERLINK("http://www.twitter.com/NathanBLawrence/status/974614658173849601", "974614658173849601")</f>
        <v/>
      </c>
      <c r="B3091" s="2" t="n">
        <v>43175.49555555556</v>
      </c>
      <c r="C3091" t="n">
        <v>3</v>
      </c>
      <c r="D3091" t="n">
        <v>1</v>
      </c>
      <c r="E3091" t="s">
        <v>3102</v>
      </c>
      <c r="F3091" t="s"/>
      <c r="G3091" t="s"/>
      <c r="H3091" t="s"/>
      <c r="I3091" t="s"/>
      <c r="J3091" t="n">
        <v>-0.4278</v>
      </c>
      <c r="K3091" t="n">
        <v>0.115</v>
      </c>
      <c r="L3091" t="n">
        <v>0.793</v>
      </c>
      <c r="M3091" t="n">
        <v>0.093</v>
      </c>
    </row>
    <row r="3092" spans="1:13">
      <c r="A3092" s="1">
        <f>HYPERLINK("http://www.twitter.com/NathanBLawrence/status/974614094534856704", "974614094534856704")</f>
        <v/>
      </c>
      <c r="B3092" s="2" t="n">
        <v>43175.49400462963</v>
      </c>
      <c r="C3092" t="n">
        <v>1</v>
      </c>
      <c r="D3092" t="n">
        <v>0</v>
      </c>
      <c r="E3092" t="s">
        <v>3103</v>
      </c>
      <c r="F3092" t="s"/>
      <c r="G3092" t="s"/>
      <c r="H3092" t="s"/>
      <c r="I3092" t="s"/>
      <c r="J3092" t="n">
        <v>-0.4391</v>
      </c>
      <c r="K3092" t="n">
        <v>0.136</v>
      </c>
      <c r="L3092" t="n">
        <v>0.803</v>
      </c>
      <c r="M3092" t="n">
        <v>0.06</v>
      </c>
    </row>
    <row r="3093" spans="1:13">
      <c r="A3093" s="1">
        <f>HYPERLINK("http://www.twitter.com/NathanBLawrence/status/974609613231476736", "974609613231476736")</f>
        <v/>
      </c>
      <c r="B3093" s="2" t="n">
        <v>43175.48163194444</v>
      </c>
      <c r="C3093" t="n">
        <v>9</v>
      </c>
      <c r="D3093" t="n">
        <v>3</v>
      </c>
      <c r="E3093" t="s">
        <v>3104</v>
      </c>
      <c r="F3093">
        <f>HYPERLINK("http://pbs.twimg.com/media/DYaCPdBU8AE94pH.jpg", "http://pbs.twimg.com/media/DYaCPdBU8AE94pH.jpg")</f>
        <v/>
      </c>
      <c r="G3093" t="s"/>
      <c r="H3093" t="s"/>
      <c r="I3093" t="s"/>
      <c r="J3093" t="n">
        <v>0.8552999999999999</v>
      </c>
      <c r="K3093" t="n">
        <v>0</v>
      </c>
      <c r="L3093" t="n">
        <v>0.625</v>
      </c>
      <c r="M3093" t="n">
        <v>0.375</v>
      </c>
    </row>
    <row r="3094" spans="1:13">
      <c r="A3094" s="1">
        <f>HYPERLINK("http://www.twitter.com/NathanBLawrence/status/974608478709919744", "974608478709919744")</f>
        <v/>
      </c>
      <c r="B3094" s="2" t="n">
        <v>43175.47850694445</v>
      </c>
      <c r="C3094" t="n">
        <v>1</v>
      </c>
      <c r="D3094" t="n">
        <v>0</v>
      </c>
      <c r="E3094" t="s">
        <v>3105</v>
      </c>
      <c r="F3094">
        <f>HYPERLINK("http://pbs.twimg.com/media/DYaBNkYVoAEtwBD.jpg", "http://pbs.twimg.com/media/DYaBNkYVoAEtwBD.jpg")</f>
        <v/>
      </c>
      <c r="G3094" t="s"/>
      <c r="H3094" t="s"/>
      <c r="I3094" t="s"/>
      <c r="J3094" t="n">
        <v>0</v>
      </c>
      <c r="K3094" t="n">
        <v>0</v>
      </c>
      <c r="L3094" t="n">
        <v>1</v>
      </c>
      <c r="M3094" t="n">
        <v>0</v>
      </c>
    </row>
    <row r="3095" spans="1:13">
      <c r="A3095" s="1">
        <f>HYPERLINK("http://www.twitter.com/NathanBLawrence/status/974501510380949504", "974501510380949504")</f>
        <v/>
      </c>
      <c r="B3095" s="2" t="n">
        <v>43175.18333333333</v>
      </c>
      <c r="C3095" t="n">
        <v>2</v>
      </c>
      <c r="D3095" t="n">
        <v>1</v>
      </c>
      <c r="E3095" t="s">
        <v>3106</v>
      </c>
      <c r="F3095" t="s"/>
      <c r="G3095" t="s"/>
      <c r="H3095" t="s"/>
      <c r="I3095" t="s"/>
      <c r="J3095" t="n">
        <v>-0.431</v>
      </c>
      <c r="K3095" t="n">
        <v>0.18</v>
      </c>
      <c r="L3095" t="n">
        <v>0.719</v>
      </c>
      <c r="M3095" t="n">
        <v>0.101</v>
      </c>
    </row>
    <row r="3096" spans="1:13">
      <c r="A3096" s="1">
        <f>HYPERLINK("http://www.twitter.com/NathanBLawrence/status/974500763509690368", "974500763509690368")</f>
        <v/>
      </c>
      <c r="B3096" s="2" t="n">
        <v>43175.18127314815</v>
      </c>
      <c r="C3096" t="n">
        <v>0</v>
      </c>
      <c r="D3096" t="n">
        <v>141</v>
      </c>
      <c r="E3096" t="s">
        <v>3107</v>
      </c>
      <c r="F3096" t="s"/>
      <c r="G3096" t="s"/>
      <c r="H3096" t="s"/>
      <c r="I3096" t="s"/>
      <c r="J3096" t="n">
        <v>-0.1531</v>
      </c>
      <c r="K3096" t="n">
        <v>0.179</v>
      </c>
      <c r="L3096" t="n">
        <v>0.708</v>
      </c>
      <c r="M3096" t="n">
        <v>0.113</v>
      </c>
    </row>
    <row r="3097" spans="1:13">
      <c r="A3097" s="1">
        <f>HYPERLINK("http://www.twitter.com/NathanBLawrence/status/974499167761518592", "974499167761518592")</f>
        <v/>
      </c>
      <c r="B3097" s="2" t="n">
        <v>43175.17686342593</v>
      </c>
      <c r="C3097" t="n">
        <v>0</v>
      </c>
      <c r="D3097" t="n">
        <v>0</v>
      </c>
      <c r="E3097" t="s">
        <v>3108</v>
      </c>
      <c r="F3097">
        <f>HYPERLINK("http://pbs.twimg.com/media/DYYd0YvVoAIf1fK.jpg", "http://pbs.twimg.com/media/DYYd0YvVoAIf1fK.jpg")</f>
        <v/>
      </c>
      <c r="G3097" t="s"/>
      <c r="H3097" t="s"/>
      <c r="I3097" t="s"/>
      <c r="J3097" t="n">
        <v>0.5326</v>
      </c>
      <c r="K3097" t="n">
        <v>0</v>
      </c>
      <c r="L3097" t="n">
        <v>0.847</v>
      </c>
      <c r="M3097" t="n">
        <v>0.153</v>
      </c>
    </row>
    <row r="3098" spans="1:13">
      <c r="A3098" s="1">
        <f>HYPERLINK("http://www.twitter.com/NathanBLawrence/status/974498212584263681", "974498212584263681")</f>
        <v/>
      </c>
      <c r="B3098" s="2" t="n">
        <v>43175.17422453704</v>
      </c>
      <c r="C3098" t="n">
        <v>1</v>
      </c>
      <c r="D3098" t="n">
        <v>0</v>
      </c>
      <c r="E3098" t="s">
        <v>3109</v>
      </c>
      <c r="F3098">
        <f>HYPERLINK("http://pbs.twimg.com/media/DYYc88dVoAACghP.jpg", "http://pbs.twimg.com/media/DYYc88dVoAACghP.jpg")</f>
        <v/>
      </c>
      <c r="G3098" t="s"/>
      <c r="H3098" t="s"/>
      <c r="I3098" t="s"/>
      <c r="J3098" t="n">
        <v>0.296</v>
      </c>
      <c r="K3098" t="n">
        <v>0</v>
      </c>
      <c r="L3098" t="n">
        <v>0.577</v>
      </c>
      <c r="M3098" t="n">
        <v>0.423</v>
      </c>
    </row>
    <row r="3099" spans="1:13">
      <c r="A3099" s="1">
        <f>HYPERLINK("http://www.twitter.com/NathanBLawrence/status/974495981344641024", "974495981344641024")</f>
        <v/>
      </c>
      <c r="B3099" s="2" t="n">
        <v>43175.16806712963</v>
      </c>
      <c r="C3099" t="n">
        <v>0</v>
      </c>
      <c r="D3099" t="n">
        <v>3</v>
      </c>
      <c r="E3099" t="s">
        <v>3110</v>
      </c>
      <c r="F3099" t="s"/>
      <c r="G3099" t="s"/>
      <c r="H3099" t="s"/>
      <c r="I3099" t="s"/>
      <c r="J3099" t="n">
        <v>0</v>
      </c>
      <c r="K3099" t="n">
        <v>0</v>
      </c>
      <c r="L3099" t="n">
        <v>1</v>
      </c>
      <c r="M3099" t="n">
        <v>0</v>
      </c>
    </row>
    <row r="3100" spans="1:13">
      <c r="A3100" s="1">
        <f>HYPERLINK("http://www.twitter.com/NathanBLawrence/status/974495740327231489", "974495740327231489")</f>
        <v/>
      </c>
      <c r="B3100" s="2" t="n">
        <v>43175.16740740741</v>
      </c>
      <c r="C3100" t="n">
        <v>2</v>
      </c>
      <c r="D3100" t="n">
        <v>1</v>
      </c>
      <c r="E3100" t="s">
        <v>3111</v>
      </c>
      <c r="F3100" t="s"/>
      <c r="G3100" t="s"/>
      <c r="H3100" t="s"/>
      <c r="I3100" t="s"/>
      <c r="J3100" t="n">
        <v>0</v>
      </c>
      <c r="K3100" t="n">
        <v>0</v>
      </c>
      <c r="L3100" t="n">
        <v>1</v>
      </c>
      <c r="M3100" t="n">
        <v>0</v>
      </c>
    </row>
    <row r="3101" spans="1:13">
      <c r="A3101" s="1">
        <f>HYPERLINK("http://www.twitter.com/NathanBLawrence/status/974492254499991554", "974492254499991554")</f>
        <v/>
      </c>
      <c r="B3101" s="2" t="n">
        <v>43175.15778935186</v>
      </c>
      <c r="C3101" t="n">
        <v>1</v>
      </c>
      <c r="D3101" t="n">
        <v>1</v>
      </c>
      <c r="E3101" t="s">
        <v>3112</v>
      </c>
      <c r="F3101" t="s"/>
      <c r="G3101" t="s"/>
      <c r="H3101" t="s"/>
      <c r="I3101" t="s"/>
      <c r="J3101" t="n">
        <v>0.7692</v>
      </c>
      <c r="K3101" t="n">
        <v>0</v>
      </c>
      <c r="L3101" t="n">
        <v>0.79</v>
      </c>
      <c r="M3101" t="n">
        <v>0.21</v>
      </c>
    </row>
    <row r="3102" spans="1:13">
      <c r="A3102" s="1">
        <f>HYPERLINK("http://www.twitter.com/NathanBLawrence/status/974491827020722178", "974491827020722178")</f>
        <v/>
      </c>
      <c r="B3102" s="2" t="n">
        <v>43175.15660879629</v>
      </c>
      <c r="C3102" t="n">
        <v>6</v>
      </c>
      <c r="D3102" t="n">
        <v>2</v>
      </c>
      <c r="E3102" t="s">
        <v>3113</v>
      </c>
      <c r="F3102" t="s"/>
      <c r="G3102" t="s"/>
      <c r="H3102" t="s"/>
      <c r="I3102" t="s"/>
      <c r="J3102" t="n">
        <v>0.8816000000000001</v>
      </c>
      <c r="K3102" t="n">
        <v>0</v>
      </c>
      <c r="L3102" t="n">
        <v>0.765</v>
      </c>
      <c r="M3102" t="n">
        <v>0.235</v>
      </c>
    </row>
    <row r="3103" spans="1:13">
      <c r="A3103" s="1">
        <f>HYPERLINK("http://www.twitter.com/NathanBLawrence/status/974490646445772800", "974490646445772800")</f>
        <v/>
      </c>
      <c r="B3103" s="2" t="n">
        <v>43175.1533449074</v>
      </c>
      <c r="C3103" t="n">
        <v>0</v>
      </c>
      <c r="D3103" t="n">
        <v>0</v>
      </c>
      <c r="E3103" t="s">
        <v>3114</v>
      </c>
      <c r="F3103" t="s"/>
      <c r="G3103" t="s"/>
      <c r="H3103" t="s"/>
      <c r="I3103" t="s"/>
      <c r="J3103" t="n">
        <v>0.6588000000000001</v>
      </c>
      <c r="K3103" t="n">
        <v>0</v>
      </c>
      <c r="L3103" t="n">
        <v>0.774</v>
      </c>
      <c r="M3103" t="n">
        <v>0.226</v>
      </c>
    </row>
    <row r="3104" spans="1:13">
      <c r="A3104" s="1">
        <f>HYPERLINK("http://www.twitter.com/NathanBLawrence/status/974488624195686400", "974488624195686400")</f>
        <v/>
      </c>
      <c r="B3104" s="2" t="n">
        <v>43175.14776620371</v>
      </c>
      <c r="C3104" t="n">
        <v>7</v>
      </c>
      <c r="D3104" t="n">
        <v>1</v>
      </c>
      <c r="E3104" t="s">
        <v>3115</v>
      </c>
      <c r="F3104">
        <f>HYPERLINK("http://pbs.twimg.com/media/DYYUM5ZVoAY7q1_.jpg", "http://pbs.twimg.com/media/DYYUM5ZVoAY7q1_.jpg")</f>
        <v/>
      </c>
      <c r="G3104" t="s"/>
      <c r="H3104" t="s"/>
      <c r="I3104" t="s"/>
      <c r="J3104" t="n">
        <v>0.7845</v>
      </c>
      <c r="K3104" t="n">
        <v>0</v>
      </c>
      <c r="L3104" t="n">
        <v>0.769</v>
      </c>
      <c r="M3104" t="n">
        <v>0.231</v>
      </c>
    </row>
    <row r="3105" spans="1:13">
      <c r="A3105" s="1">
        <f>HYPERLINK("http://www.twitter.com/NathanBLawrence/status/974488054235914240", "974488054235914240")</f>
        <v/>
      </c>
      <c r="B3105" s="2" t="n">
        <v>43175.14619212963</v>
      </c>
      <c r="C3105" t="n">
        <v>6</v>
      </c>
      <c r="D3105" t="n">
        <v>2</v>
      </c>
      <c r="E3105" t="s">
        <v>3116</v>
      </c>
      <c r="F3105">
        <f>HYPERLINK("http://pbs.twimg.com/media/DYYTtBmVoAEdrzE.jpg", "http://pbs.twimg.com/media/DYYTtBmVoAEdrzE.jpg")</f>
        <v/>
      </c>
      <c r="G3105" t="s"/>
      <c r="H3105" t="s"/>
      <c r="I3105" t="s"/>
      <c r="J3105" t="n">
        <v>-0.3531</v>
      </c>
      <c r="K3105" t="n">
        <v>0.133</v>
      </c>
      <c r="L3105" t="n">
        <v>0.795</v>
      </c>
      <c r="M3105" t="n">
        <v>0.07199999999999999</v>
      </c>
    </row>
    <row r="3106" spans="1:13">
      <c r="A3106" s="1">
        <f>HYPERLINK("http://www.twitter.com/NathanBLawrence/status/974486818577158150", "974486818577158150")</f>
        <v/>
      </c>
      <c r="B3106" s="2" t="n">
        <v>43175.14278935185</v>
      </c>
      <c r="C3106" t="n">
        <v>10</v>
      </c>
      <c r="D3106" t="n">
        <v>2</v>
      </c>
      <c r="E3106" t="s">
        <v>3117</v>
      </c>
      <c r="F3106">
        <f>HYPERLINK("http://pbs.twimg.com/media/DYYSk42VQAEEuKt.jpg", "http://pbs.twimg.com/media/DYYSk42VQAEEuKt.jpg")</f>
        <v/>
      </c>
      <c r="G3106" t="s"/>
      <c r="H3106" t="s"/>
      <c r="I3106" t="s"/>
      <c r="J3106" t="n">
        <v>0.9187</v>
      </c>
      <c r="K3106" t="n">
        <v>0</v>
      </c>
      <c r="L3106" t="n">
        <v>0.667</v>
      </c>
      <c r="M3106" t="n">
        <v>0.333</v>
      </c>
    </row>
    <row r="3107" spans="1:13">
      <c r="A3107" s="1">
        <f>HYPERLINK("http://www.twitter.com/NathanBLawrence/status/974485905963651072", "974485905963651072")</f>
        <v/>
      </c>
      <c r="B3107" s="2" t="n">
        <v>43175.14026620371</v>
      </c>
      <c r="C3107" t="n">
        <v>5</v>
      </c>
      <c r="D3107" t="n">
        <v>2</v>
      </c>
      <c r="E3107" t="s">
        <v>3118</v>
      </c>
      <c r="F3107">
        <f>HYPERLINK("http://pbs.twimg.com/media/DYYRvGIU0AAofOZ.jpg", "http://pbs.twimg.com/media/DYYRvGIU0AAofOZ.jpg")</f>
        <v/>
      </c>
      <c r="G3107" t="s"/>
      <c r="H3107" t="s"/>
      <c r="I3107" t="s"/>
      <c r="J3107" t="n">
        <v>0.4199</v>
      </c>
      <c r="K3107" t="n">
        <v>0</v>
      </c>
      <c r="L3107" t="n">
        <v>0.878</v>
      </c>
      <c r="M3107" t="n">
        <v>0.122</v>
      </c>
    </row>
    <row r="3108" spans="1:13">
      <c r="A3108" s="1">
        <f>HYPERLINK("http://www.twitter.com/NathanBLawrence/status/974447336809222145", "974447336809222145")</f>
        <v/>
      </c>
      <c r="B3108" s="2" t="n">
        <v>43175.03384259259</v>
      </c>
      <c r="C3108" t="n">
        <v>0</v>
      </c>
      <c r="D3108" t="n">
        <v>3</v>
      </c>
      <c r="E3108" t="s">
        <v>3119</v>
      </c>
      <c r="F3108">
        <f>HYPERLINK("http://pbs.twimg.com/media/DYXtxRyU8AAq0Ew.jpg", "http://pbs.twimg.com/media/DYXtxRyU8AAq0Ew.jpg")</f>
        <v/>
      </c>
      <c r="G3108" t="s"/>
      <c r="H3108" t="s"/>
      <c r="I3108" t="s"/>
      <c r="J3108" t="n">
        <v>0</v>
      </c>
      <c r="K3108" t="n">
        <v>0</v>
      </c>
      <c r="L3108" t="n">
        <v>1</v>
      </c>
      <c r="M3108" t="n">
        <v>0</v>
      </c>
    </row>
    <row r="3109" spans="1:13">
      <c r="A3109" s="1">
        <f>HYPERLINK("http://www.twitter.com/NathanBLawrence/status/974447294178299904", "974447294178299904")</f>
        <v/>
      </c>
      <c r="B3109" s="2" t="n">
        <v>43175.03371527778</v>
      </c>
      <c r="C3109" t="n">
        <v>4</v>
      </c>
      <c r="D3109" t="n">
        <v>1</v>
      </c>
      <c r="E3109" t="s">
        <v>3120</v>
      </c>
      <c r="F3109">
        <f>HYPERLINK("http://pbs.twimg.com/media/DYXuokGVAAASvVl.jpg", "http://pbs.twimg.com/media/DYXuokGVAAASvVl.jpg")</f>
        <v/>
      </c>
      <c r="G3109" t="s"/>
      <c r="H3109" t="s"/>
      <c r="I3109" t="s"/>
      <c r="J3109" t="n">
        <v>0.3595</v>
      </c>
      <c r="K3109" t="n">
        <v>0</v>
      </c>
      <c r="L3109" t="n">
        <v>0.707</v>
      </c>
      <c r="M3109" t="n">
        <v>0.293</v>
      </c>
    </row>
    <row r="3110" spans="1:13">
      <c r="A3110" s="1">
        <f>HYPERLINK("http://www.twitter.com/NathanBLawrence/status/974388929469218819", "974388929469218819")</f>
        <v/>
      </c>
      <c r="B3110" s="2" t="n">
        <v>43174.87266203704</v>
      </c>
      <c r="C3110" t="n">
        <v>3</v>
      </c>
      <c r="D3110" t="n">
        <v>2</v>
      </c>
      <c r="E3110" t="s">
        <v>3121</v>
      </c>
      <c r="F3110" t="s"/>
      <c r="G3110" t="s"/>
      <c r="H3110" t="s"/>
      <c r="I3110" t="s"/>
      <c r="J3110" t="n">
        <v>0.6369</v>
      </c>
      <c r="K3110" t="n">
        <v>0</v>
      </c>
      <c r="L3110" t="n">
        <v>0.865</v>
      </c>
      <c r="M3110" t="n">
        <v>0.135</v>
      </c>
    </row>
    <row r="3111" spans="1:13">
      <c r="A3111" s="1">
        <f>HYPERLINK("http://www.twitter.com/NathanBLawrence/status/974386185564024838", "974386185564024838")</f>
        <v/>
      </c>
      <c r="B3111" s="2" t="n">
        <v>43174.86509259259</v>
      </c>
      <c r="C3111" t="n">
        <v>0</v>
      </c>
      <c r="D3111" t="n">
        <v>0</v>
      </c>
      <c r="E3111" t="s">
        <v>3122</v>
      </c>
      <c r="F3111" t="s"/>
      <c r="G3111" t="s"/>
      <c r="H3111" t="s"/>
      <c r="I3111" t="s"/>
      <c r="J3111" t="n">
        <v>0.485</v>
      </c>
      <c r="K3111" t="n">
        <v>0.134</v>
      </c>
      <c r="L3111" t="n">
        <v>0.5570000000000001</v>
      </c>
      <c r="M3111" t="n">
        <v>0.309</v>
      </c>
    </row>
    <row r="3112" spans="1:13">
      <c r="A3112" s="1">
        <f>HYPERLINK("http://www.twitter.com/NathanBLawrence/status/974385929514291207", "974385929514291207")</f>
        <v/>
      </c>
      <c r="B3112" s="2" t="n">
        <v>43174.86438657407</v>
      </c>
      <c r="C3112" t="n">
        <v>0</v>
      </c>
      <c r="D3112" t="n">
        <v>0</v>
      </c>
      <c r="E3112" t="s">
        <v>3123</v>
      </c>
      <c r="F3112" t="s"/>
      <c r="G3112" t="s"/>
      <c r="H3112" t="s"/>
      <c r="I3112" t="s"/>
      <c r="J3112" t="n">
        <v>0</v>
      </c>
      <c r="K3112" t="n">
        <v>0</v>
      </c>
      <c r="L3112" t="n">
        <v>1</v>
      </c>
      <c r="M3112" t="n">
        <v>0</v>
      </c>
    </row>
    <row r="3113" spans="1:13">
      <c r="A3113" s="1">
        <f>HYPERLINK("http://www.twitter.com/NathanBLawrence/status/974384960886005760", "974384960886005760")</f>
        <v/>
      </c>
      <c r="B3113" s="2" t="n">
        <v>43174.86171296296</v>
      </c>
      <c r="C3113" t="n">
        <v>2</v>
      </c>
      <c r="D3113" t="n">
        <v>1</v>
      </c>
      <c r="E3113" t="s">
        <v>3124</v>
      </c>
      <c r="F3113" t="s"/>
      <c r="G3113" t="s"/>
      <c r="H3113" t="s"/>
      <c r="I3113" t="s"/>
      <c r="J3113" t="n">
        <v>0.7027</v>
      </c>
      <c r="K3113" t="n">
        <v>0</v>
      </c>
      <c r="L3113" t="n">
        <v>0.453</v>
      </c>
      <c r="M3113" t="n">
        <v>0.547</v>
      </c>
    </row>
    <row r="3114" spans="1:13">
      <c r="A3114" s="1">
        <f>HYPERLINK("http://www.twitter.com/NathanBLawrence/status/974384524988698632", "974384524988698632")</f>
        <v/>
      </c>
      <c r="B3114" s="2" t="n">
        <v>43174.86050925926</v>
      </c>
      <c r="C3114" t="n">
        <v>0</v>
      </c>
      <c r="D3114" t="n">
        <v>0</v>
      </c>
      <c r="E3114" t="s">
        <v>3125</v>
      </c>
      <c r="F3114" t="s"/>
      <c r="G3114" t="s"/>
      <c r="H3114" t="s"/>
      <c r="I3114" t="s"/>
      <c r="J3114" t="n">
        <v>0.2263</v>
      </c>
      <c r="K3114" t="n">
        <v>0</v>
      </c>
      <c r="L3114" t="n">
        <v>0.8080000000000001</v>
      </c>
      <c r="M3114" t="n">
        <v>0.192</v>
      </c>
    </row>
    <row r="3115" spans="1:13">
      <c r="A3115" s="1">
        <f>HYPERLINK("http://www.twitter.com/NathanBLawrence/status/974377238765408256", "974377238765408256")</f>
        <v/>
      </c>
      <c r="B3115" s="2" t="n">
        <v>43174.84040509259</v>
      </c>
      <c r="C3115" t="n">
        <v>1</v>
      </c>
      <c r="D3115" t="n">
        <v>1</v>
      </c>
      <c r="E3115" t="s">
        <v>3126</v>
      </c>
      <c r="F3115" t="s"/>
      <c r="G3115" t="s"/>
      <c r="H3115" t="s"/>
      <c r="I3115" t="s"/>
      <c r="J3115" t="n">
        <v>-0.6523</v>
      </c>
      <c r="K3115" t="n">
        <v>0.464</v>
      </c>
      <c r="L3115" t="n">
        <v>0.536</v>
      </c>
      <c r="M3115" t="n">
        <v>0</v>
      </c>
    </row>
    <row r="3116" spans="1:13">
      <c r="A3116" s="1">
        <f>HYPERLINK("http://www.twitter.com/NathanBLawrence/status/974373621538934784", "974373621538934784")</f>
        <v/>
      </c>
      <c r="B3116" s="2" t="n">
        <v>43174.83042824074</v>
      </c>
      <c r="C3116" t="n">
        <v>0</v>
      </c>
      <c r="D3116" t="n">
        <v>0</v>
      </c>
      <c r="E3116" t="s">
        <v>3127</v>
      </c>
      <c r="F3116" t="s"/>
      <c r="G3116" t="s"/>
      <c r="H3116" t="s"/>
      <c r="I3116" t="s"/>
      <c r="J3116" t="n">
        <v>0</v>
      </c>
      <c r="K3116" t="n">
        <v>0</v>
      </c>
      <c r="L3116" t="n">
        <v>1</v>
      </c>
      <c r="M3116" t="n">
        <v>0</v>
      </c>
    </row>
    <row r="3117" spans="1:13">
      <c r="A3117" s="1">
        <f>HYPERLINK("http://www.twitter.com/NathanBLawrence/status/974373154327056389", "974373154327056389")</f>
        <v/>
      </c>
      <c r="B3117" s="2" t="n">
        <v>43174.82913194445</v>
      </c>
      <c r="C3117" t="n">
        <v>1</v>
      </c>
      <c r="D3117" t="n">
        <v>0</v>
      </c>
      <c r="E3117" t="s">
        <v>3128</v>
      </c>
      <c r="F3117" t="s"/>
      <c r="G3117" t="s"/>
      <c r="H3117" t="s"/>
      <c r="I3117" t="s"/>
      <c r="J3117" t="n">
        <v>-0.6093</v>
      </c>
      <c r="K3117" t="n">
        <v>0.121</v>
      </c>
      <c r="L3117" t="n">
        <v>0.879</v>
      </c>
      <c r="M3117" t="n">
        <v>0</v>
      </c>
    </row>
    <row r="3118" spans="1:13">
      <c r="A3118" s="1">
        <f>HYPERLINK("http://www.twitter.com/NathanBLawrence/status/974372775606607882", "974372775606607882")</f>
        <v/>
      </c>
      <c r="B3118" s="2" t="n">
        <v>43174.82809027778</v>
      </c>
      <c r="C3118" t="n">
        <v>0</v>
      </c>
      <c r="D3118" t="n">
        <v>0</v>
      </c>
      <c r="E3118" t="s">
        <v>3129</v>
      </c>
      <c r="F3118" t="s"/>
      <c r="G3118" t="s"/>
      <c r="H3118" t="s"/>
      <c r="I3118" t="s"/>
      <c r="J3118" t="n">
        <v>0</v>
      </c>
      <c r="K3118" t="n">
        <v>0</v>
      </c>
      <c r="L3118" t="n">
        <v>1</v>
      </c>
      <c r="M3118" t="n">
        <v>0</v>
      </c>
    </row>
    <row r="3119" spans="1:13">
      <c r="A3119" s="1">
        <f>HYPERLINK("http://www.twitter.com/NathanBLawrence/status/974372097639239680", "974372097639239680")</f>
        <v/>
      </c>
      <c r="B3119" s="2" t="n">
        <v>43174.82621527778</v>
      </c>
      <c r="C3119" t="n">
        <v>0</v>
      </c>
      <c r="D3119" t="n">
        <v>358</v>
      </c>
      <c r="E3119" t="s">
        <v>3130</v>
      </c>
      <c r="F3119" t="s"/>
      <c r="G3119" t="s"/>
      <c r="H3119" t="s"/>
      <c r="I3119" t="s"/>
      <c r="J3119" t="n">
        <v>0</v>
      </c>
      <c r="K3119" t="n">
        <v>0</v>
      </c>
      <c r="L3119" t="n">
        <v>1</v>
      </c>
      <c r="M3119" t="n">
        <v>0</v>
      </c>
    </row>
    <row r="3120" spans="1:13">
      <c r="A3120" s="1">
        <f>HYPERLINK("http://www.twitter.com/NathanBLawrence/status/974365281995894784", "974365281995894784")</f>
        <v/>
      </c>
      <c r="B3120" s="2" t="n">
        <v>43174.80740740741</v>
      </c>
      <c r="C3120" t="n">
        <v>0</v>
      </c>
      <c r="D3120" t="n">
        <v>47</v>
      </c>
      <c r="E3120" t="s">
        <v>3131</v>
      </c>
      <c r="F3120">
        <f>HYPERLINK("http://pbs.twimg.com/media/DYWcyrJU8AAp6Zi.jpg", "http://pbs.twimg.com/media/DYWcyrJU8AAp6Zi.jpg")</f>
        <v/>
      </c>
      <c r="G3120">
        <f>HYPERLINK("http://pbs.twimg.com/media/DYWczKvUQAAE8dY.jpg", "http://pbs.twimg.com/media/DYWczKvUQAAE8dY.jpg")</f>
        <v/>
      </c>
      <c r="H3120">
        <f>HYPERLINK("http://pbs.twimg.com/media/DYWczgxUMAAnlw1.jpg", "http://pbs.twimg.com/media/DYWczgxUMAAnlw1.jpg")</f>
        <v/>
      </c>
      <c r="I3120">
        <f>HYPERLINK("http://pbs.twimg.com/media/DYWczs1V4AA5eVF.jpg", "http://pbs.twimg.com/media/DYWczs1V4AA5eVF.jpg")</f>
        <v/>
      </c>
      <c r="J3120" t="n">
        <v>-0.5719</v>
      </c>
      <c r="K3120" t="n">
        <v>0.251</v>
      </c>
      <c r="L3120" t="n">
        <v>0.749</v>
      </c>
      <c r="M3120" t="n">
        <v>0</v>
      </c>
    </row>
    <row r="3121" spans="1:13">
      <c r="A3121" s="1">
        <f>HYPERLINK("http://www.twitter.com/NathanBLawrence/status/974359869758242817", "974359869758242817")</f>
        <v/>
      </c>
      <c r="B3121" s="2" t="n">
        <v>43174.79247685185</v>
      </c>
      <c r="C3121" t="n">
        <v>0</v>
      </c>
      <c r="D3121" t="n">
        <v>0</v>
      </c>
      <c r="E3121" t="s">
        <v>3132</v>
      </c>
      <c r="F3121" t="s"/>
      <c r="G3121" t="s"/>
      <c r="H3121" t="s"/>
      <c r="I3121" t="s"/>
      <c r="J3121" t="n">
        <v>0</v>
      </c>
      <c r="K3121" t="n">
        <v>0</v>
      </c>
      <c r="L3121" t="n">
        <v>1</v>
      </c>
      <c r="M3121" t="n">
        <v>0</v>
      </c>
    </row>
    <row r="3122" spans="1:13">
      <c r="A3122" s="1">
        <f>HYPERLINK("http://www.twitter.com/NathanBLawrence/status/974358179575402496", "974358179575402496")</f>
        <v/>
      </c>
      <c r="B3122" s="2" t="n">
        <v>43174.7878125</v>
      </c>
      <c r="C3122" t="n">
        <v>0</v>
      </c>
      <c r="D3122" t="n">
        <v>0</v>
      </c>
      <c r="E3122" t="s">
        <v>3133</v>
      </c>
      <c r="F3122" t="s"/>
      <c r="G3122" t="s"/>
      <c r="H3122" t="s"/>
      <c r="I3122" t="s"/>
      <c r="J3122" t="n">
        <v>0.5266999999999999</v>
      </c>
      <c r="K3122" t="n">
        <v>0</v>
      </c>
      <c r="L3122" t="n">
        <v>0.848</v>
      </c>
      <c r="M3122" t="n">
        <v>0.152</v>
      </c>
    </row>
    <row r="3123" spans="1:13">
      <c r="A3123" s="1">
        <f>HYPERLINK("http://www.twitter.com/NathanBLawrence/status/974357566913417219", "974357566913417219")</f>
        <v/>
      </c>
      <c r="B3123" s="2" t="n">
        <v>43174.78612268518</v>
      </c>
      <c r="C3123" t="n">
        <v>0</v>
      </c>
      <c r="D3123" t="n">
        <v>168</v>
      </c>
      <c r="E3123" t="s">
        <v>3134</v>
      </c>
      <c r="F3123">
        <f>HYPERLINK("http://pbs.twimg.com/media/DYWUgwvXkAAG2Bk.jpg", "http://pbs.twimg.com/media/DYWUgwvXkAAG2Bk.jpg")</f>
        <v/>
      </c>
      <c r="G3123" t="s"/>
      <c r="H3123" t="s"/>
      <c r="I3123" t="s"/>
      <c r="J3123" t="n">
        <v>-0.8126</v>
      </c>
      <c r="K3123" t="n">
        <v>0.351</v>
      </c>
      <c r="L3123" t="n">
        <v>0.487</v>
      </c>
      <c r="M3123" t="n">
        <v>0.162</v>
      </c>
    </row>
    <row r="3124" spans="1:13">
      <c r="A3124" s="1">
        <f>HYPERLINK("http://www.twitter.com/NathanBLawrence/status/974357376743739392", "974357376743739392")</f>
        <v/>
      </c>
      <c r="B3124" s="2" t="n">
        <v>43174.78559027778</v>
      </c>
      <c r="C3124" t="n">
        <v>0</v>
      </c>
      <c r="D3124" t="n">
        <v>0</v>
      </c>
      <c r="E3124" t="s">
        <v>3135</v>
      </c>
      <c r="F3124" t="s"/>
      <c r="G3124" t="s"/>
      <c r="H3124" t="s"/>
      <c r="I3124" t="s"/>
      <c r="J3124" t="n">
        <v>0</v>
      </c>
      <c r="K3124" t="n">
        <v>0</v>
      </c>
      <c r="L3124" t="n">
        <v>1</v>
      </c>
      <c r="M3124" t="n">
        <v>0</v>
      </c>
    </row>
    <row r="3125" spans="1:13">
      <c r="A3125" s="1">
        <f>HYPERLINK("http://www.twitter.com/NathanBLawrence/status/974349228301570049", "974349228301570049")</f>
        <v/>
      </c>
      <c r="B3125" s="2" t="n">
        <v>43174.76311342593</v>
      </c>
      <c r="C3125" t="n">
        <v>0</v>
      </c>
      <c r="D3125" t="n">
        <v>0</v>
      </c>
      <c r="E3125" t="s">
        <v>3136</v>
      </c>
      <c r="F3125" t="s"/>
      <c r="G3125" t="s"/>
      <c r="H3125" t="s"/>
      <c r="I3125" t="s"/>
      <c r="J3125" t="n">
        <v>0</v>
      </c>
      <c r="K3125" t="n">
        <v>0</v>
      </c>
      <c r="L3125" t="n">
        <v>1</v>
      </c>
      <c r="M3125" t="n">
        <v>0</v>
      </c>
    </row>
    <row r="3126" spans="1:13">
      <c r="A3126" s="1">
        <f>HYPERLINK("http://www.twitter.com/NathanBLawrence/status/974347274330525697", "974347274330525697")</f>
        <v/>
      </c>
      <c r="B3126" s="2" t="n">
        <v>43174.75771990741</v>
      </c>
      <c r="C3126" t="n">
        <v>0</v>
      </c>
      <c r="D3126" t="n">
        <v>0</v>
      </c>
      <c r="E3126" t="s">
        <v>3137</v>
      </c>
      <c r="F3126" t="s"/>
      <c r="G3126" t="s"/>
      <c r="H3126" t="s"/>
      <c r="I3126" t="s"/>
      <c r="J3126" t="n">
        <v>-0.25</v>
      </c>
      <c r="K3126" t="n">
        <v>0.25</v>
      </c>
      <c r="L3126" t="n">
        <v>0.75</v>
      </c>
      <c r="M3126" t="n">
        <v>0</v>
      </c>
    </row>
    <row r="3127" spans="1:13">
      <c r="A3127" s="1">
        <f>HYPERLINK("http://www.twitter.com/NathanBLawrence/status/974339825150160898", "974339825150160898")</f>
        <v/>
      </c>
      <c r="B3127" s="2" t="n">
        <v>43174.73716435185</v>
      </c>
      <c r="C3127" t="n">
        <v>0</v>
      </c>
      <c r="D3127" t="n">
        <v>22</v>
      </c>
      <c r="E3127" t="s">
        <v>3138</v>
      </c>
      <c r="F3127" t="s"/>
      <c r="G3127" t="s"/>
      <c r="H3127" t="s"/>
      <c r="I3127" t="s"/>
      <c r="J3127" t="n">
        <v>0.8442</v>
      </c>
      <c r="K3127" t="n">
        <v>0</v>
      </c>
      <c r="L3127" t="n">
        <v>0.653</v>
      </c>
      <c r="M3127" t="n">
        <v>0.347</v>
      </c>
    </row>
    <row r="3128" spans="1:13">
      <c r="A3128" s="1">
        <f>HYPERLINK("http://www.twitter.com/NathanBLawrence/status/974331780303065088", "974331780303065088")</f>
        <v/>
      </c>
      <c r="B3128" s="2" t="n">
        <v>43174.71496527778</v>
      </c>
      <c r="C3128" t="n">
        <v>0</v>
      </c>
      <c r="D3128" t="n">
        <v>0</v>
      </c>
      <c r="E3128" t="s">
        <v>3139</v>
      </c>
      <c r="F3128">
        <f>HYPERLINK("http://pbs.twimg.com/media/DYWFlamVMAU9xaI.jpg", "http://pbs.twimg.com/media/DYWFlamVMAU9xaI.jpg")</f>
        <v/>
      </c>
      <c r="G3128" t="s"/>
      <c r="H3128" t="s"/>
      <c r="I3128" t="s"/>
      <c r="J3128" t="n">
        <v>0</v>
      </c>
      <c r="K3128" t="n">
        <v>0</v>
      </c>
      <c r="L3128" t="n">
        <v>1</v>
      </c>
      <c r="M3128" t="n">
        <v>0</v>
      </c>
    </row>
    <row r="3129" spans="1:13">
      <c r="A3129" s="1">
        <f>HYPERLINK("http://www.twitter.com/NathanBLawrence/status/974311520338358275", "974311520338358275")</f>
        <v/>
      </c>
      <c r="B3129" s="2" t="n">
        <v>43174.65905092593</v>
      </c>
      <c r="C3129" t="n">
        <v>0</v>
      </c>
      <c r="D3129" t="n">
        <v>7596</v>
      </c>
      <c r="E3129" t="s">
        <v>3140</v>
      </c>
      <c r="F3129" t="s"/>
      <c r="G3129" t="s"/>
      <c r="H3129" t="s"/>
      <c r="I3129" t="s"/>
      <c r="J3129" t="n">
        <v>0.3167</v>
      </c>
      <c r="K3129" t="n">
        <v>0.096</v>
      </c>
      <c r="L3129" t="n">
        <v>0.753</v>
      </c>
      <c r="M3129" t="n">
        <v>0.15</v>
      </c>
    </row>
    <row r="3130" spans="1:13">
      <c r="A3130" s="1">
        <f>HYPERLINK("http://www.twitter.com/NathanBLawrence/status/974311423265398785", "974311423265398785")</f>
        <v/>
      </c>
      <c r="B3130" s="2" t="n">
        <v>43174.65878472223</v>
      </c>
      <c r="C3130" t="n">
        <v>1</v>
      </c>
      <c r="D3130" t="n">
        <v>0</v>
      </c>
      <c r="E3130" t="s">
        <v>3141</v>
      </c>
      <c r="F3130" t="s"/>
      <c r="G3130" t="s"/>
      <c r="H3130" t="s"/>
      <c r="I3130" t="s"/>
      <c r="J3130" t="n">
        <v>0</v>
      </c>
      <c r="K3130" t="n">
        <v>0</v>
      </c>
      <c r="L3130" t="n">
        <v>1</v>
      </c>
      <c r="M3130" t="n">
        <v>0</v>
      </c>
    </row>
    <row r="3131" spans="1:13">
      <c r="A3131" s="1">
        <f>HYPERLINK("http://www.twitter.com/NathanBLawrence/status/974269376521220096", "974269376521220096")</f>
        <v/>
      </c>
      <c r="B3131" s="2" t="n">
        <v>43174.5427662037</v>
      </c>
      <c r="C3131" t="n">
        <v>4</v>
      </c>
      <c r="D3131" t="n">
        <v>0</v>
      </c>
      <c r="E3131" t="s">
        <v>3142</v>
      </c>
      <c r="F3131" t="s"/>
      <c r="G3131" t="s"/>
      <c r="H3131" t="s"/>
      <c r="I3131" t="s"/>
      <c r="J3131" t="n">
        <v>0</v>
      </c>
      <c r="K3131" t="n">
        <v>0</v>
      </c>
      <c r="L3131" t="n">
        <v>1</v>
      </c>
      <c r="M3131" t="n">
        <v>0</v>
      </c>
    </row>
    <row r="3132" spans="1:13">
      <c r="A3132" s="1">
        <f>HYPERLINK("http://www.twitter.com/NathanBLawrence/status/974246752332255232", "974246752332255232")</f>
        <v/>
      </c>
      <c r="B3132" s="2" t="n">
        <v>43174.48033564815</v>
      </c>
      <c r="C3132" t="n">
        <v>0</v>
      </c>
      <c r="D3132" t="n">
        <v>0</v>
      </c>
      <c r="E3132" t="s">
        <v>3143</v>
      </c>
      <c r="F3132" t="s"/>
      <c r="G3132" t="s"/>
      <c r="H3132" t="s"/>
      <c r="I3132" t="s"/>
      <c r="J3132" t="n">
        <v>-0.1926</v>
      </c>
      <c r="K3132" t="n">
        <v>0.468</v>
      </c>
      <c r="L3132" t="n">
        <v>0.532</v>
      </c>
      <c r="M3132" t="n">
        <v>0</v>
      </c>
    </row>
    <row r="3133" spans="1:13">
      <c r="A3133" s="1">
        <f>HYPERLINK("http://www.twitter.com/NathanBLawrence/status/974246478486089728", "974246478486089728")</f>
        <v/>
      </c>
      <c r="B3133" s="2" t="n">
        <v>43174.47957175926</v>
      </c>
      <c r="C3133" t="n">
        <v>0</v>
      </c>
      <c r="D3133" t="n">
        <v>31</v>
      </c>
      <c r="E3133" t="s">
        <v>3144</v>
      </c>
      <c r="F3133" t="s"/>
      <c r="G3133" t="s"/>
      <c r="H3133" t="s"/>
      <c r="I3133" t="s"/>
      <c r="J3133" t="n">
        <v>-0.3182</v>
      </c>
      <c r="K3133" t="n">
        <v>0.103</v>
      </c>
      <c r="L3133" t="n">
        <v>0.897</v>
      </c>
      <c r="M3133" t="n">
        <v>0</v>
      </c>
    </row>
    <row r="3134" spans="1:13">
      <c r="A3134" s="1">
        <f>HYPERLINK("http://www.twitter.com/NathanBLawrence/status/974245379180023809", "974245379180023809")</f>
        <v/>
      </c>
      <c r="B3134" s="2" t="n">
        <v>43174.47653935185</v>
      </c>
      <c r="C3134" t="n">
        <v>0</v>
      </c>
      <c r="D3134" t="n">
        <v>0</v>
      </c>
      <c r="E3134" t="s">
        <v>3145</v>
      </c>
      <c r="F3134" t="s"/>
      <c r="G3134" t="s"/>
      <c r="H3134" t="s"/>
      <c r="I3134" t="s"/>
      <c r="J3134" t="n">
        <v>-0.6269</v>
      </c>
      <c r="K3134" t="n">
        <v>0.292</v>
      </c>
      <c r="L3134" t="n">
        <v>0.708</v>
      </c>
      <c r="M3134" t="n">
        <v>0</v>
      </c>
    </row>
    <row r="3135" spans="1:13">
      <c r="A3135" s="1">
        <f>HYPERLINK("http://www.twitter.com/NathanBLawrence/status/974243860598673409", "974243860598673409")</f>
        <v/>
      </c>
      <c r="B3135" s="2" t="n">
        <v>43174.47234953703</v>
      </c>
      <c r="C3135" t="n">
        <v>0</v>
      </c>
      <c r="D3135" t="n">
        <v>0</v>
      </c>
      <c r="E3135" t="s">
        <v>3146</v>
      </c>
      <c r="F3135" t="s"/>
      <c r="G3135" t="s"/>
      <c r="H3135" t="s"/>
      <c r="I3135" t="s"/>
      <c r="J3135" t="n">
        <v>0.5859</v>
      </c>
      <c r="K3135" t="n">
        <v>0</v>
      </c>
      <c r="L3135" t="n">
        <v>0.652</v>
      </c>
      <c r="M3135" t="n">
        <v>0.348</v>
      </c>
    </row>
    <row r="3136" spans="1:13">
      <c r="A3136" s="1">
        <f>HYPERLINK("http://www.twitter.com/NathanBLawrence/status/974124670134968321", "974124670134968321")</f>
        <v/>
      </c>
      <c r="B3136" s="2" t="n">
        <v>43174.14344907407</v>
      </c>
      <c r="C3136" t="n">
        <v>0</v>
      </c>
      <c r="D3136" t="n">
        <v>2223</v>
      </c>
      <c r="E3136" t="s">
        <v>3147</v>
      </c>
      <c r="F3136" t="s"/>
      <c r="G3136" t="s"/>
      <c r="H3136" t="s"/>
      <c r="I3136" t="s"/>
      <c r="J3136" t="n">
        <v>-0.5859</v>
      </c>
      <c r="K3136" t="n">
        <v>0.27</v>
      </c>
      <c r="L3136" t="n">
        <v>0.73</v>
      </c>
      <c r="M3136" t="n">
        <v>0</v>
      </c>
    </row>
    <row r="3137" spans="1:13">
      <c r="A3137" s="1">
        <f>HYPERLINK("http://www.twitter.com/NathanBLawrence/status/974124484671221760", "974124484671221760")</f>
        <v/>
      </c>
      <c r="B3137" s="2" t="n">
        <v>43174.14293981482</v>
      </c>
      <c r="C3137" t="n">
        <v>1</v>
      </c>
      <c r="D3137" t="n">
        <v>0</v>
      </c>
      <c r="E3137" t="s">
        <v>3148</v>
      </c>
      <c r="F3137" t="s"/>
      <c r="G3137" t="s"/>
      <c r="H3137" t="s"/>
      <c r="I3137" t="s"/>
      <c r="J3137" t="n">
        <v>0.6249</v>
      </c>
      <c r="K3137" t="n">
        <v>0</v>
      </c>
      <c r="L3137" t="n">
        <v>0.611</v>
      </c>
      <c r="M3137" t="n">
        <v>0.389</v>
      </c>
    </row>
    <row r="3138" spans="1:13">
      <c r="A3138" s="1">
        <f>HYPERLINK("http://www.twitter.com/NathanBLawrence/status/974120035898847232", "974120035898847232")</f>
        <v/>
      </c>
      <c r="B3138" s="2" t="n">
        <v>43174.13065972222</v>
      </c>
      <c r="C3138" t="n">
        <v>0</v>
      </c>
      <c r="D3138" t="n">
        <v>0</v>
      </c>
      <c r="E3138" t="s">
        <v>3149</v>
      </c>
      <c r="F3138" t="s"/>
      <c r="G3138" t="s"/>
      <c r="H3138" t="s"/>
      <c r="I3138" t="s"/>
      <c r="J3138" t="n">
        <v>0</v>
      </c>
      <c r="K3138" t="n">
        <v>0</v>
      </c>
      <c r="L3138" t="n">
        <v>1</v>
      </c>
      <c r="M3138" t="n">
        <v>0</v>
      </c>
    </row>
    <row r="3139" spans="1:13">
      <c r="A3139" s="1">
        <f>HYPERLINK("http://www.twitter.com/NathanBLawrence/status/974119519529652224", "974119519529652224")</f>
        <v/>
      </c>
      <c r="B3139" s="2" t="n">
        <v>43174.12923611111</v>
      </c>
      <c r="C3139" t="n">
        <v>1</v>
      </c>
      <c r="D3139" t="n">
        <v>1</v>
      </c>
      <c r="E3139" t="s">
        <v>3150</v>
      </c>
      <c r="F3139" t="s"/>
      <c r="G3139" t="s"/>
      <c r="H3139" t="s"/>
      <c r="I3139" t="s"/>
      <c r="J3139" t="n">
        <v>-0.5358000000000001</v>
      </c>
      <c r="K3139" t="n">
        <v>0.206</v>
      </c>
      <c r="L3139" t="n">
        <v>0.703</v>
      </c>
      <c r="M3139" t="n">
        <v>0.09</v>
      </c>
    </row>
    <row r="3140" spans="1:13">
      <c r="A3140" s="1">
        <f>HYPERLINK("http://www.twitter.com/NathanBLawrence/status/974117890411630592", "974117890411630592")</f>
        <v/>
      </c>
      <c r="B3140" s="2" t="n">
        <v>43174.1247337963</v>
      </c>
      <c r="C3140" t="n">
        <v>0</v>
      </c>
      <c r="D3140" t="n">
        <v>1</v>
      </c>
      <c r="E3140" t="s">
        <v>3151</v>
      </c>
      <c r="F3140" t="s"/>
      <c r="G3140" t="s"/>
      <c r="H3140" t="s"/>
      <c r="I3140" t="s"/>
      <c r="J3140" t="n">
        <v>-0.3182</v>
      </c>
      <c r="K3140" t="n">
        <v>0.173</v>
      </c>
      <c r="L3140" t="n">
        <v>0.827</v>
      </c>
      <c r="M3140" t="n">
        <v>0</v>
      </c>
    </row>
    <row r="3141" spans="1:13">
      <c r="A3141" s="1">
        <f>HYPERLINK("http://www.twitter.com/NathanBLawrence/status/974107537208377344", "974107537208377344")</f>
        <v/>
      </c>
      <c r="B3141" s="2" t="n">
        <v>43174.09616898148</v>
      </c>
      <c r="C3141" t="n">
        <v>2</v>
      </c>
      <c r="D3141" t="n">
        <v>1</v>
      </c>
      <c r="E3141" t="s">
        <v>3152</v>
      </c>
      <c r="F3141" t="s"/>
      <c r="G3141" t="s"/>
      <c r="H3141" t="s"/>
      <c r="I3141" t="s"/>
      <c r="J3141" t="n">
        <v>-0.4767</v>
      </c>
      <c r="K3141" t="n">
        <v>0.124</v>
      </c>
      <c r="L3141" t="n">
        <v>0.876</v>
      </c>
      <c r="M3141" t="n">
        <v>0</v>
      </c>
    </row>
    <row r="3142" spans="1:13">
      <c r="A3142" s="1">
        <f>HYPERLINK("http://www.twitter.com/NathanBLawrence/status/974103015530655744", "974103015530655744")</f>
        <v/>
      </c>
      <c r="B3142" s="2" t="n">
        <v>43174.08369212963</v>
      </c>
      <c r="C3142" t="n">
        <v>0</v>
      </c>
      <c r="D3142" t="n">
        <v>0</v>
      </c>
      <c r="E3142" t="s">
        <v>3153</v>
      </c>
      <c r="F3142" t="s"/>
      <c r="G3142" t="s"/>
      <c r="H3142" t="s"/>
      <c r="I3142" t="s"/>
      <c r="J3142" t="n">
        <v>0.5859</v>
      </c>
      <c r="K3142" t="n">
        <v>0</v>
      </c>
      <c r="L3142" t="n">
        <v>0.593</v>
      </c>
      <c r="M3142" t="n">
        <v>0.407</v>
      </c>
    </row>
    <row r="3143" spans="1:13">
      <c r="A3143" s="1">
        <f>HYPERLINK("http://www.twitter.com/NathanBLawrence/status/974102685048823809", "974102685048823809")</f>
        <v/>
      </c>
      <c r="B3143" s="2" t="n">
        <v>43174.08277777778</v>
      </c>
      <c r="C3143" t="n">
        <v>2</v>
      </c>
      <c r="D3143" t="n">
        <v>0</v>
      </c>
      <c r="E3143" t="s">
        <v>3154</v>
      </c>
      <c r="F3143" t="s"/>
      <c r="G3143" t="s"/>
      <c r="H3143" t="s"/>
      <c r="I3143" t="s"/>
      <c r="J3143" t="n">
        <v>0.743</v>
      </c>
      <c r="K3143" t="n">
        <v>0</v>
      </c>
      <c r="L3143" t="n">
        <v>0.704</v>
      </c>
      <c r="M3143" t="n">
        <v>0.296</v>
      </c>
    </row>
    <row r="3144" spans="1:13">
      <c r="A3144" s="1">
        <f>HYPERLINK("http://www.twitter.com/NathanBLawrence/status/974102201860845568", "974102201860845568")</f>
        <v/>
      </c>
      <c r="B3144" s="2" t="n">
        <v>43174.08144675926</v>
      </c>
      <c r="C3144" t="n">
        <v>0</v>
      </c>
      <c r="D3144" t="n">
        <v>0</v>
      </c>
      <c r="E3144" t="s">
        <v>3155</v>
      </c>
      <c r="F3144" t="s"/>
      <c r="G3144" t="s"/>
      <c r="H3144" t="s"/>
      <c r="I3144" t="s"/>
      <c r="J3144" t="n">
        <v>0</v>
      </c>
      <c r="K3144" t="n">
        <v>0</v>
      </c>
      <c r="L3144" t="n">
        <v>1</v>
      </c>
      <c r="M3144" t="n">
        <v>0</v>
      </c>
    </row>
    <row r="3145" spans="1:13">
      <c r="A3145" s="1">
        <f>HYPERLINK("http://www.twitter.com/NathanBLawrence/status/974101719801098242", "974101719801098242")</f>
        <v/>
      </c>
      <c r="B3145" s="2" t="n">
        <v>43174.08011574074</v>
      </c>
      <c r="C3145" t="n">
        <v>1</v>
      </c>
      <c r="D3145" t="n">
        <v>0</v>
      </c>
      <c r="E3145" t="s">
        <v>3156</v>
      </c>
      <c r="F3145" t="s"/>
      <c r="G3145" t="s"/>
      <c r="H3145" t="s"/>
      <c r="I3145" t="s"/>
      <c r="J3145" t="n">
        <v>0.4215</v>
      </c>
      <c r="K3145" t="n">
        <v>0</v>
      </c>
      <c r="L3145" t="n">
        <v>0.859</v>
      </c>
      <c r="M3145" t="n">
        <v>0.141</v>
      </c>
    </row>
    <row r="3146" spans="1:13">
      <c r="A3146" s="1">
        <f>HYPERLINK("http://www.twitter.com/NathanBLawrence/status/974101259694280704", "974101259694280704")</f>
        <v/>
      </c>
      <c r="B3146" s="2" t="n">
        <v>43174.07884259259</v>
      </c>
      <c r="C3146" t="n">
        <v>1</v>
      </c>
      <c r="D3146" t="n">
        <v>1</v>
      </c>
      <c r="E3146" t="s">
        <v>3157</v>
      </c>
      <c r="F3146" t="s"/>
      <c r="G3146" t="s"/>
      <c r="H3146" t="s"/>
      <c r="I3146" t="s"/>
      <c r="J3146" t="n">
        <v>-0.5255</v>
      </c>
      <c r="K3146" t="n">
        <v>0.274</v>
      </c>
      <c r="L3146" t="n">
        <v>0.726</v>
      </c>
      <c r="M3146" t="n">
        <v>0</v>
      </c>
    </row>
    <row r="3147" spans="1:13">
      <c r="A3147" s="1">
        <f>HYPERLINK("http://www.twitter.com/NathanBLawrence/status/974098596567175168", "974098596567175168")</f>
        <v/>
      </c>
      <c r="B3147" s="2" t="n">
        <v>43174.07149305556</v>
      </c>
      <c r="C3147" t="n">
        <v>0</v>
      </c>
      <c r="D3147" t="n">
        <v>6</v>
      </c>
      <c r="E3147" t="s">
        <v>3158</v>
      </c>
      <c r="F3147">
        <f>HYPERLINK("http://pbs.twimg.com/media/DYRxg76XcAEl8nu.jpg", "http://pbs.twimg.com/media/DYRxg76XcAEl8nu.jpg")</f>
        <v/>
      </c>
      <c r="G3147" t="s"/>
      <c r="H3147" t="s"/>
      <c r="I3147" t="s"/>
      <c r="J3147" t="n">
        <v>0.7579</v>
      </c>
      <c r="K3147" t="n">
        <v>0</v>
      </c>
      <c r="L3147" t="n">
        <v>0.764</v>
      </c>
      <c r="M3147" t="n">
        <v>0.236</v>
      </c>
    </row>
    <row r="3148" spans="1:13">
      <c r="A3148" s="1">
        <f>HYPERLINK("http://www.twitter.com/NathanBLawrence/status/974097646540476417", "974097646540476417")</f>
        <v/>
      </c>
      <c r="B3148" s="2" t="n">
        <v>43174.06887731481</v>
      </c>
      <c r="C3148" t="n">
        <v>3</v>
      </c>
      <c r="D3148" t="n">
        <v>2</v>
      </c>
      <c r="E3148" t="s">
        <v>3159</v>
      </c>
      <c r="F3148" t="s"/>
      <c r="G3148" t="s"/>
      <c r="H3148" t="s"/>
      <c r="I3148" t="s"/>
      <c r="J3148" t="n">
        <v>0</v>
      </c>
      <c r="K3148" t="n">
        <v>0</v>
      </c>
      <c r="L3148" t="n">
        <v>1</v>
      </c>
      <c r="M3148" t="n">
        <v>0</v>
      </c>
    </row>
    <row r="3149" spans="1:13">
      <c r="A3149" s="1">
        <f>HYPERLINK("http://www.twitter.com/NathanBLawrence/status/974084925983993856", "974084925983993856")</f>
        <v/>
      </c>
      <c r="B3149" s="2" t="n">
        <v>43174.03377314815</v>
      </c>
      <c r="C3149" t="n">
        <v>0</v>
      </c>
      <c r="D3149" t="n">
        <v>0</v>
      </c>
      <c r="E3149" t="s">
        <v>3160</v>
      </c>
      <c r="F3149" t="s"/>
      <c r="G3149" t="s"/>
      <c r="H3149" t="s"/>
      <c r="I3149" t="s"/>
      <c r="J3149" t="n">
        <v>-0.3771</v>
      </c>
      <c r="K3149" t="n">
        <v>0.133</v>
      </c>
      <c r="L3149" t="n">
        <v>0.788</v>
      </c>
      <c r="M3149" t="n">
        <v>0.079</v>
      </c>
    </row>
    <row r="3150" spans="1:13">
      <c r="A3150" s="1">
        <f>HYPERLINK("http://www.twitter.com/NathanBLawrence/status/974071776027258880", "974071776027258880")</f>
        <v/>
      </c>
      <c r="B3150" s="2" t="n">
        <v>43173.99748842593</v>
      </c>
      <c r="C3150" t="n">
        <v>1</v>
      </c>
      <c r="D3150" t="n">
        <v>0</v>
      </c>
      <c r="E3150" t="s">
        <v>3161</v>
      </c>
      <c r="F3150" t="s"/>
      <c r="G3150" t="s"/>
      <c r="H3150" t="s"/>
      <c r="I3150" t="s"/>
      <c r="J3150" t="n">
        <v>0</v>
      </c>
      <c r="K3150" t="n">
        <v>0</v>
      </c>
      <c r="L3150" t="n">
        <v>1</v>
      </c>
      <c r="M3150" t="n">
        <v>0</v>
      </c>
    </row>
    <row r="3151" spans="1:13">
      <c r="A3151" s="1">
        <f>HYPERLINK("http://www.twitter.com/NathanBLawrence/status/974071585748299776", "974071585748299776")</f>
        <v/>
      </c>
      <c r="B3151" s="2" t="n">
        <v>43173.99696759259</v>
      </c>
      <c r="C3151" t="n">
        <v>2</v>
      </c>
      <c r="D3151" t="n">
        <v>0</v>
      </c>
      <c r="E3151" t="s">
        <v>3162</v>
      </c>
      <c r="F3151" t="s"/>
      <c r="G3151" t="s"/>
      <c r="H3151" t="s"/>
      <c r="I3151" t="s"/>
      <c r="J3151" t="n">
        <v>-0.1531</v>
      </c>
      <c r="K3151" t="n">
        <v>0.172</v>
      </c>
      <c r="L3151" t="n">
        <v>0.64</v>
      </c>
      <c r="M3151" t="n">
        <v>0.188</v>
      </c>
    </row>
    <row r="3152" spans="1:13">
      <c r="A3152" s="1">
        <f>HYPERLINK("http://www.twitter.com/NathanBLawrence/status/974069848828497922", "974069848828497922")</f>
        <v/>
      </c>
      <c r="B3152" s="2" t="n">
        <v>43173.99216435185</v>
      </c>
      <c r="C3152" t="n">
        <v>0</v>
      </c>
      <c r="D3152" t="n">
        <v>3</v>
      </c>
      <c r="E3152" t="s">
        <v>3163</v>
      </c>
      <c r="F3152" t="s"/>
      <c r="G3152" t="s"/>
      <c r="H3152" t="s"/>
      <c r="I3152" t="s"/>
      <c r="J3152" t="n">
        <v>0.7088</v>
      </c>
      <c r="K3152" t="n">
        <v>0</v>
      </c>
      <c r="L3152" t="n">
        <v>0.743</v>
      </c>
      <c r="M3152" t="n">
        <v>0.257</v>
      </c>
    </row>
    <row r="3153" spans="1:13">
      <c r="A3153" s="1">
        <f>HYPERLINK("http://www.twitter.com/NathanBLawrence/status/974065953104330752", "974065953104330752")</f>
        <v/>
      </c>
      <c r="B3153" s="2" t="n">
        <v>43173.98142361111</v>
      </c>
      <c r="C3153" t="n">
        <v>0</v>
      </c>
      <c r="D3153" t="n">
        <v>0</v>
      </c>
      <c r="E3153" t="s">
        <v>3164</v>
      </c>
      <c r="F3153">
        <f>HYPERLINK("http://pbs.twimg.com/media/DYST0G4VoAAdncd.jpg", "http://pbs.twimg.com/media/DYST0G4VoAAdncd.jpg")</f>
        <v/>
      </c>
      <c r="G3153" t="s"/>
      <c r="H3153" t="s"/>
      <c r="I3153" t="s"/>
      <c r="J3153" t="n">
        <v>0</v>
      </c>
      <c r="K3153" t="n">
        <v>0</v>
      </c>
      <c r="L3153" t="n">
        <v>1</v>
      </c>
      <c r="M3153" t="n">
        <v>0</v>
      </c>
    </row>
    <row r="3154" spans="1:13">
      <c r="A3154" s="1">
        <f>HYPERLINK("http://www.twitter.com/NathanBLawrence/status/974065658848796674", "974065658848796674")</f>
        <v/>
      </c>
      <c r="B3154" s="2" t="n">
        <v>43173.98060185185</v>
      </c>
      <c r="C3154" t="n">
        <v>1</v>
      </c>
      <c r="D3154" t="n">
        <v>0</v>
      </c>
      <c r="E3154" t="s">
        <v>3165</v>
      </c>
      <c r="F3154" t="s"/>
      <c r="G3154" t="s"/>
      <c r="H3154" t="s"/>
      <c r="I3154" t="s"/>
      <c r="J3154" t="n">
        <v>0</v>
      </c>
      <c r="K3154" t="n">
        <v>0</v>
      </c>
      <c r="L3154" t="n">
        <v>1</v>
      </c>
      <c r="M3154" t="n">
        <v>0</v>
      </c>
    </row>
    <row r="3155" spans="1:13">
      <c r="A3155" s="1">
        <f>HYPERLINK("http://www.twitter.com/NathanBLawrence/status/974064811381272576", "974064811381272576")</f>
        <v/>
      </c>
      <c r="B3155" s="2" t="n">
        <v>43173.97826388889</v>
      </c>
      <c r="C3155" t="n">
        <v>1</v>
      </c>
      <c r="D3155" t="n">
        <v>0</v>
      </c>
      <c r="E3155" t="s">
        <v>3166</v>
      </c>
      <c r="F3155" t="s"/>
      <c r="G3155" t="s"/>
      <c r="H3155" t="s"/>
      <c r="I3155" t="s"/>
      <c r="J3155" t="n">
        <v>-0.5574</v>
      </c>
      <c r="K3155" t="n">
        <v>0.287</v>
      </c>
      <c r="L3155" t="n">
        <v>0.5600000000000001</v>
      </c>
      <c r="M3155" t="n">
        <v>0.153</v>
      </c>
    </row>
    <row r="3156" spans="1:13">
      <c r="A3156" s="1">
        <f>HYPERLINK("http://www.twitter.com/NathanBLawrence/status/974064457520439296", "974064457520439296")</f>
        <v/>
      </c>
      <c r="B3156" s="2" t="n">
        <v>43173.97729166667</v>
      </c>
      <c r="C3156" t="n">
        <v>2</v>
      </c>
      <c r="D3156" t="n">
        <v>0</v>
      </c>
      <c r="E3156" t="s">
        <v>3167</v>
      </c>
      <c r="F3156" t="s"/>
      <c r="G3156" t="s"/>
      <c r="H3156" t="s"/>
      <c r="I3156" t="s"/>
      <c r="J3156" t="n">
        <v>0.0772</v>
      </c>
      <c r="K3156" t="n">
        <v>0</v>
      </c>
      <c r="L3156" t="n">
        <v>0.86</v>
      </c>
      <c r="M3156" t="n">
        <v>0.14</v>
      </c>
    </row>
    <row r="3157" spans="1:13">
      <c r="A3157" s="1">
        <f>HYPERLINK("http://www.twitter.com/NathanBLawrence/status/974064062152790017", "974064062152790017")</f>
        <v/>
      </c>
      <c r="B3157" s="2" t="n">
        <v>43173.97620370371</v>
      </c>
      <c r="C3157" t="n">
        <v>2</v>
      </c>
      <c r="D3157" t="n">
        <v>0</v>
      </c>
      <c r="E3157" t="s">
        <v>3168</v>
      </c>
      <c r="F3157">
        <f>HYPERLINK("http://pbs.twimg.com/media/DYSSGFOVAAAtKWJ.jpg", "http://pbs.twimg.com/media/DYSSGFOVAAAtKWJ.jpg")</f>
        <v/>
      </c>
      <c r="G3157" t="s"/>
      <c r="H3157" t="s"/>
      <c r="I3157" t="s"/>
      <c r="J3157" t="n">
        <v>0</v>
      </c>
      <c r="K3157" t="n">
        <v>0</v>
      </c>
      <c r="L3157" t="n">
        <v>1</v>
      </c>
      <c r="M3157" t="n">
        <v>0</v>
      </c>
    </row>
    <row r="3158" spans="1:13">
      <c r="A3158" s="1">
        <f>HYPERLINK("http://www.twitter.com/NathanBLawrence/status/974063598615040000", "974063598615040000")</f>
        <v/>
      </c>
      <c r="B3158" s="2" t="n">
        <v>43173.97491898148</v>
      </c>
      <c r="C3158" t="n">
        <v>2</v>
      </c>
      <c r="D3158" t="n">
        <v>0</v>
      </c>
      <c r="E3158" t="s">
        <v>3169</v>
      </c>
      <c r="F3158" t="s"/>
      <c r="G3158" t="s"/>
      <c r="H3158" t="s"/>
      <c r="I3158" t="s"/>
      <c r="J3158" t="n">
        <v>0.2673</v>
      </c>
      <c r="K3158" t="n">
        <v>0.131</v>
      </c>
      <c r="L3158" t="n">
        <v>0.6860000000000001</v>
      </c>
      <c r="M3158" t="n">
        <v>0.183</v>
      </c>
    </row>
    <row r="3159" spans="1:13">
      <c r="A3159" s="1">
        <f>HYPERLINK("http://www.twitter.com/NathanBLawrence/status/974063031289344002", "974063031289344002")</f>
        <v/>
      </c>
      <c r="B3159" s="2" t="n">
        <v>43173.97335648148</v>
      </c>
      <c r="C3159" t="n">
        <v>11</v>
      </c>
      <c r="D3159" t="n">
        <v>0</v>
      </c>
      <c r="E3159" t="s">
        <v>3170</v>
      </c>
      <c r="F3159" t="s"/>
      <c r="G3159" t="s"/>
      <c r="H3159" t="s"/>
      <c r="I3159" t="s"/>
      <c r="J3159" t="n">
        <v>-0.5994</v>
      </c>
      <c r="K3159" t="n">
        <v>0.187</v>
      </c>
      <c r="L3159" t="n">
        <v>0.748</v>
      </c>
      <c r="M3159" t="n">
        <v>0.065</v>
      </c>
    </row>
    <row r="3160" spans="1:13">
      <c r="A3160" s="1">
        <f>HYPERLINK("http://www.twitter.com/NathanBLawrence/status/974062229707460608", "974062229707460608")</f>
        <v/>
      </c>
      <c r="B3160" s="2" t="n">
        <v>43173.97114583333</v>
      </c>
      <c r="C3160" t="n">
        <v>3</v>
      </c>
      <c r="D3160" t="n">
        <v>0</v>
      </c>
      <c r="E3160" t="s">
        <v>3171</v>
      </c>
      <c r="F3160">
        <f>HYPERLINK("http://pbs.twimg.com/media/DYSQbh5VoAAtzFm.jpg", "http://pbs.twimg.com/media/DYSQbh5VoAAtzFm.jpg")</f>
        <v/>
      </c>
      <c r="G3160" t="s"/>
      <c r="H3160" t="s"/>
      <c r="I3160" t="s"/>
      <c r="J3160" t="n">
        <v>0</v>
      </c>
      <c r="K3160" t="n">
        <v>0</v>
      </c>
      <c r="L3160" t="n">
        <v>1</v>
      </c>
      <c r="M3160" t="n">
        <v>0</v>
      </c>
    </row>
    <row r="3161" spans="1:13">
      <c r="A3161" s="1">
        <f>HYPERLINK("http://www.twitter.com/NathanBLawrence/status/974061536992997377", "974061536992997377")</f>
        <v/>
      </c>
      <c r="B3161" s="2" t="n">
        <v>43173.96923611111</v>
      </c>
      <c r="C3161" t="n">
        <v>0</v>
      </c>
      <c r="D3161" t="n">
        <v>0</v>
      </c>
      <c r="E3161" t="s">
        <v>3172</v>
      </c>
      <c r="F3161" t="s"/>
      <c r="G3161" t="s"/>
      <c r="H3161" t="s"/>
      <c r="I3161" t="s"/>
      <c r="J3161" t="n">
        <v>0</v>
      </c>
      <c r="K3161" t="n">
        <v>0</v>
      </c>
      <c r="L3161" t="n">
        <v>1</v>
      </c>
      <c r="M3161" t="n">
        <v>0</v>
      </c>
    </row>
    <row r="3162" spans="1:13">
      <c r="A3162" s="1">
        <f>HYPERLINK("http://www.twitter.com/NathanBLawrence/status/974061249100242945", "974061249100242945")</f>
        <v/>
      </c>
      <c r="B3162" s="2" t="n">
        <v>43173.9684375</v>
      </c>
      <c r="C3162" t="n">
        <v>0</v>
      </c>
      <c r="D3162" t="n">
        <v>0</v>
      </c>
      <c r="E3162" t="s">
        <v>3173</v>
      </c>
      <c r="F3162" t="s"/>
      <c r="G3162" t="s"/>
      <c r="H3162" t="s"/>
      <c r="I3162" t="s"/>
      <c r="J3162" t="n">
        <v>-0.4753</v>
      </c>
      <c r="K3162" t="n">
        <v>0.293</v>
      </c>
      <c r="L3162" t="n">
        <v>0.5600000000000001</v>
      </c>
      <c r="M3162" t="n">
        <v>0.147</v>
      </c>
    </row>
    <row r="3163" spans="1:13">
      <c r="A3163" s="1">
        <f>HYPERLINK("http://www.twitter.com/NathanBLawrence/status/974013554360799232", "974013554360799232")</f>
        <v/>
      </c>
      <c r="B3163" s="2" t="n">
        <v>43173.8368287037</v>
      </c>
      <c r="C3163" t="n">
        <v>1</v>
      </c>
      <c r="D3163" t="n">
        <v>1</v>
      </c>
      <c r="E3163" t="s">
        <v>3174</v>
      </c>
      <c r="F3163">
        <f>HYPERLINK("http://pbs.twimg.com/media/DYRkKcdU0AE3Clp.jpg", "http://pbs.twimg.com/media/DYRkKcdU0AE3Clp.jpg")</f>
        <v/>
      </c>
      <c r="G3163" t="s"/>
      <c r="H3163" t="s"/>
      <c r="I3163" t="s"/>
      <c r="J3163" t="n">
        <v>0</v>
      </c>
      <c r="K3163" t="n">
        <v>0</v>
      </c>
      <c r="L3163" t="n">
        <v>1</v>
      </c>
      <c r="M3163" t="n">
        <v>0</v>
      </c>
    </row>
    <row r="3164" spans="1:13">
      <c r="A3164" s="1">
        <f>HYPERLINK("http://www.twitter.com/NathanBLawrence/status/974013398257106944", "974013398257106944")</f>
        <v/>
      </c>
      <c r="B3164" s="2" t="n">
        <v>43173.83640046296</v>
      </c>
      <c r="C3164" t="n">
        <v>0</v>
      </c>
      <c r="D3164" t="n">
        <v>0</v>
      </c>
      <c r="E3164" t="s">
        <v>3175</v>
      </c>
      <c r="F3164" t="s"/>
      <c r="G3164" t="s"/>
      <c r="H3164" t="s"/>
      <c r="I3164" t="s"/>
      <c r="J3164" t="n">
        <v>0.5647</v>
      </c>
      <c r="K3164" t="n">
        <v>0.132</v>
      </c>
      <c r="L3164" t="n">
        <v>0.621</v>
      </c>
      <c r="M3164" t="n">
        <v>0.247</v>
      </c>
    </row>
    <row r="3165" spans="1:13">
      <c r="A3165" s="1">
        <f>HYPERLINK("http://www.twitter.com/NathanBLawrence/status/974012950674595842", "974012950674595842")</f>
        <v/>
      </c>
      <c r="B3165" s="2" t="n">
        <v>43173.83516203704</v>
      </c>
      <c r="C3165" t="n">
        <v>0</v>
      </c>
      <c r="D3165" t="n">
        <v>0</v>
      </c>
      <c r="E3165" t="s">
        <v>3176</v>
      </c>
      <c r="F3165" t="s"/>
      <c r="G3165" t="s"/>
      <c r="H3165" t="s"/>
      <c r="I3165" t="s"/>
      <c r="J3165" t="n">
        <v>-0.6065</v>
      </c>
      <c r="K3165" t="n">
        <v>0.246</v>
      </c>
      <c r="L3165" t="n">
        <v>0.647</v>
      </c>
      <c r="M3165" t="n">
        <v>0.107</v>
      </c>
    </row>
    <row r="3166" spans="1:13">
      <c r="A3166" s="1">
        <f>HYPERLINK("http://www.twitter.com/NathanBLawrence/status/974012229107494912", "974012229107494912")</f>
        <v/>
      </c>
      <c r="B3166" s="2" t="n">
        <v>43173.8331712963</v>
      </c>
      <c r="C3166" t="n">
        <v>1</v>
      </c>
      <c r="D3166" t="n">
        <v>0</v>
      </c>
      <c r="E3166" t="s">
        <v>3177</v>
      </c>
      <c r="F3166" t="s"/>
      <c r="G3166" t="s"/>
      <c r="H3166" t="s"/>
      <c r="I3166" t="s"/>
      <c r="J3166" t="n">
        <v>-0.5609</v>
      </c>
      <c r="K3166" t="n">
        <v>0.127</v>
      </c>
      <c r="L3166" t="n">
        <v>0.873</v>
      </c>
      <c r="M3166" t="n">
        <v>0</v>
      </c>
    </row>
    <row r="3167" spans="1:13">
      <c r="A3167" s="1">
        <f>HYPERLINK("http://www.twitter.com/NathanBLawrence/status/974011750906462214", "974011750906462214")</f>
        <v/>
      </c>
      <c r="B3167" s="2" t="n">
        <v>43173.83185185185</v>
      </c>
      <c r="C3167" t="n">
        <v>0</v>
      </c>
      <c r="D3167" t="n">
        <v>7</v>
      </c>
      <c r="E3167" t="s">
        <v>3178</v>
      </c>
      <c r="F3167">
        <f>HYPERLINK("https://video.twimg.com/ext_tw_video/974003529861025793/pu/vid/1280x720/T6JpTUq_TNE7_GPv.mp4", "https://video.twimg.com/ext_tw_video/974003529861025793/pu/vid/1280x720/T6JpTUq_TNE7_GPv.mp4")</f>
        <v/>
      </c>
      <c r="G3167" t="s"/>
      <c r="H3167" t="s"/>
      <c r="I3167" t="s"/>
      <c r="J3167" t="n">
        <v>0</v>
      </c>
      <c r="K3167" t="n">
        <v>0</v>
      </c>
      <c r="L3167" t="n">
        <v>1</v>
      </c>
      <c r="M3167" t="n">
        <v>0</v>
      </c>
    </row>
    <row r="3168" spans="1:13">
      <c r="A3168" s="1">
        <f>HYPERLINK("http://www.twitter.com/NathanBLawrence/status/974011587416788994", "974011587416788994")</f>
        <v/>
      </c>
      <c r="B3168" s="2" t="n">
        <v>43173.83140046296</v>
      </c>
      <c r="C3168" t="n">
        <v>0</v>
      </c>
      <c r="D3168" t="n">
        <v>0</v>
      </c>
      <c r="E3168" t="s">
        <v>3179</v>
      </c>
      <c r="F3168" t="s"/>
      <c r="G3168" t="s"/>
      <c r="H3168" t="s"/>
      <c r="I3168" t="s"/>
      <c r="J3168" t="n">
        <v>0</v>
      </c>
      <c r="K3168" t="n">
        <v>0</v>
      </c>
      <c r="L3168" t="n">
        <v>1</v>
      </c>
      <c r="M3168" t="n">
        <v>0</v>
      </c>
    </row>
    <row r="3169" spans="1:13">
      <c r="A3169" s="1">
        <f>HYPERLINK("http://www.twitter.com/NathanBLawrence/status/974011314866671616", "974011314866671616")</f>
        <v/>
      </c>
      <c r="B3169" s="2" t="n">
        <v>43173.83064814815</v>
      </c>
      <c r="C3169" t="n">
        <v>1</v>
      </c>
      <c r="D3169" t="n">
        <v>0</v>
      </c>
      <c r="E3169" t="s">
        <v>3180</v>
      </c>
      <c r="F3169">
        <f>HYPERLINK("http://pbs.twimg.com/media/DYRiHfVU0AABP6v.jpg", "http://pbs.twimg.com/media/DYRiHfVU0AABP6v.jpg")</f>
        <v/>
      </c>
      <c r="G3169" t="s"/>
      <c r="H3169" t="s"/>
      <c r="I3169" t="s"/>
      <c r="J3169" t="n">
        <v>0.3612</v>
      </c>
      <c r="K3169" t="n">
        <v>0</v>
      </c>
      <c r="L3169" t="n">
        <v>0.667</v>
      </c>
      <c r="M3169" t="n">
        <v>0.333</v>
      </c>
    </row>
    <row r="3170" spans="1:13">
      <c r="A3170" s="1">
        <f>HYPERLINK("http://www.twitter.com/NathanBLawrence/status/974011258868502529", "974011258868502529")</f>
        <v/>
      </c>
      <c r="B3170" s="2" t="n">
        <v>43173.83049768519</v>
      </c>
      <c r="C3170" t="n">
        <v>1</v>
      </c>
      <c r="D3170" t="n">
        <v>0</v>
      </c>
      <c r="E3170" t="s">
        <v>3181</v>
      </c>
      <c r="F3170" t="s"/>
      <c r="G3170" t="s"/>
      <c r="H3170" t="s"/>
      <c r="I3170" t="s"/>
      <c r="J3170" t="n">
        <v>0.4753</v>
      </c>
      <c r="K3170" t="n">
        <v>0</v>
      </c>
      <c r="L3170" t="n">
        <v>0.764</v>
      </c>
      <c r="M3170" t="n">
        <v>0.236</v>
      </c>
    </row>
    <row r="3171" spans="1:13">
      <c r="A3171" s="1">
        <f>HYPERLINK("http://www.twitter.com/NathanBLawrence/status/974007543054954498", "974007543054954498")</f>
        <v/>
      </c>
      <c r="B3171" s="2" t="n">
        <v>43173.82024305555</v>
      </c>
      <c r="C3171" t="n">
        <v>2</v>
      </c>
      <c r="D3171" t="n">
        <v>0</v>
      </c>
      <c r="E3171" t="s">
        <v>3182</v>
      </c>
      <c r="F3171" t="s"/>
      <c r="G3171" t="s"/>
      <c r="H3171" t="s"/>
      <c r="I3171" t="s"/>
      <c r="J3171" t="n">
        <v>0</v>
      </c>
      <c r="K3171" t="n">
        <v>0</v>
      </c>
      <c r="L3171" t="n">
        <v>1</v>
      </c>
      <c r="M3171" t="n">
        <v>0</v>
      </c>
    </row>
    <row r="3172" spans="1:13">
      <c r="A3172" s="1">
        <f>HYPERLINK("http://www.twitter.com/NathanBLawrence/status/974007296064974849", "974007296064974849")</f>
        <v/>
      </c>
      <c r="B3172" s="2" t="n">
        <v>43173.81956018518</v>
      </c>
      <c r="C3172" t="n">
        <v>0</v>
      </c>
      <c r="D3172" t="n">
        <v>0</v>
      </c>
      <c r="E3172" t="s">
        <v>3183</v>
      </c>
      <c r="F3172" t="s"/>
      <c r="G3172" t="s"/>
      <c r="H3172" t="s"/>
      <c r="I3172" t="s"/>
      <c r="J3172" t="n">
        <v>-0.5106000000000001</v>
      </c>
      <c r="K3172" t="n">
        <v>0.121</v>
      </c>
      <c r="L3172" t="n">
        <v>0.879</v>
      </c>
      <c r="M3172" t="n">
        <v>0</v>
      </c>
    </row>
    <row r="3173" spans="1:13">
      <c r="A3173" s="1">
        <f>HYPERLINK("http://www.twitter.com/NathanBLawrence/status/974007008809639936", "974007008809639936")</f>
        <v/>
      </c>
      <c r="B3173" s="2" t="n">
        <v>43173.81876157408</v>
      </c>
      <c r="C3173" t="n">
        <v>0</v>
      </c>
      <c r="D3173" t="n">
        <v>0</v>
      </c>
      <c r="E3173" t="s">
        <v>3184</v>
      </c>
      <c r="F3173">
        <f>HYPERLINK("http://pbs.twimg.com/media/DYReNPQVMAAVrtS.jpg", "http://pbs.twimg.com/media/DYReNPQVMAAVrtS.jpg")</f>
        <v/>
      </c>
      <c r="G3173" t="s"/>
      <c r="H3173" t="s"/>
      <c r="I3173" t="s"/>
      <c r="J3173" t="n">
        <v>0</v>
      </c>
      <c r="K3173" t="n">
        <v>0</v>
      </c>
      <c r="L3173" t="n">
        <v>1</v>
      </c>
      <c r="M3173" t="n">
        <v>0</v>
      </c>
    </row>
    <row r="3174" spans="1:13">
      <c r="A3174" s="1">
        <f>HYPERLINK("http://www.twitter.com/NathanBLawrence/status/974002258772971532", "974002258772971532")</f>
        <v/>
      </c>
      <c r="B3174" s="2" t="n">
        <v>43173.80565972222</v>
      </c>
      <c r="C3174" t="n">
        <v>0</v>
      </c>
      <c r="D3174" t="n">
        <v>0</v>
      </c>
      <c r="E3174" t="s">
        <v>3185</v>
      </c>
      <c r="F3174" t="s"/>
      <c r="G3174" t="s"/>
      <c r="H3174" t="s"/>
      <c r="I3174" t="s"/>
      <c r="J3174" t="n">
        <v>-0.7213000000000001</v>
      </c>
      <c r="K3174" t="n">
        <v>0.193</v>
      </c>
      <c r="L3174" t="n">
        <v>0.8070000000000001</v>
      </c>
      <c r="M3174" t="n">
        <v>0</v>
      </c>
    </row>
    <row r="3175" spans="1:13">
      <c r="A3175" s="1">
        <f>HYPERLINK("http://www.twitter.com/NathanBLawrence/status/974001997161680896", "974001997161680896")</f>
        <v/>
      </c>
      <c r="B3175" s="2" t="n">
        <v>43173.80493055555</v>
      </c>
      <c r="C3175" t="n">
        <v>0</v>
      </c>
      <c r="D3175" t="n">
        <v>8831</v>
      </c>
      <c r="E3175" t="s">
        <v>3186</v>
      </c>
      <c r="F3175" t="s"/>
      <c r="G3175" t="s"/>
      <c r="H3175" t="s"/>
      <c r="I3175" t="s"/>
      <c r="J3175" t="n">
        <v>-0.7285</v>
      </c>
      <c r="K3175" t="n">
        <v>0.281</v>
      </c>
      <c r="L3175" t="n">
        <v>0.5679999999999999</v>
      </c>
      <c r="M3175" t="n">
        <v>0.151</v>
      </c>
    </row>
    <row r="3176" spans="1:13">
      <c r="A3176" s="1">
        <f>HYPERLINK("http://www.twitter.com/NathanBLawrence/status/973978500729393152", "973978500729393152")</f>
        <v/>
      </c>
      <c r="B3176" s="2" t="n">
        <v>43173.74009259259</v>
      </c>
      <c r="C3176" t="n">
        <v>0</v>
      </c>
      <c r="D3176" t="n">
        <v>917</v>
      </c>
      <c r="E3176" t="s">
        <v>3187</v>
      </c>
      <c r="F3176" t="s"/>
      <c r="G3176" t="s"/>
      <c r="H3176" t="s"/>
      <c r="I3176" t="s"/>
      <c r="J3176" t="n">
        <v>0.128</v>
      </c>
      <c r="K3176" t="n">
        <v>0.122</v>
      </c>
      <c r="L3176" t="n">
        <v>0.738</v>
      </c>
      <c r="M3176" t="n">
        <v>0.14</v>
      </c>
    </row>
    <row r="3177" spans="1:13">
      <c r="A3177" s="1">
        <f>HYPERLINK("http://www.twitter.com/NathanBLawrence/status/973978026240245760", "973978026240245760")</f>
        <v/>
      </c>
      <c r="B3177" s="2" t="n">
        <v>43173.73878472222</v>
      </c>
      <c r="C3177" t="n">
        <v>0</v>
      </c>
      <c r="D3177" t="n">
        <v>131</v>
      </c>
      <c r="E3177" t="s">
        <v>3188</v>
      </c>
      <c r="F3177" t="s"/>
      <c r="G3177" t="s"/>
      <c r="H3177" t="s"/>
      <c r="I3177" t="s"/>
      <c r="J3177" t="n">
        <v>-0.7269</v>
      </c>
      <c r="K3177" t="n">
        <v>0.253</v>
      </c>
      <c r="L3177" t="n">
        <v>0.747</v>
      </c>
      <c r="M3177"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